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0" windowWidth="18195" windowHeight="858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conv" localSheetId="1">Instructions!$B$14</definedName>
    <definedName name="conv">#REF!</definedName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N153" i="4" l="1"/>
  <c r="J144" i="4" s="1"/>
  <c r="H14" i="20" s="1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B54" i="20" s="1"/>
  <c r="E6" i="20"/>
  <c r="E5" i="20"/>
  <c r="B26" i="20" s="1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B7" i="20"/>
  <c r="A7" i="20"/>
  <c r="A53" i="20" s="1"/>
  <c r="B6" i="20"/>
  <c r="A6" i="20"/>
  <c r="A39" i="20" s="1"/>
  <c r="B5" i="20"/>
  <c r="A5" i="20"/>
  <c r="A25" i="20" s="1"/>
  <c r="B4" i="20"/>
  <c r="C76" i="20"/>
  <c r="C75" i="20" s="1"/>
  <c r="C74" i="20" s="1"/>
  <c r="C73" i="20" s="1"/>
  <c r="C72" i="20" s="1"/>
  <c r="C71" i="20" s="1"/>
  <c r="B72" i="20"/>
  <c r="B73" i="20" s="1"/>
  <c r="B74" i="20" s="1"/>
  <c r="B75" i="20" s="1"/>
  <c r="B76" i="20" s="1"/>
  <c r="B77" i="20" s="1"/>
  <c r="C62" i="20"/>
  <c r="C61" i="20" s="1"/>
  <c r="C60" i="20" s="1"/>
  <c r="C59" i="20" s="1"/>
  <c r="C58" i="20" s="1"/>
  <c r="C57" i="20" s="1"/>
  <c r="B59" i="20"/>
  <c r="B60" i="20" s="1"/>
  <c r="B61" i="20" s="1"/>
  <c r="B62" i="20" s="1"/>
  <c r="B63" i="20" s="1"/>
  <c r="B58" i="20"/>
  <c r="C48" i="20"/>
  <c r="C47" i="20" s="1"/>
  <c r="C46" i="20" s="1"/>
  <c r="C45" i="20" s="1"/>
  <c r="C44" i="20" s="1"/>
  <c r="C43" i="20" s="1"/>
  <c r="B44" i="20"/>
  <c r="B45" i="20" s="1"/>
  <c r="B46" i="20" s="1"/>
  <c r="B47" i="20" s="1"/>
  <c r="B48" i="20" s="1"/>
  <c r="B49" i="20" s="1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B68" i="20"/>
  <c r="A67" i="20"/>
  <c r="B40" i="20"/>
  <c r="B9" i="20"/>
  <c r="H15" i="20" l="1"/>
  <c r="D6" i="20" s="1"/>
  <c r="F47" i="20"/>
  <c r="E47" i="20" s="1"/>
  <c r="F43" i="20"/>
  <c r="F46" i="20"/>
  <c r="E46" i="20" s="1"/>
  <c r="F45" i="20"/>
  <c r="E45" i="20" s="1"/>
  <c r="F49" i="20"/>
  <c r="E49" i="20" s="1"/>
  <c r="F48" i="20"/>
  <c r="E48" i="20" s="1"/>
  <c r="F44" i="20"/>
  <c r="E44" i="20" s="1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F60" i="20"/>
  <c r="E60" i="20" s="1"/>
  <c r="F75" i="20"/>
  <c r="E75" i="20" s="1"/>
  <c r="F71" i="20"/>
  <c r="F74" i="20"/>
  <c r="E74" i="20" s="1"/>
  <c r="F73" i="20"/>
  <c r="E73" i="20" s="1"/>
  <c r="F77" i="20"/>
  <c r="E77" i="20" s="1"/>
  <c r="F76" i="20"/>
  <c r="E76" i="20" s="1"/>
  <c r="F72" i="20"/>
  <c r="E72" i="20" s="1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F32" i="20"/>
  <c r="E32" i="20" s="1"/>
  <c r="I144" i="4"/>
  <c r="D5" i="20" l="1"/>
  <c r="D8" i="20"/>
  <c r="D7" i="20"/>
  <c r="E71" i="20"/>
  <c r="E78" i="20" s="1"/>
  <c r="E29" i="20"/>
  <c r="E36" i="20" s="1"/>
  <c r="E57" i="20"/>
  <c r="E64" i="20" s="1"/>
  <c r="E43" i="20"/>
  <c r="E50" i="20" s="1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36" i="20" l="1"/>
  <c r="F36" i="20"/>
  <c r="G78" i="20"/>
  <c r="F78" i="20"/>
  <c r="G50" i="20"/>
  <c r="F50" i="20"/>
  <c r="G64" i="20"/>
  <c r="F64" i="20"/>
  <c r="F8" i="20"/>
  <c r="J8" i="20" s="1"/>
  <c r="D9" i="20"/>
  <c r="B24" i="20"/>
  <c r="F5" i="20"/>
  <c r="J5" i="20" s="1"/>
  <c r="F7" i="20"/>
  <c r="J7" i="20" s="1"/>
  <c r="F6" i="20"/>
  <c r="J6" i="20" s="1"/>
  <c r="G55" i="4"/>
  <c r="G48" i="4"/>
  <c r="G47" i="4"/>
  <c r="G46" i="4"/>
  <c r="G45" i="4"/>
  <c r="G44" i="4"/>
  <c r="G43" i="4"/>
  <c r="G39" i="4"/>
  <c r="G38" i="4"/>
  <c r="G37" i="4"/>
  <c r="G40" i="4" s="1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114" i="4" l="1"/>
  <c r="I113" i="4"/>
  <c r="I112" i="4"/>
  <c r="N152" i="4" l="1"/>
  <c r="N151" i="4"/>
  <c r="H144" i="4" l="1"/>
  <c r="G8" i="14" l="1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G114" i="4" l="1"/>
  <c r="G113" i="4"/>
  <c r="G112" i="4"/>
  <c r="N147" i="4" l="1"/>
  <c r="G144" i="4" s="1"/>
  <c r="E40" i="4"/>
  <c r="F8" i="14"/>
  <c r="G31" i="12" l="1"/>
  <c r="G41" i="12"/>
  <c r="Q116" i="4"/>
  <c r="N74" i="14" s="1"/>
  <c r="J116" i="4"/>
  <c r="H74" i="14" s="1"/>
  <c r="G74" i="14"/>
  <c r="J115" i="4"/>
  <c r="H73" i="14" s="1"/>
  <c r="G73" i="14"/>
  <c r="J113" i="4"/>
  <c r="H71" i="14" s="1"/>
  <c r="G71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J108" i="4"/>
  <c r="H66" i="14" s="1"/>
  <c r="G66" i="14"/>
  <c r="O107" i="4"/>
  <c r="J107" i="4"/>
  <c r="H65" i="14" s="1"/>
  <c r="G65" i="14"/>
  <c r="P106" i="4"/>
  <c r="M64" i="14" s="1"/>
  <c r="O106" i="4"/>
  <c r="J106" i="4"/>
  <c r="H64" i="14" s="1"/>
  <c r="J102" i="4"/>
  <c r="H60" i="14" s="1"/>
  <c r="G60" i="14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G57" i="14"/>
  <c r="Q98" i="4"/>
  <c r="N56" i="14" s="1"/>
  <c r="P98" i="4"/>
  <c r="M56" i="14" s="1"/>
  <c r="O98" i="4"/>
  <c r="Q97" i="4"/>
  <c r="N55" i="14" s="1"/>
  <c r="P97" i="4"/>
  <c r="M55" i="14" s="1"/>
  <c r="O97" i="4"/>
  <c r="G55" i="14"/>
  <c r="Q96" i="4"/>
  <c r="N54" i="14" s="1"/>
  <c r="P96" i="4"/>
  <c r="M54" i="14" s="1"/>
  <c r="O96" i="4"/>
  <c r="J96" i="4"/>
  <c r="H54" i="14" s="1"/>
  <c r="G54" i="14"/>
  <c r="Q95" i="4"/>
  <c r="N53" i="14" s="1"/>
  <c r="J95" i="4"/>
  <c r="H53" i="14" s="1"/>
  <c r="G53" i="14"/>
  <c r="P94" i="4"/>
  <c r="M52" i="14" s="1"/>
  <c r="J94" i="4"/>
  <c r="H52" i="14" s="1"/>
  <c r="G52" i="14"/>
  <c r="O93" i="4"/>
  <c r="J93" i="4"/>
  <c r="H51" i="14" s="1"/>
  <c r="G51" i="14"/>
  <c r="P92" i="4"/>
  <c r="M50" i="14" s="1"/>
  <c r="O92" i="4"/>
  <c r="J92" i="4"/>
  <c r="H50" i="14" s="1"/>
  <c r="P88" i="4"/>
  <c r="M46" i="14" s="1"/>
  <c r="J88" i="4"/>
  <c r="H46" i="14" s="1"/>
  <c r="G46" i="14"/>
  <c r="O87" i="4"/>
  <c r="J87" i="4"/>
  <c r="H45" i="14" s="1"/>
  <c r="G45" i="14"/>
  <c r="P86" i="4"/>
  <c r="M44" i="14" s="1"/>
  <c r="O86" i="4"/>
  <c r="J86" i="4"/>
  <c r="H44" i="14" s="1"/>
  <c r="Q85" i="4"/>
  <c r="N43" i="14" s="1"/>
  <c r="P85" i="4"/>
  <c r="M43" i="14" s="1"/>
  <c r="O85" i="4"/>
  <c r="Q84" i="4"/>
  <c r="N42" i="14" s="1"/>
  <c r="P84" i="4"/>
  <c r="M42" i="14" s="1"/>
  <c r="O84" i="4"/>
  <c r="Q83" i="4"/>
  <c r="N41" i="14" s="1"/>
  <c r="P83" i="4"/>
  <c r="M41" i="14" s="1"/>
  <c r="O83" i="4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Q77" i="4"/>
  <c r="N35" i="14" s="1"/>
  <c r="P77" i="4"/>
  <c r="M35" i="14" s="1"/>
  <c r="O77" i="4"/>
  <c r="G35" i="14"/>
  <c r="Q76" i="4"/>
  <c r="N34" i="14" s="1"/>
  <c r="P76" i="4"/>
  <c r="M34" i="14" s="1"/>
  <c r="J76" i="4"/>
  <c r="H34" i="14" s="1"/>
  <c r="G34" i="14"/>
  <c r="Q75" i="4"/>
  <c r="N33" i="14" s="1"/>
  <c r="P75" i="4"/>
  <c r="M33" i="14" s="1"/>
  <c r="J75" i="4"/>
  <c r="H33" i="14" s="1"/>
  <c r="G33" i="14"/>
  <c r="Q74" i="4"/>
  <c r="N32" i="14" s="1"/>
  <c r="J74" i="4"/>
  <c r="H32" i="14" s="1"/>
  <c r="G32" i="14"/>
  <c r="Q73" i="4"/>
  <c r="N31" i="14" s="1"/>
  <c r="O73" i="4"/>
  <c r="J73" i="4"/>
  <c r="H31" i="14" s="1"/>
  <c r="G31" i="14"/>
  <c r="P72" i="4"/>
  <c r="M30" i="14" s="1"/>
  <c r="O72" i="4"/>
  <c r="J72" i="4"/>
  <c r="H30" i="14" s="1"/>
  <c r="G73" i="12"/>
  <c r="F53" i="12"/>
  <c r="E53" i="12"/>
  <c r="E33" i="12"/>
  <c r="F23" i="12"/>
  <c r="E32" i="12"/>
  <c r="P116" i="4"/>
  <c r="M74" i="14" s="1"/>
  <c r="O116" i="4"/>
  <c r="P115" i="4"/>
  <c r="M73" i="14" s="1"/>
  <c r="O115" i="4"/>
  <c r="J111" i="4"/>
  <c r="H69" i="14" s="1"/>
  <c r="O110" i="4"/>
  <c r="P109" i="4"/>
  <c r="M67" i="14" s="1"/>
  <c r="O109" i="4"/>
  <c r="Q108" i="4"/>
  <c r="N66" i="14" s="1"/>
  <c r="P108" i="4"/>
  <c r="M66" i="14" s="1"/>
  <c r="O108" i="4"/>
  <c r="Q107" i="4"/>
  <c r="N65" i="14" s="1"/>
  <c r="P107" i="4"/>
  <c r="M65" i="14" s="1"/>
  <c r="Q106" i="4"/>
  <c r="N64" i="14" s="1"/>
  <c r="G64" i="14"/>
  <c r="Q102" i="4"/>
  <c r="N60" i="14" s="1"/>
  <c r="P102" i="4"/>
  <c r="M60" i="14" s="1"/>
  <c r="O102" i="4"/>
  <c r="Q101" i="4"/>
  <c r="N59" i="14" s="1"/>
  <c r="P101" i="4"/>
  <c r="M59" i="14" s="1"/>
  <c r="Q100" i="4"/>
  <c r="N58" i="14" s="1"/>
  <c r="J99" i="4"/>
  <c r="H57" i="14" s="1"/>
  <c r="J98" i="4"/>
  <c r="H56" i="14" s="1"/>
  <c r="G56" i="14"/>
  <c r="J97" i="4"/>
  <c r="H55" i="14" s="1"/>
  <c r="P95" i="4"/>
  <c r="M53" i="14" s="1"/>
  <c r="O95" i="4"/>
  <c r="Q94" i="4"/>
  <c r="N52" i="14" s="1"/>
  <c r="O94" i="4"/>
  <c r="Q93" i="4"/>
  <c r="N51" i="14" s="1"/>
  <c r="P93" i="4"/>
  <c r="M51" i="14" s="1"/>
  <c r="Q92" i="4"/>
  <c r="N50" i="14" s="1"/>
  <c r="G50" i="14"/>
  <c r="Q88" i="4"/>
  <c r="N46" i="14" s="1"/>
  <c r="O88" i="4"/>
  <c r="Q87" i="4"/>
  <c r="N45" i="14" s="1"/>
  <c r="P87" i="4"/>
  <c r="M45" i="14" s="1"/>
  <c r="Q86" i="4"/>
  <c r="N44" i="14" s="1"/>
  <c r="G44" i="14"/>
  <c r="J85" i="4"/>
  <c r="H43" i="14" s="1"/>
  <c r="G43" i="14"/>
  <c r="J84" i="4"/>
  <c r="H42" i="14" s="1"/>
  <c r="G42" i="14"/>
  <c r="J83" i="4"/>
  <c r="H41" i="14" s="1"/>
  <c r="O82" i="4"/>
  <c r="J78" i="4"/>
  <c r="H36" i="14" s="1"/>
  <c r="G36" i="14"/>
  <c r="J77" i="4"/>
  <c r="H35" i="14" s="1"/>
  <c r="O76" i="4"/>
  <c r="O75" i="4"/>
  <c r="P74" i="4"/>
  <c r="M32" i="14" s="1"/>
  <c r="O74" i="4"/>
  <c r="P73" i="4"/>
  <c r="M31" i="14" s="1"/>
  <c r="Q72" i="4"/>
  <c r="N30" i="14" s="1"/>
  <c r="G30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N27" i="14"/>
  <c r="S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 s="1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G70" i="14"/>
  <c r="G72" i="14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O112" i="4"/>
  <c r="P112" i="4"/>
  <c r="M70" i="14" s="1"/>
  <c r="J47" i="13"/>
  <c r="I8" i="13"/>
  <c r="I6" i="13"/>
  <c r="I7" i="13"/>
  <c r="I9" i="13"/>
  <c r="I26" i="16"/>
  <c r="H25" i="16"/>
  <c r="G61" i="12"/>
  <c r="I25" i="16"/>
  <c r="G25" i="4"/>
  <c r="E41" i="12"/>
  <c r="E24" i="4"/>
  <c r="E8" i="14"/>
  <c r="E51" i="13" s="1"/>
  <c r="F21" i="12"/>
  <c r="G27" i="19" l="1"/>
  <c r="S44" i="14"/>
  <c r="S30" i="14"/>
  <c r="T32" i="14"/>
  <c r="F27" i="19"/>
  <c r="C16" i="13"/>
  <c r="C15" i="13" s="1"/>
  <c r="T60" i="14"/>
  <c r="E99" i="3"/>
  <c r="F125" i="8"/>
  <c r="F130" i="8" s="1"/>
  <c r="F50" i="3"/>
  <c r="F102" i="8" s="1"/>
  <c r="J26" i="16"/>
  <c r="I24" i="16"/>
  <c r="S33" i="14"/>
  <c r="S53" i="14"/>
  <c r="T66" i="14"/>
  <c r="S67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52" i="14"/>
  <c r="T46" i="14"/>
  <c r="S69" i="12"/>
  <c r="G69" i="12"/>
  <c r="T30" i="14"/>
  <c r="S57" i="14"/>
  <c r="S74" i="14"/>
  <c r="G39" i="12"/>
  <c r="S56" i="14"/>
  <c r="T42" i="14"/>
  <c r="S31" i="14"/>
  <c r="S59" i="14"/>
  <c r="S65" i="14"/>
  <c r="J22" i="16"/>
  <c r="I47" i="13"/>
  <c r="S58" i="14"/>
  <c r="F41" i="12"/>
  <c r="I14" i="13"/>
  <c r="H22" i="16"/>
  <c r="I11" i="13"/>
  <c r="J22" i="13"/>
  <c r="T73" i="14"/>
  <c r="S43" i="14"/>
  <c r="T56" i="14"/>
  <c r="T36" i="14"/>
  <c r="T69" i="14"/>
  <c r="J16" i="16"/>
  <c r="E22" i="4"/>
  <c r="E16" i="17" s="1"/>
  <c r="T33" i="14"/>
  <c r="S34" i="14"/>
  <c r="S40" i="14"/>
  <c r="T44" i="14"/>
  <c r="S45" i="14"/>
  <c r="T50" i="14"/>
  <c r="S51" i="14"/>
  <c r="T58" i="14"/>
  <c r="T64" i="14"/>
  <c r="T67" i="14"/>
  <c r="S68" i="14"/>
  <c r="T74" i="14"/>
  <c r="H16" i="16"/>
  <c r="T31" i="14"/>
  <c r="S32" i="14"/>
  <c r="T34" i="14"/>
  <c r="T45" i="14"/>
  <c r="S46" i="14"/>
  <c r="T51" i="14"/>
  <c r="S52" i="14"/>
  <c r="S55" i="14"/>
  <c r="T59" i="14"/>
  <c r="S60" i="14"/>
  <c r="T65" i="14"/>
  <c r="S66" i="14"/>
  <c r="S71" i="14"/>
  <c r="S73" i="14"/>
  <c r="S64" i="14"/>
  <c r="H26" i="16"/>
  <c r="S42" i="14"/>
  <c r="F32" i="12"/>
  <c r="I40" i="16"/>
  <c r="I16" i="16"/>
  <c r="I49" i="16"/>
  <c r="F31" i="12"/>
  <c r="I22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I139" i="4"/>
  <c r="I10" i="13"/>
  <c r="T72" i="14"/>
  <c r="G72" i="12"/>
  <c r="G185" i="12"/>
  <c r="B254" i="12" s="1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T53" i="14"/>
  <c r="S54" i="14"/>
  <c r="S35" i="14"/>
  <c r="T40" i="14"/>
  <c r="S41" i="14"/>
  <c r="T54" i="14"/>
  <c r="S69" i="14"/>
  <c r="J24" i="16"/>
  <c r="S72" i="14"/>
  <c r="G23" i="12"/>
  <c r="S70" i="14"/>
  <c r="G63" i="12"/>
  <c r="G32" i="12"/>
  <c r="S50" i="14"/>
  <c r="T57" i="14"/>
  <c r="S36" i="14"/>
  <c r="T41" i="14"/>
  <c r="E46" i="13" l="1"/>
  <c r="F46" i="13"/>
  <c r="I145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H43" i="4"/>
  <c r="H23" i="12" s="1"/>
  <c r="H34" i="4"/>
  <c r="H22" i="12" s="1"/>
  <c r="H13" i="4"/>
  <c r="H24" i="4" s="1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7" i="12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H51" i="13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76" i="14"/>
  <c r="J8" i="14" s="1"/>
  <c r="J51" i="13" s="1"/>
  <c r="S76" i="14"/>
  <c r="I8" i="14" s="1"/>
  <c r="I51" i="13" s="1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J145" i="4" l="1"/>
  <c r="J48" i="4"/>
  <c r="J73" i="12" s="1"/>
  <c r="J44" i="4"/>
  <c r="J33" i="12" s="1"/>
  <c r="J37" i="4"/>
  <c r="J52" i="12" s="1"/>
  <c r="J23" i="4"/>
  <c r="J17" i="17" s="1"/>
  <c r="J32" i="17" s="1"/>
  <c r="J12" i="4"/>
  <c r="J41" i="12" s="1"/>
  <c r="J11" i="4"/>
  <c r="J31" i="12" s="1"/>
  <c r="I43" i="4"/>
  <c r="I23" i="12" s="1"/>
  <c r="I15" i="4"/>
  <c r="I26" i="4" s="1"/>
  <c r="I20" i="17" s="1"/>
  <c r="I50" i="17" s="1"/>
  <c r="J46" i="4"/>
  <c r="J53" i="12" s="1"/>
  <c r="J35" i="4"/>
  <c r="J32" i="12" s="1"/>
  <c r="J10" i="4"/>
  <c r="J21" i="12" s="1"/>
  <c r="I39" i="4"/>
  <c r="I72" i="12" s="1"/>
  <c r="I14" i="4"/>
  <c r="I25" i="4" s="1"/>
  <c r="I19" i="17" s="1"/>
  <c r="I44" i="17" s="1"/>
  <c r="I10" i="4"/>
  <c r="J38" i="4"/>
  <c r="J62" i="12" s="1"/>
  <c r="J13" i="4"/>
  <c r="J51" i="12" s="1"/>
  <c r="I38" i="4"/>
  <c r="I62" i="12" s="1"/>
  <c r="I13" i="4"/>
  <c r="I24" i="4" s="1"/>
  <c r="I18" i="17" s="1"/>
  <c r="I38" i="17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J15" i="4"/>
  <c r="J26" i="4" s="1"/>
  <c r="J20" i="17" s="1"/>
  <c r="J50" i="17" s="1"/>
  <c r="I47" i="4"/>
  <c r="I63" i="12" s="1"/>
  <c r="I36" i="4"/>
  <c r="I42" i="12" s="1"/>
  <c r="I11" i="4"/>
  <c r="J39" i="4"/>
  <c r="J72" i="12" s="1"/>
  <c r="J14" i="4"/>
  <c r="J61" i="12" s="1"/>
  <c r="I46" i="4"/>
  <c r="I53" i="12" s="1"/>
  <c r="I35" i="4"/>
  <c r="I32" i="12" s="1"/>
  <c r="J45" i="4"/>
  <c r="J43" i="12" s="1"/>
  <c r="J34" i="4"/>
  <c r="J22" i="12" s="1"/>
  <c r="I45" i="4"/>
  <c r="I43" i="12" s="1"/>
  <c r="I34" i="4"/>
  <c r="I22" i="12" s="1"/>
  <c r="J47" i="4"/>
  <c r="J63" i="12" s="1"/>
  <c r="J43" i="4"/>
  <c r="J36" i="4"/>
  <c r="J42" i="12" s="1"/>
  <c r="H51" i="12"/>
  <c r="H40" i="4"/>
  <c r="H7" i="12" s="1"/>
  <c r="H52" i="13" s="1"/>
  <c r="H53" i="13"/>
  <c r="H32" i="13"/>
  <c r="T32" i="13"/>
  <c r="H26" i="4"/>
  <c r="H20" i="17" s="1"/>
  <c r="H50" i="17" s="1"/>
  <c r="H71" i="12"/>
  <c r="H185" i="12"/>
  <c r="B255" i="12" s="1"/>
  <c r="H255" i="12" s="1"/>
  <c r="I255" i="12" s="1"/>
  <c r="H184" i="12"/>
  <c r="B243" i="12" s="1"/>
  <c r="H243" i="12" s="1"/>
  <c r="H61" i="12"/>
  <c r="H25" i="4"/>
  <c r="H19" i="17" s="1"/>
  <c r="H44" i="17" s="1"/>
  <c r="H16" i="4"/>
  <c r="H6" i="12" s="1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H49" i="4"/>
  <c r="H8" i="12" s="1"/>
  <c r="H180" i="12"/>
  <c r="B195" i="12" s="1"/>
  <c r="H183" i="12"/>
  <c r="B231" i="12" s="1"/>
  <c r="H231" i="12" s="1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I242" i="12"/>
  <c r="G16" i="17"/>
  <c r="G27" i="4"/>
  <c r="F241" i="12"/>
  <c r="G241" i="12" s="1"/>
  <c r="G186" i="12"/>
  <c r="G171" i="12" s="1"/>
  <c r="H174" i="12" s="1"/>
  <c r="E252" i="12"/>
  <c r="E186" i="12"/>
  <c r="E171" i="12" s="1"/>
  <c r="B192" i="12"/>
  <c r="E19" i="17"/>
  <c r="E27" i="4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J71" i="12" l="1"/>
  <c r="I51" i="12"/>
  <c r="J180" i="12"/>
  <c r="B197" i="12" s="1"/>
  <c r="J197" i="12" s="1"/>
  <c r="K197" i="12" s="1"/>
  <c r="L197" i="12" s="1"/>
  <c r="J185" i="12"/>
  <c r="B257" i="12" s="1"/>
  <c r="J257" i="12" s="1"/>
  <c r="K257" i="12" s="1"/>
  <c r="L257" i="12" s="1"/>
  <c r="M257" i="12" s="1"/>
  <c r="J49" i="4"/>
  <c r="J8" i="12" s="1"/>
  <c r="I71" i="12"/>
  <c r="I185" i="12"/>
  <c r="B256" i="12" s="1"/>
  <c r="I256" i="12" s="1"/>
  <c r="J256" i="12" s="1"/>
  <c r="J24" i="4"/>
  <c r="J18" i="17" s="1"/>
  <c r="J38" i="17" s="1"/>
  <c r="I181" i="12"/>
  <c r="B208" i="12" s="1"/>
  <c r="I208" i="12" s="1"/>
  <c r="J208" i="12" s="1"/>
  <c r="K208" i="12" s="1"/>
  <c r="I40" i="4"/>
  <c r="I7" i="12" s="1"/>
  <c r="I52" i="13" s="1"/>
  <c r="I16" i="4"/>
  <c r="I6" i="12" s="1"/>
  <c r="J184" i="12"/>
  <c r="B245" i="12" s="1"/>
  <c r="J245" i="12" s="1"/>
  <c r="K245" i="12" s="1"/>
  <c r="I180" i="12"/>
  <c r="B196" i="12" s="1"/>
  <c r="I196" i="12" s="1"/>
  <c r="J182" i="12"/>
  <c r="B221" i="12" s="1"/>
  <c r="J22" i="4"/>
  <c r="J16" i="17" s="1"/>
  <c r="J26" i="17" s="1"/>
  <c r="I182" i="12"/>
  <c r="B220" i="12" s="1"/>
  <c r="I220" i="12" s="1"/>
  <c r="J220" i="12" s="1"/>
  <c r="J183" i="12"/>
  <c r="B233" i="12" s="1"/>
  <c r="J233" i="12" s="1"/>
  <c r="I22" i="4"/>
  <c r="I16" i="17" s="1"/>
  <c r="I21" i="17" s="1"/>
  <c r="I49" i="4"/>
  <c r="I8" i="12" s="1"/>
  <c r="J25" i="4"/>
  <c r="J19" i="17" s="1"/>
  <c r="J44" i="17" s="1"/>
  <c r="I183" i="12"/>
  <c r="B232" i="12" s="1"/>
  <c r="J181" i="12"/>
  <c r="B209" i="12" s="1"/>
  <c r="J209" i="12" s="1"/>
  <c r="K209" i="12" s="1"/>
  <c r="J23" i="12"/>
  <c r="I21" i="12"/>
  <c r="I61" i="12"/>
  <c r="I31" i="12"/>
  <c r="J16" i="4"/>
  <c r="J6" i="12" s="1"/>
  <c r="I184" i="12"/>
  <c r="B244" i="12" s="1"/>
  <c r="I244" i="12" s="1"/>
  <c r="J244" i="12" s="1"/>
  <c r="K244" i="12" s="1"/>
  <c r="J40" i="4"/>
  <c r="J7" i="12" s="1"/>
  <c r="J52" i="13" s="1"/>
  <c r="J255" i="12"/>
  <c r="K255" i="12" s="1"/>
  <c r="J207" i="12"/>
  <c r="K207" i="12" s="1"/>
  <c r="H186" i="12"/>
  <c r="H171" i="12" s="1"/>
  <c r="I174" i="12" s="1"/>
  <c r="I243" i="12"/>
  <c r="J243" i="12" s="1"/>
  <c r="K243" i="12" s="1"/>
  <c r="I219" i="12"/>
  <c r="J219" i="12" s="1"/>
  <c r="K219" i="12" s="1"/>
  <c r="H27" i="4"/>
  <c r="J23" i="13"/>
  <c r="J24" i="13" s="1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J242" i="12"/>
  <c r="K242" i="12" s="1"/>
  <c r="G229" i="12"/>
  <c r="H38" i="17"/>
  <c r="H57" i="17" s="1"/>
  <c r="H21" i="17"/>
  <c r="G204" i="12"/>
  <c r="G49" i="17"/>
  <c r="G51" i="17" s="1"/>
  <c r="H48" i="17" s="1"/>
  <c r="I193" i="12"/>
  <c r="H230" i="12"/>
  <c r="I228" i="12"/>
  <c r="H206" i="12"/>
  <c r="F174" i="12"/>
  <c r="I194" i="12"/>
  <c r="G205" i="12"/>
  <c r="H195" i="12"/>
  <c r="H241" i="12"/>
  <c r="I241" i="12" s="1"/>
  <c r="I24" i="13"/>
  <c r="F252" i="12"/>
  <c r="F240" i="12"/>
  <c r="E44" i="17"/>
  <c r="E21" i="17"/>
  <c r="J254" i="12"/>
  <c r="K254" i="12" s="1"/>
  <c r="E192" i="12"/>
  <c r="G26" i="17"/>
  <c r="G57" i="17" s="1"/>
  <c r="G21" i="17"/>
  <c r="B234" i="12" l="1"/>
  <c r="J57" i="17"/>
  <c r="B198" i="12"/>
  <c r="K256" i="12"/>
  <c r="L256" i="12" s="1"/>
  <c r="B258" i="12"/>
  <c r="B222" i="12"/>
  <c r="B210" i="12"/>
  <c r="L255" i="12"/>
  <c r="M255" i="12" s="1"/>
  <c r="I27" i="4"/>
  <c r="L245" i="12"/>
  <c r="M245" i="12" s="1"/>
  <c r="N245" i="12" s="1"/>
  <c r="K220" i="12"/>
  <c r="L220" i="12" s="1"/>
  <c r="M220" i="12" s="1"/>
  <c r="I26" i="17"/>
  <c r="I57" i="17" s="1"/>
  <c r="J21" i="17"/>
  <c r="I232" i="12"/>
  <c r="J232" i="12" s="1"/>
  <c r="K232" i="12" s="1"/>
  <c r="L244" i="12"/>
  <c r="M244" i="12" s="1"/>
  <c r="N244" i="12" s="1"/>
  <c r="B246" i="12"/>
  <c r="J27" i="4"/>
  <c r="J186" i="12"/>
  <c r="J171" i="12" s="1"/>
  <c r="K174" i="12" s="1"/>
  <c r="I186" i="12"/>
  <c r="I171" i="12" s="1"/>
  <c r="J174" i="12" s="1"/>
  <c r="K233" i="12"/>
  <c r="L233" i="12" s="1"/>
  <c r="M233" i="12" s="1"/>
  <c r="J22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197" i="12"/>
  <c r="N197" i="12" s="1"/>
  <c r="H229" i="12"/>
  <c r="I10" i="14"/>
  <c r="H49" i="17"/>
  <c r="H51" i="17" s="1"/>
  <c r="I48" i="17" s="1"/>
  <c r="L253" i="12"/>
  <c r="M253" i="12" s="1"/>
  <c r="L231" i="12"/>
  <c r="J196" i="12"/>
  <c r="K196" i="12" s="1"/>
  <c r="J10" i="14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J228" i="12"/>
  <c r="K228" i="12" s="1"/>
  <c r="H205" i="12"/>
  <c r="I205" i="12" s="1"/>
  <c r="J194" i="12"/>
  <c r="K194" i="12" s="1"/>
  <c r="L194" i="12" s="1"/>
  <c r="L207" i="12"/>
  <c r="I195" i="12"/>
  <c r="M256" i="12" l="1"/>
  <c r="N256" i="12" s="1"/>
  <c r="B261" i="12"/>
  <c r="O245" i="12"/>
  <c r="P245" i="12" s="1"/>
  <c r="Q245" i="12" s="1"/>
  <c r="N255" i="12"/>
  <c r="O255" i="12" s="1"/>
  <c r="P255" i="12" s="1"/>
  <c r="Q255" i="12" s="1"/>
  <c r="R255" i="12" s="1"/>
  <c r="K221" i="12"/>
  <c r="L232" i="12"/>
  <c r="M232" i="12" s="1"/>
  <c r="N232" i="12" s="1"/>
  <c r="N219" i="12"/>
  <c r="O219" i="12" s="1"/>
  <c r="P219" i="12" s="1"/>
  <c r="Q219" i="12" s="1"/>
  <c r="E261" i="12"/>
  <c r="E172" i="12" s="1"/>
  <c r="J134" i="12"/>
  <c r="K134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I204" i="12"/>
  <c r="L228" i="12"/>
  <c r="N253" i="12"/>
  <c r="J37" i="17"/>
  <c r="J39" i="17" s="1"/>
  <c r="K36" i="17" s="1"/>
  <c r="H6" i="20" s="1"/>
  <c r="L196" i="12"/>
  <c r="M231" i="12"/>
  <c r="J205" i="12"/>
  <c r="M207" i="12"/>
  <c r="N207" i="12" s="1"/>
  <c r="E45" i="17"/>
  <c r="J195" i="12"/>
  <c r="K195" i="12" s="1"/>
  <c r="O256" i="12" l="1"/>
  <c r="P256" i="12" s="1"/>
  <c r="Q256" i="12" s="1"/>
  <c r="R256" i="12" s="1"/>
  <c r="S256" i="12" s="1"/>
  <c r="T256" i="12" s="1"/>
  <c r="U256" i="12" s="1"/>
  <c r="V256" i="12" s="1"/>
  <c r="W256" i="12" s="1"/>
  <c r="X256" i="12" s="1"/>
  <c r="Y256" i="12" s="1"/>
  <c r="Z256" i="12" s="1"/>
  <c r="AA256" i="12" s="1"/>
  <c r="L221" i="12"/>
  <c r="O232" i="12"/>
  <c r="P232" i="12" s="1"/>
  <c r="Q232" i="12" s="1"/>
  <c r="I133" i="12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H8" i="20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M221" i="12" l="1"/>
  <c r="R232" i="12"/>
  <c r="S232" i="12" s="1"/>
  <c r="I136" i="12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T232" i="12" l="1"/>
  <c r="U232" i="12" s="1"/>
  <c r="N221" i="12"/>
  <c r="K215" i="12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K246" i="12"/>
  <c r="V232" i="12" l="1"/>
  <c r="W232" i="12" s="1"/>
  <c r="X232" i="12" s="1"/>
  <c r="Y232" i="12" s="1"/>
  <c r="Z232" i="12" s="1"/>
  <c r="AA232" i="12" s="1"/>
  <c r="O221" i="12"/>
  <c r="L203" i="12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P221" i="12" l="1"/>
  <c r="N203" i="12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65" i="12"/>
  <c r="N60" i="12" s="1"/>
  <c r="N65" i="12" s="1"/>
  <c r="O60" i="12" s="1"/>
  <c r="Q221" i="12"/>
  <c r="R221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S221" i="12"/>
  <c r="T221" i="12" s="1"/>
  <c r="U221" i="12" s="1"/>
  <c r="N45" i="12"/>
  <c r="O40" i="12" s="1"/>
  <c r="M75" i="12"/>
  <c r="N70" i="12" s="1"/>
  <c r="N75" i="12" s="1"/>
  <c r="O70" i="12" s="1"/>
  <c r="M261" i="12"/>
  <c r="M172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M173" i="12" l="1"/>
  <c r="N170" i="12" s="1"/>
  <c r="N173" i="12" s="1"/>
  <c r="O170" i="12" s="1"/>
  <c r="V221" i="12"/>
  <c r="W221" i="12" s="1"/>
  <c r="X221" i="12" s="1"/>
  <c r="Y221" i="12" s="1"/>
  <c r="Z221" i="12" s="1"/>
  <c r="AA221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P55" i="12" l="1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Q55" i="12" l="1"/>
  <c r="R50" i="12" s="1"/>
  <c r="Q261" i="12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U37" i="17"/>
  <c r="U39" i="17" s="1"/>
  <c r="V36" i="17" s="1"/>
  <c r="S210" i="12"/>
  <c r="T204" i="12"/>
  <c r="U246" i="12"/>
  <c r="U64" i="12" s="1"/>
  <c r="V240" i="12"/>
  <c r="V216" i="12"/>
  <c r="R55" i="12" l="1"/>
  <c r="S50" i="12" s="1"/>
  <c r="R261" i="12"/>
  <c r="R172" i="12" s="1"/>
  <c r="R173" i="12" s="1"/>
  <c r="S170" i="12" s="1"/>
  <c r="S75" i="12"/>
  <c r="T70" i="12" s="1"/>
  <c r="I30" i="13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55" i="12" l="1"/>
  <c r="T50" i="12" s="1"/>
  <c r="S261" i="12"/>
  <c r="S172" i="12" s="1"/>
  <c r="S173" i="12" s="1"/>
  <c r="T170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H7" i="20" s="1"/>
  <c r="Y228" i="12"/>
  <c r="K10" i="12"/>
  <c r="W37" i="17"/>
  <c r="W39" i="17" s="1"/>
  <c r="X36" i="17" s="1"/>
  <c r="W230" i="12"/>
  <c r="V234" i="12"/>
  <c r="U210" i="12"/>
  <c r="V204" i="12"/>
  <c r="S35" i="12" l="1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V75" i="12" l="1"/>
  <c r="W70" i="12" s="1"/>
  <c r="T35" i="12"/>
  <c r="U3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V97" i="12"/>
  <c r="U119" i="12"/>
  <c r="U83" i="12" s="1"/>
  <c r="Y136" i="12"/>
  <c r="Z133" i="12"/>
  <c r="Z108" i="12"/>
  <c r="AA105" i="12"/>
  <c r="AA108" i="12" s="1"/>
  <c r="W116" i="12"/>
  <c r="W74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W75" i="12" l="1"/>
  <c r="X70" i="12" s="1"/>
  <c r="U35" i="12"/>
  <c r="V30" i="12" s="1"/>
  <c r="U9" i="12"/>
  <c r="V261" i="12"/>
  <c r="V172" i="12" s="1"/>
  <c r="V173" i="12" s="1"/>
  <c r="W170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X75" i="12" s="1"/>
  <c r="Y70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Z65" i="12" l="1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X261" i="12" l="1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Y25" i="12" l="1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Z25" i="12" l="1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H5" i="20" s="1"/>
  <c r="H9" i="20" s="1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L24" i="17"/>
  <c r="D85" i="12"/>
  <c r="C85" i="12" s="1"/>
  <c r="AA9" i="12"/>
  <c r="I35" i="13"/>
  <c r="AA84" i="12"/>
  <c r="N45" i="17"/>
  <c r="O77" i="12"/>
  <c r="O14" i="12"/>
  <c r="P5" i="12"/>
  <c r="J58" i="13" l="1"/>
  <c r="B20" i="20"/>
  <c r="J59" i="13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<sst xmlns="http://schemas.openxmlformats.org/spreadsheetml/2006/main" count="1237" uniqueCount="423">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</sst>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  <numFmt numFmtId="187" formatCode="0.000000"/>
    <numFmt numFmtId="188" formatCode="&quot;$&quot;#,##0.000000;\-&quot;$&quot;#,##0.000000"/>
  </numFmts>
  <fonts count="5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972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10" fillId="2" borderId="8" xfId="4" applyNumberFormat="1" applyFont="1" applyFill="1" applyBorder="1"/>
    <xf numFmtId="3" fontId="10" fillId="2" borderId="9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76" fontId="5" fillId="0" borderId="0" xfId="6" applyNumberFormat="1" applyFont="1" applyFill="1" applyBorder="1" applyAlignment="1">
      <alignment horizontal="center"/>
    </xf>
    <xf numFmtId="165" fontId="4" fillId="0" borderId="0" xfId="6" applyNumberFormat="1" applyFont="1" applyFill="1" applyBorder="1"/>
    <xf numFmtId="0" fontId="5" fillId="0" borderId="15" xfId="4" quotePrefix="1" applyFont="1" applyFill="1" applyBorder="1" applyAlignment="1">
      <alignment horizontal="right"/>
    </xf>
    <xf numFmtId="0" fontId="5" fillId="0" borderId="16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4" fillId="0" borderId="15" xfId="4" applyFont="1" applyFill="1" applyBorder="1" applyAlignment="1">
      <alignment horizontal="center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4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0" borderId="15" xfId="4" applyFont="1" applyFill="1" applyBorder="1"/>
    <xf numFmtId="0" fontId="4" fillId="0" borderId="17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1" fontId="4" fillId="0" borderId="13" xfId="4" applyNumberFormat="1" applyFont="1" applyFill="1" applyBorder="1" applyAlignment="1">
      <alignment horizontal="center"/>
    </xf>
    <xf numFmtId="171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1" fontId="10" fillId="3" borderId="13" xfId="4" applyNumberFormat="1" applyFont="1" applyFill="1" applyBorder="1" applyAlignment="1">
      <alignment horizontal="center"/>
    </xf>
    <xf numFmtId="171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3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4" fontId="19" fillId="0" borderId="15" xfId="2" applyNumberFormat="1" applyFont="1" applyBorder="1"/>
    <xf numFmtId="164" fontId="19" fillId="0" borderId="16" xfId="2" applyNumberFormat="1" applyFont="1" applyBorder="1"/>
    <xf numFmtId="164" fontId="19" fillId="0" borderId="17" xfId="2" applyNumberFormat="1" applyFont="1" applyBorder="1"/>
    <xf numFmtId="164" fontId="19" fillId="0" borderId="5" xfId="0" applyNumberFormat="1" applyFont="1" applyBorder="1"/>
    <xf numFmtId="164" fontId="19" fillId="0" borderId="0" xfId="0" applyNumberFormat="1" applyFont="1" applyBorder="1"/>
    <xf numFmtId="164" fontId="19" fillId="0" borderId="6" xfId="0" applyNumberFormat="1" applyFont="1" applyBorder="1"/>
    <xf numFmtId="164" fontId="19" fillId="0" borderId="10" xfId="0" applyNumberFormat="1" applyFont="1" applyBorder="1"/>
    <xf numFmtId="164" fontId="19" fillId="0" borderId="11" xfId="0" applyNumberFormat="1" applyFont="1" applyBorder="1"/>
    <xf numFmtId="164" fontId="19" fillId="0" borderId="12" xfId="0" applyNumberFormat="1" applyFont="1" applyBorder="1"/>
    <xf numFmtId="164" fontId="20" fillId="0" borderId="8" xfId="0" applyNumberFormat="1" applyFont="1" applyBorder="1"/>
    <xf numFmtId="164" fontId="19" fillId="0" borderId="0" xfId="0" applyNumberFormat="1" applyFont="1"/>
    <xf numFmtId="164" fontId="20" fillId="0" borderId="0" xfId="2" applyNumberFormat="1" applyFont="1" applyBorder="1"/>
    <xf numFmtId="164" fontId="20" fillId="0" borderId="20" xfId="0" applyNumberFormat="1" applyFont="1" applyBorder="1"/>
    <xf numFmtId="164" fontId="19" fillId="0" borderId="0" xfId="6" applyNumberFormat="1" applyFont="1" applyFill="1"/>
    <xf numFmtId="166" fontId="20" fillId="0" borderId="0" xfId="2" applyNumberFormat="1" applyFont="1"/>
    <xf numFmtId="164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4" fontId="23" fillId="0" borderId="0" xfId="0" applyNumberFormat="1" applyFont="1" applyFill="1" applyBorder="1" applyAlignment="1">
      <alignment horizontal="center"/>
    </xf>
    <xf numFmtId="165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5" fontId="20" fillId="0" borderId="0" xfId="6" applyNumberFormat="1" applyFont="1" applyFill="1" applyBorder="1"/>
    <xf numFmtId="0" fontId="21" fillId="0" borderId="0" xfId="0" applyFont="1" applyFill="1"/>
    <xf numFmtId="3" fontId="26" fillId="0" borderId="0" xfId="0" applyNumberFormat="1" applyFont="1" applyFill="1"/>
    <xf numFmtId="167" fontId="19" fillId="0" borderId="15" xfId="0" applyNumberFormat="1" applyFont="1" applyBorder="1"/>
    <xf numFmtId="167" fontId="19" fillId="0" borderId="16" xfId="0" applyNumberFormat="1" applyFont="1" applyBorder="1"/>
    <xf numFmtId="167" fontId="19" fillId="0" borderId="17" xfId="0" applyNumberFormat="1" applyFont="1" applyBorder="1"/>
    <xf numFmtId="167" fontId="19" fillId="0" borderId="5" xfId="0" applyNumberFormat="1" applyFont="1" applyBorder="1"/>
    <xf numFmtId="167" fontId="19" fillId="0" borderId="0" xfId="0" applyNumberFormat="1" applyFont="1" applyBorder="1"/>
    <xf numFmtId="167" fontId="19" fillId="0" borderId="6" xfId="0" applyNumberFormat="1" applyFont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7" fontId="19" fillId="0" borderId="5" xfId="2" applyNumberFormat="1" applyFont="1" applyBorder="1"/>
    <xf numFmtId="167" fontId="19" fillId="0" borderId="0" xfId="2" applyNumberFormat="1" applyFont="1" applyBorder="1"/>
    <xf numFmtId="167" fontId="19" fillId="0" borderId="6" xfId="2" applyNumberFormat="1" applyFont="1" applyBorder="1"/>
    <xf numFmtId="167" fontId="19" fillId="0" borderId="10" xfId="0" applyNumberFormat="1" applyFont="1" applyBorder="1"/>
    <xf numFmtId="167" fontId="19" fillId="0" borderId="11" xfId="0" applyNumberFormat="1" applyFont="1" applyBorder="1"/>
    <xf numFmtId="167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7" fillId="0" borderId="0" xfId="0" applyNumberFormat="1" applyFont="1" applyFill="1" applyBorder="1" applyAlignment="1" applyProtection="1">
      <alignment horizontal="center"/>
    </xf>
    <xf numFmtId="168" fontId="19" fillId="0" borderId="0" xfId="0" applyNumberFormat="1" applyFont="1" applyFill="1" applyBorder="1"/>
    <xf numFmtId="168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8" fillId="0" borderId="0" xfId="0" applyFont="1" applyFill="1" applyBorder="1" applyProtection="1"/>
    <xf numFmtId="0" fontId="28" fillId="0" borderId="0" xfId="0" applyFont="1" applyFill="1" applyBorder="1"/>
    <xf numFmtId="4" fontId="28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6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69" fontId="19" fillId="0" borderId="0" xfId="0" applyNumberFormat="1" applyFont="1" applyFill="1" applyBorder="1"/>
    <xf numFmtId="169" fontId="19" fillId="0" borderId="0" xfId="2" applyNumberFormat="1" applyFont="1" applyFill="1" applyBorder="1"/>
    <xf numFmtId="43" fontId="19" fillId="0" borderId="11" xfId="2" applyFont="1" applyFill="1" applyBorder="1"/>
    <xf numFmtId="43" fontId="19" fillId="0" borderId="0" xfId="2" applyFont="1" applyFill="1" applyBorder="1"/>
    <xf numFmtId="43" fontId="19" fillId="0" borderId="0" xfId="2" applyFont="1" applyFill="1"/>
    <xf numFmtId="10" fontId="19" fillId="0" borderId="19" xfId="6" applyNumberFormat="1" applyFont="1" applyFill="1" applyBorder="1"/>
    <xf numFmtId="169" fontId="19" fillId="0" borderId="16" xfId="2" applyNumberFormat="1" applyFont="1" applyFill="1" applyBorder="1"/>
    <xf numFmtId="169" fontId="19" fillId="0" borderId="11" xfId="2" applyNumberFormat="1" applyFont="1" applyFill="1" applyBorder="1"/>
    <xf numFmtId="169" fontId="20" fillId="0" borderId="3" xfId="2" applyNumberFormat="1" applyFont="1" applyFill="1" applyBorder="1"/>
    <xf numFmtId="169" fontId="20" fillId="0" borderId="0" xfId="2" applyNumberFormat="1" applyFont="1" applyFill="1" applyBorder="1"/>
    <xf numFmtId="165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8" fillId="0" borderId="0" xfId="0" applyNumberFormat="1" applyFont="1" applyFill="1" applyBorder="1"/>
    <xf numFmtId="0" fontId="29" fillId="0" borderId="0" xfId="0" applyFont="1"/>
    <xf numFmtId="3" fontId="19" fillId="0" borderId="3" xfId="0" applyNumberFormat="1" applyFont="1" applyFill="1" applyBorder="1"/>
    <xf numFmtId="3" fontId="26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9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8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Border="1" applyAlignment="1">
      <alignment horizontal="left"/>
    </xf>
    <xf numFmtId="171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30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1" fillId="0" borderId="0" xfId="0" applyFont="1" applyFill="1"/>
    <xf numFmtId="0" fontId="31" fillId="0" borderId="0" xfId="0" applyFont="1"/>
    <xf numFmtId="9" fontId="19" fillId="0" borderId="0" xfId="6" applyFont="1" applyFill="1"/>
    <xf numFmtId="0" fontId="29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6" fillId="0" borderId="0" xfId="0" applyFont="1" applyFill="1"/>
    <xf numFmtId="3" fontId="26" fillId="0" borderId="0" xfId="0" applyNumberFormat="1" applyFont="1" applyFill="1" applyAlignment="1">
      <alignment horizontal="center"/>
    </xf>
    <xf numFmtId="3" fontId="28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2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2" fillId="0" borderId="0" xfId="0" applyFont="1" applyFill="1" applyBorder="1"/>
    <xf numFmtId="0" fontId="33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2" fillId="0" borderId="0" xfId="0" applyNumberFormat="1" applyFont="1" applyFill="1" applyBorder="1"/>
    <xf numFmtId="3" fontId="34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44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6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44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0" fontId="20" fillId="3" borderId="0" xfId="0" applyFont="1" applyFill="1"/>
    <xf numFmtId="10" fontId="19" fillId="3" borderId="16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43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5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1" fontId="4" fillId="0" borderId="19" xfId="4" applyNumberFormat="1" applyFont="1" applyFill="1" applyBorder="1" applyAlignment="1">
      <alignment horizontal="center"/>
    </xf>
    <xf numFmtId="171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43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3" fontId="4" fillId="0" borderId="19" xfId="4" applyNumberFormat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3" fontId="10" fillId="2" borderId="6" xfId="3" applyNumberFormat="1" applyFont="1" applyFill="1" applyBorder="1" applyAlignment="1"/>
    <xf numFmtId="0" fontId="4" fillId="0" borderId="0" xfId="4" applyFont="1" applyBorder="1" applyAlignment="1"/>
    <xf numFmtId="0" fontId="0" fillId="0" borderId="6" xfId="0" applyBorder="1" applyAlignment="1"/>
    <xf numFmtId="173" fontId="10" fillId="2" borderId="12" xfId="3" applyNumberFormat="1" applyFont="1" applyFill="1" applyBorder="1" applyAlignment="1"/>
    <xf numFmtId="173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4" fontId="4" fillId="0" borderId="0" xfId="0" applyNumberFormat="1" applyFont="1" applyBorder="1"/>
    <xf numFmtId="3" fontId="9" fillId="0" borderId="0" xfId="0" applyNumberFormat="1" applyFont="1" applyFill="1"/>
    <xf numFmtId="167" fontId="4" fillId="0" borderId="0" xfId="0" applyNumberFormat="1" applyFont="1" applyBorder="1"/>
    <xf numFmtId="167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9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/>
    <xf numFmtId="168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6" fillId="0" borderId="0" xfId="0" applyFont="1" applyFill="1" applyBorder="1" applyProtection="1"/>
    <xf numFmtId="0" fontId="36" fillId="0" borderId="0" xfId="0" applyFont="1" applyFill="1" applyBorder="1"/>
    <xf numFmtId="4" fontId="36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69" fontId="4" fillId="0" borderId="0" xfId="0" applyNumberFormat="1" applyFont="1" applyFill="1" applyBorder="1"/>
    <xf numFmtId="169" fontId="4" fillId="0" borderId="0" xfId="2" applyNumberFormat="1" applyFont="1" applyFill="1" applyBorder="1"/>
    <xf numFmtId="43" fontId="4" fillId="0" borderId="11" xfId="2" applyFont="1" applyFill="1" applyBorder="1"/>
    <xf numFmtId="43" fontId="4" fillId="0" borderId="0" xfId="2" applyFont="1" applyFill="1" applyBorder="1"/>
    <xf numFmtId="169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8" fillId="0" borderId="0" xfId="0" applyNumberFormat="1" applyFont="1" applyFill="1" applyBorder="1"/>
    <xf numFmtId="0" fontId="5" fillId="0" borderId="11" xfId="0" applyFont="1" applyBorder="1"/>
    <xf numFmtId="3" fontId="38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6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Border="1" applyAlignment="1">
      <alignment horizontal="left"/>
    </xf>
    <xf numFmtId="171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6" fillId="0" borderId="0" xfId="0" applyNumberFormat="1" applyFont="1"/>
    <xf numFmtId="0" fontId="38" fillId="0" borderId="0" xfId="0" applyFont="1" applyBorder="1"/>
    <xf numFmtId="171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43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43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5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66" fontId="4" fillId="0" borderId="0" xfId="1" applyNumberFormat="1" applyFont="1"/>
    <xf numFmtId="181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1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0" fontId="5" fillId="0" borderId="13" xfId="1" applyNumberFormat="1" applyFont="1" applyFill="1" applyBorder="1" applyAlignment="1">
      <alignment horizontal="center"/>
    </xf>
    <xf numFmtId="170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66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6" fillId="0" borderId="0" xfId="1" applyNumberFormat="1" applyFont="1" applyBorder="1"/>
    <xf numFmtId="0" fontId="36" fillId="0" borderId="0" xfId="1" applyFont="1" applyFill="1"/>
    <xf numFmtId="182" fontId="36" fillId="0" borderId="0" xfId="1" applyNumberFormat="1" applyFont="1" applyFill="1" applyAlignment="1">
      <alignment horizontal="center"/>
    </xf>
    <xf numFmtId="182" fontId="36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2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78" fontId="4" fillId="0" borderId="0" xfId="0" applyNumberFormat="1" applyFont="1" applyFill="1" applyProtection="1"/>
    <xf numFmtId="177" fontId="4" fillId="0" borderId="0" xfId="0" applyNumberFormat="1" applyFont="1" applyFill="1" applyBorder="1" applyProtection="1"/>
    <xf numFmtId="4" fontId="10" fillId="0" borderId="0" xfId="0" applyNumberFormat="1" applyFont="1" applyFill="1" applyBorder="1" applyAlignment="1" applyProtection="1">
      <alignment horizontal="center"/>
    </xf>
    <xf numFmtId="1" fontId="40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8" fillId="0" borderId="0" xfId="0" applyFont="1" applyFill="1" applyBorder="1"/>
    <xf numFmtId="9" fontId="4" fillId="0" borderId="0" xfId="0" applyNumberFormat="1" applyFont="1" applyBorder="1"/>
    <xf numFmtId="169" fontId="5" fillId="0" borderId="3" xfId="2" applyNumberFormat="1" applyFont="1" applyBorder="1"/>
    <xf numFmtId="10" fontId="4" fillId="0" borderId="0" xfId="6" applyNumberFormat="1" applyFont="1" applyBorder="1"/>
    <xf numFmtId="43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7" fontId="4" fillId="0" borderId="0" xfId="0" applyNumberFormat="1" applyFont="1" applyProtection="1"/>
    <xf numFmtId="3" fontId="4" fillId="0" borderId="8" xfId="0" applyNumberFormat="1" applyFont="1" applyBorder="1" applyProtection="1"/>
    <xf numFmtId="0" fontId="14" fillId="0" borderId="0" xfId="0" applyFont="1" applyAlignment="1" applyProtection="1">
      <alignment horizontal="right"/>
    </xf>
    <xf numFmtId="0" fontId="41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5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1" fontId="23" fillId="3" borderId="0" xfId="0" applyNumberFormat="1" applyFont="1" applyFill="1" applyAlignment="1" applyProtection="1">
      <alignment horizontal="right"/>
    </xf>
    <xf numFmtId="44" fontId="42" fillId="3" borderId="0" xfId="3" applyFont="1" applyFill="1"/>
    <xf numFmtId="0" fontId="42" fillId="0" borderId="0" xfId="0" applyFont="1" applyFill="1"/>
    <xf numFmtId="172" fontId="42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44" fontId="42" fillId="3" borderId="0" xfId="0" applyNumberFormat="1" applyFont="1" applyFill="1"/>
    <xf numFmtId="42" fontId="42" fillId="3" borderId="0" xfId="0" applyNumberFormat="1" applyFont="1" applyFill="1"/>
    <xf numFmtId="0" fontId="42" fillId="0" borderId="0" xfId="0" applyFont="1"/>
    <xf numFmtId="3" fontId="42" fillId="3" borderId="0" xfId="0" applyNumberFormat="1" applyFont="1" applyFill="1" applyBorder="1"/>
    <xf numFmtId="164" fontId="23" fillId="3" borderId="0" xfId="0" applyNumberFormat="1" applyFont="1" applyFill="1" applyBorder="1" applyAlignment="1">
      <alignment horizontal="center"/>
    </xf>
    <xf numFmtId="44" fontId="10" fillId="3" borderId="0" xfId="3" applyFont="1" applyFill="1"/>
    <xf numFmtId="0" fontId="23" fillId="0" borderId="0" xfId="0" applyFont="1"/>
    <xf numFmtId="0" fontId="43" fillId="0" borderId="0" xfId="0" applyFont="1"/>
    <xf numFmtId="3" fontId="42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2" fontId="9" fillId="6" borderId="0" xfId="1" applyNumberFormat="1" applyFont="1" applyFill="1" applyAlignment="1">
      <alignment horizontal="center"/>
    </xf>
    <xf numFmtId="182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2" fontId="9" fillId="4" borderId="0" xfId="0" applyNumberFormat="1" applyFont="1" applyFill="1"/>
    <xf numFmtId="185" fontId="4" fillId="3" borderId="19" xfId="3" applyNumberFormat="1" applyFont="1" applyFill="1" applyBorder="1" applyAlignment="1">
      <alignment horizontal="center"/>
    </xf>
    <xf numFmtId="185" fontId="4" fillId="0" borderId="19" xfId="4" applyNumberFormat="1" applyFont="1" applyFill="1" applyBorder="1" applyAlignment="1">
      <alignment horizontal="center"/>
    </xf>
    <xf numFmtId="185" fontId="4" fillId="3" borderId="14" xfId="3" applyNumberFormat="1" applyFont="1" applyFill="1" applyBorder="1" applyAlignment="1">
      <alignment horizontal="center"/>
    </xf>
    <xf numFmtId="0" fontId="10" fillId="9" borderId="0" xfId="1" applyFont="1" applyFill="1"/>
    <xf numFmtId="1" fontId="11" fillId="0" borderId="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" fontId="44" fillId="0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/>
    <xf numFmtId="0" fontId="4" fillId="4" borderId="0" xfId="0" applyFont="1" applyFill="1" applyProtection="1"/>
    <xf numFmtId="3" fontId="4" fillId="0" borderId="3" xfId="0" applyNumberFormat="1" applyFont="1" applyBorder="1" applyProtection="1"/>
    <xf numFmtId="169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8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8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173" fontId="4" fillId="3" borderId="5" xfId="3" applyNumberFormat="1" applyFont="1" applyFill="1" applyBorder="1" applyAlignment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2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5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76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79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5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7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0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66" fontId="9" fillId="0" borderId="0" xfId="2" applyNumberFormat="1" applyFont="1" applyProtection="1"/>
    <xf numFmtId="166" fontId="5" fillId="0" borderId="0" xfId="2" applyNumberFormat="1" applyFont="1" applyProtection="1"/>
    <xf numFmtId="171" fontId="4" fillId="3" borderId="13" xfId="4" applyNumberFormat="1" applyFont="1" applyFill="1" applyBorder="1" applyAlignment="1" applyProtection="1">
      <alignment horizontal="center"/>
    </xf>
    <xf numFmtId="171" fontId="4" fillId="3" borderId="19" xfId="4" applyNumberFormat="1" applyFont="1" applyFill="1" applyBorder="1" applyAlignment="1" applyProtection="1">
      <alignment horizontal="center"/>
    </xf>
    <xf numFmtId="171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5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43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6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2" fontId="36" fillId="4" borderId="0" xfId="0" applyNumberFormat="1" applyFont="1" applyFill="1" applyAlignment="1" applyProtection="1">
      <alignment horizontal="center"/>
    </xf>
    <xf numFmtId="44" fontId="4" fillId="3" borderId="0" xfId="1" applyNumberFormat="1" applyFont="1" applyFill="1" applyProtection="1"/>
    <xf numFmtId="44" fontId="4" fillId="0" borderId="0" xfId="1" applyNumberFormat="1" applyFont="1" applyFill="1" applyProtection="1"/>
    <xf numFmtId="0" fontId="38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1" fontId="10" fillId="3" borderId="19" xfId="1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/>
    </xf>
    <xf numFmtId="0" fontId="4" fillId="0" borderId="15" xfId="4" applyFont="1" applyBorder="1" applyAlignment="1">
      <alignment horizontal="center"/>
    </xf>
    <xf numFmtId="173" fontId="10" fillId="3" borderId="5" xfId="3" applyNumberFormat="1" applyFont="1" applyFill="1" applyBorder="1" applyAlignment="1"/>
    <xf numFmtId="173" fontId="10" fillId="3" borderId="10" xfId="3" applyNumberFormat="1" applyFont="1" applyFill="1" applyBorder="1" applyAlignment="1"/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3" fontId="4" fillId="2" borderId="6" xfId="3" applyNumberFormat="1" applyFont="1" applyFill="1" applyBorder="1" applyAlignment="1"/>
    <xf numFmtId="173" fontId="4" fillId="2" borderId="12" xfId="3" applyNumberFormat="1" applyFont="1" applyFill="1" applyBorder="1" applyAlignme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0" fontId="38" fillId="0" borderId="2" xfId="4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3" fontId="14" fillId="0" borderId="19" xfId="4" applyNumberFormat="1" applyFont="1" applyFill="1" applyBorder="1" applyAlignment="1">
      <alignment horizontal="right"/>
    </xf>
    <xf numFmtId="185" fontId="14" fillId="0" borderId="19" xfId="4" applyNumberFormat="1" applyFont="1" applyFill="1" applyBorder="1" applyAlignment="1">
      <alignment horizontal="right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4" fillId="0" borderId="19" xfId="4" applyFont="1" applyBorder="1"/>
    <xf numFmtId="0" fontId="41" fillId="0" borderId="19" xfId="0" applyFont="1" applyBorder="1" applyAlignment="1">
      <alignment horizontal="left"/>
    </xf>
    <xf numFmtId="173" fontId="10" fillId="3" borderId="19" xfId="3" applyNumberFormat="1" applyFont="1" applyFill="1" applyBorder="1" applyAlignment="1"/>
    <xf numFmtId="173" fontId="10" fillId="3" borderId="14" xfId="3" applyNumberFormat="1" applyFont="1" applyFill="1" applyBorder="1" applyAlignment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6" xfId="4" applyFont="1" applyBorder="1"/>
    <xf numFmtId="0" fontId="4" fillId="0" borderId="3" xfId="4" applyFont="1" applyFill="1" applyBorder="1" applyAlignment="1">
      <alignment horizontal="center"/>
    </xf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5" xfId="4" applyFont="1" applyBorder="1"/>
    <xf numFmtId="0" fontId="4" fillId="0" borderId="17" xfId="4" applyFont="1" applyBorder="1"/>
    <xf numFmtId="0" fontId="4" fillId="0" borderId="16" xfId="4" applyFont="1" applyBorder="1"/>
    <xf numFmtId="3" fontId="4" fillId="2" borderId="0" xfId="1" applyNumberFormat="1" applyFont="1" applyFill="1" applyBorder="1"/>
    <xf numFmtId="0" fontId="4" fillId="0" borderId="5" xfId="4" applyFont="1" applyBorder="1" applyAlignment="1"/>
    <xf numFmtId="0" fontId="4" fillId="0" borderId="6" xfId="4" applyFont="1" applyBorder="1" applyAlignment="1"/>
    <xf numFmtId="173" fontId="4" fillId="3" borderId="19" xfId="3" applyNumberFormat="1" applyFont="1" applyFill="1" applyBorder="1" applyAlignment="1"/>
    <xf numFmtId="3" fontId="4" fillId="2" borderId="11" xfId="1" applyNumberFormat="1" applyFont="1" applyFill="1" applyBorder="1"/>
    <xf numFmtId="0" fontId="5" fillId="0" borderId="1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10" fillId="2" borderId="17" xfId="4" applyNumberFormat="1" applyFont="1" applyFill="1" applyBorder="1"/>
    <xf numFmtId="3" fontId="4" fillId="0" borderId="17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3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" fillId="3" borderId="7" xfId="4" applyNumberFormat="1" applyFont="1" applyFill="1" applyBorder="1"/>
    <xf numFmtId="3" fontId="4" fillId="3" borderId="8" xfId="4" applyNumberFormat="1" applyFont="1" applyFill="1" applyBorder="1"/>
    <xf numFmtId="3" fontId="4" fillId="3" borderId="5" xfId="3" applyNumberFormat="1" applyFont="1" applyFill="1" applyBorder="1"/>
    <xf numFmtId="3" fontId="4" fillId="3" borderId="0" xfId="3" applyNumberFormat="1" applyFont="1" applyFill="1" applyBorder="1"/>
    <xf numFmtId="0" fontId="11" fillId="0" borderId="0" xfId="4" applyFont="1" applyFill="1" applyBorder="1" applyAlignment="1">
      <alignment horizontal="left"/>
    </xf>
    <xf numFmtId="10" fontId="10" fillId="0" borderId="0" xfId="1" applyNumberFormat="1" applyFont="1" applyFill="1"/>
    <xf numFmtId="10" fontId="36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76" fontId="4" fillId="0" borderId="0" xfId="6" applyNumberFormat="1" applyFont="1" applyFill="1"/>
    <xf numFmtId="183" fontId="4" fillId="0" borderId="0" xfId="1" applyNumberFormat="1" applyFont="1" applyFill="1"/>
    <xf numFmtId="184" fontId="4" fillId="0" borderId="0" xfId="0" applyNumberFormat="1" applyFont="1"/>
    <xf numFmtId="3" fontId="4" fillId="0" borderId="0" xfId="0" applyNumberFormat="1" applyFont="1" applyBorder="1" applyProtection="1"/>
    <xf numFmtId="0" fontId="5" fillId="0" borderId="11" xfId="0" applyFont="1" applyBorder="1" applyProtection="1"/>
    <xf numFmtId="182" fontId="36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0" fontId="2" fillId="0" borderId="0" xfId="4" applyFont="1" applyFill="1"/>
    <xf numFmtId="3" fontId="2" fillId="10" borderId="0" xfId="4" applyNumberFormat="1" applyFont="1" applyFill="1" applyBorder="1"/>
    <xf numFmtId="3" fontId="2" fillId="0" borderId="0" xfId="4" applyNumberFormat="1" applyFont="1" applyFill="1" applyBorder="1"/>
    <xf numFmtId="3" fontId="45" fillId="3" borderId="8" xfId="4" applyNumberFormat="1" applyFont="1" applyFill="1" applyBorder="1"/>
    <xf numFmtId="3" fontId="45" fillId="3" borderId="9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76" fontId="46" fillId="3" borderId="0" xfId="6" applyNumberFormat="1" applyFont="1" applyFill="1" applyBorder="1"/>
    <xf numFmtId="176" fontId="10" fillId="0" borderId="0" xfId="6" applyNumberFormat="1" applyFont="1" applyFill="1" applyBorder="1"/>
    <xf numFmtId="0" fontId="2" fillId="0" borderId="3" xfId="4" applyFont="1" applyFill="1" applyBorder="1" applyAlignment="1">
      <alignment horizontal="center"/>
    </xf>
    <xf numFmtId="3" fontId="2" fillId="3" borderId="7" xfId="4" applyNumberFormat="1" applyFont="1" applyFill="1" applyBorder="1"/>
    <xf numFmtId="174" fontId="4" fillId="0" borderId="0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2" fillId="0" borderId="5" xfId="4" applyFont="1" applyFill="1" applyBorder="1"/>
    <xf numFmtId="0" fontId="2" fillId="3" borderId="10" xfId="4" applyFont="1" applyFill="1" applyBorder="1" applyAlignment="1">
      <alignment horizontal="center"/>
    </xf>
    <xf numFmtId="171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3" fontId="10" fillId="2" borderId="15" xfId="4" applyNumberFormat="1" applyFont="1" applyFill="1" applyBorder="1"/>
    <xf numFmtId="0" fontId="34" fillId="3" borderId="0" xfId="4" applyFont="1" applyFill="1" applyBorder="1" applyAlignment="1">
      <alignment horizontal="center"/>
    </xf>
    <xf numFmtId="0" fontId="34" fillId="3" borderId="15" xfId="4" applyFont="1" applyFill="1" applyBorder="1" applyAlignment="1">
      <alignment horizontal="center"/>
    </xf>
    <xf numFmtId="0" fontId="34" fillId="3" borderId="6" xfId="4" applyFont="1" applyFill="1" applyBorder="1" applyAlignment="1">
      <alignment horizontal="center"/>
    </xf>
    <xf numFmtId="0" fontId="34" fillId="0" borderId="13" xfId="4" applyFont="1" applyBorder="1" applyAlignment="1">
      <alignment horizontal="center"/>
    </xf>
    <xf numFmtId="186" fontId="4" fillId="0" borderId="0" xfId="0" applyNumberFormat="1" applyFont="1"/>
    <xf numFmtId="0" fontId="13" fillId="11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1" fontId="2" fillId="0" borderId="13" xfId="1" applyNumberFormat="1" applyFont="1" applyBorder="1" applyAlignment="1">
      <alignment horizontal="center"/>
    </xf>
    <xf numFmtId="3" fontId="10" fillId="3" borderId="15" xfId="4" applyNumberFormat="1" applyFont="1" applyFill="1" applyBorder="1"/>
    <xf numFmtId="3" fontId="10" fillId="3" borderId="16" xfId="4" applyNumberFormat="1" applyFont="1" applyFill="1" applyBorder="1"/>
    <xf numFmtId="3" fontId="10" fillId="3" borderId="17" xfId="4" applyNumberFormat="1" applyFont="1" applyFill="1" applyBorder="1"/>
    <xf numFmtId="171" fontId="2" fillId="0" borderId="19" xfId="1" applyNumberFormat="1" applyFont="1" applyBorder="1" applyAlignment="1">
      <alignment horizontal="center"/>
    </xf>
    <xf numFmtId="171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1" fontId="2" fillId="0" borderId="19" xfId="4" applyNumberFormat="1" applyFont="1" applyFill="1" applyBorder="1" applyAlignment="1">
      <alignment horizontal="center"/>
    </xf>
    <xf numFmtId="171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7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1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4" fillId="0" borderId="15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3" fontId="2" fillId="3" borderId="8" xfId="4" applyNumberFormat="1" applyFont="1" applyFill="1" applyBorder="1"/>
    <xf numFmtId="0" fontId="2" fillId="3" borderId="11" xfId="4" applyFont="1" applyFill="1" applyBorder="1" applyAlignment="1">
      <alignment horizontal="center"/>
    </xf>
    <xf numFmtId="0" fontId="5" fillId="0" borderId="21" xfId="0" applyFont="1" applyFill="1" applyBorder="1" applyAlignment="1" applyProtection="1">
      <alignment horizontal="center"/>
    </xf>
    <xf numFmtId="3" fontId="2" fillId="3" borderId="9" xfId="4" applyNumberFormat="1" applyFont="1" applyFill="1" applyBorder="1"/>
    <xf numFmtId="0" fontId="5" fillId="0" borderId="15" xfId="4" quotePrefix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center"/>
    </xf>
    <xf numFmtId="0" fontId="5" fillId="0" borderId="17" xfId="4" quotePrefix="1" applyFont="1" applyFill="1" applyBorder="1" applyAlignment="1">
      <alignment horizontal="center"/>
    </xf>
    <xf numFmtId="0" fontId="34" fillId="3" borderId="10" xfId="4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1" fontId="11" fillId="0" borderId="0" xfId="0" applyNumberFormat="1" applyFont="1" applyAlignme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5" fillId="0" borderId="21" xfId="4" applyFont="1" applyFill="1" applyBorder="1" applyAlignment="1">
      <alignment horizontal="center"/>
    </xf>
    <xf numFmtId="0" fontId="2" fillId="0" borderId="0" xfId="0" applyFont="1"/>
    <xf numFmtId="0" fontId="2" fillId="0" borderId="0" xfId="7"/>
    <xf numFmtId="0" fontId="5" fillId="0" borderId="21" xfId="7" applyFont="1" applyBorder="1"/>
    <xf numFmtId="0" fontId="2" fillId="0" borderId="16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2" borderId="19" xfId="7" applyNumberFormat="1" applyFill="1" applyBorder="1"/>
    <xf numFmtId="171" fontId="2" fillId="12" borderId="19" xfId="7" applyNumberFormat="1" applyFill="1" applyBorder="1" applyAlignment="1">
      <alignment horizontal="center"/>
    </xf>
    <xf numFmtId="171" fontId="48" fillId="12" borderId="19" xfId="7" applyNumberFormat="1" applyFont="1" applyFill="1" applyBorder="1" applyAlignment="1">
      <alignment horizontal="center"/>
    </xf>
    <xf numFmtId="187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5" fillId="0" borderId="21" xfId="7" applyFont="1" applyBorder="1" applyAlignment="1">
      <alignment horizontal="center"/>
    </xf>
    <xf numFmtId="0" fontId="38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0" fontId="49" fillId="0" borderId="19" xfId="7" applyNumberFormat="1" applyFont="1" applyBorder="1" applyAlignment="1">
      <alignment horizontal="center"/>
    </xf>
    <xf numFmtId="174" fontId="2" fillId="0" borderId="10" xfId="4" applyNumberFormat="1" applyFont="1" applyFill="1" applyBorder="1" applyAlignment="1">
      <alignment horizontal="center"/>
    </xf>
    <xf numFmtId="174" fontId="2" fillId="0" borderId="11" xfId="4" applyNumberFormat="1" applyFont="1" applyFill="1" applyBorder="1" applyAlignment="1">
      <alignment horizontal="center"/>
    </xf>
    <xf numFmtId="174" fontId="2" fillId="0" borderId="12" xfId="4" applyNumberFormat="1" applyFont="1" applyFill="1" applyBorder="1" applyAlignment="1">
      <alignment horizontal="center"/>
    </xf>
    <xf numFmtId="10" fontId="2" fillId="0" borderId="14" xfId="9" applyNumberFormat="1" applyBorder="1"/>
    <xf numFmtId="0" fontId="47" fillId="11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2" borderId="0" xfId="7" applyNumberFormat="1" applyFill="1"/>
    <xf numFmtId="0" fontId="47" fillId="0" borderId="0" xfId="7" applyFont="1"/>
    <xf numFmtId="3" fontId="47" fillId="0" borderId="0" xfId="7" applyNumberFormat="1" applyFont="1" applyAlignment="1">
      <alignment horizontal="left"/>
    </xf>
    <xf numFmtId="0" fontId="2" fillId="0" borderId="0" xfId="7" applyFont="1"/>
    <xf numFmtId="171" fontId="2" fillId="0" borderId="0" xfId="7" applyNumberFormat="1" applyAlignment="1">
      <alignment horizontal="left"/>
    </xf>
    <xf numFmtId="171" fontId="2" fillId="0" borderId="13" xfId="7" applyNumberFormat="1" applyBorder="1" applyAlignment="1">
      <alignment horizontal="left"/>
    </xf>
    <xf numFmtId="0" fontId="2" fillId="0" borderId="15" xfId="7" applyBorder="1"/>
    <xf numFmtId="0" fontId="2" fillId="0" borderId="17" xfId="7" applyBorder="1" applyAlignment="1">
      <alignment horizontal="center"/>
    </xf>
    <xf numFmtId="0" fontId="2" fillId="0" borderId="13" xfId="7" applyBorder="1" applyAlignment="1">
      <alignment horizontal="center"/>
    </xf>
    <xf numFmtId="171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7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1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4" fontId="5" fillId="0" borderId="21" xfId="7" applyNumberFormat="1" applyFont="1" applyBorder="1" applyAlignment="1">
      <alignment horizontal="center"/>
    </xf>
    <xf numFmtId="3" fontId="47" fillId="0" borderId="21" xfId="7" applyNumberFormat="1" applyFont="1" applyBorder="1"/>
    <xf numFmtId="0" fontId="5" fillId="0" borderId="0" xfId="7" applyFont="1"/>
    <xf numFmtId="0" fontId="50" fillId="0" borderId="4" xfId="4" applyFont="1" applyBorder="1" applyAlignment="1">
      <alignment horizontal="center"/>
    </xf>
    <xf numFmtId="188" fontId="4" fillId="0" borderId="0" xfId="0" applyNumberFormat="1" applyFont="1" applyProtection="1"/>
    <xf numFmtId="0" fontId="2" fillId="0" borderId="2" xfId="7" applyBorder="1" applyAlignment="1">
      <alignment horizontal="center"/>
    </xf>
    <xf numFmtId="0" fontId="1" fillId="0" borderId="4" xfId="8" applyBorder="1" applyAlignment="1">
      <alignment horizontal="center"/>
    </xf>
    <xf numFmtId="0" fontId="47" fillId="11" borderId="2" xfId="7" applyFont="1" applyFill="1" applyBorder="1" applyAlignment="1">
      <alignment horizontal="center"/>
    </xf>
    <xf numFmtId="0" fontId="1" fillId="0" borderId="3" xfId="8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Normal" xfId="0" builtinId="0"/>
    <cellStyle name="Normal 2" xfId="7"/>
    <cellStyle name="Normal 3" xfId="8"/>
    <cellStyle name="Normal_CP Templates 260209 am" xfId="4"/>
    <cellStyle name="Normal_Tax Dep" xfId="5"/>
    <cellStyle name="Percent" xfId="6" builtinId="5"/>
    <cellStyle name="Percent 2" xfId="9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>
      <selection activeCell="B9" sqref="B9"/>
    </sheetView>
  </sheetViews>
  <sheetFormatPr defaultRowHeight="12.75" outlineLevelRow="1" x14ac:dyDescent="0.2"/>
  <cols>
    <col min="1" max="1" width="42.85546875" style="890" customWidth="1"/>
    <col min="2" max="2" width="16" style="890" customWidth="1"/>
    <col min="3" max="3" width="12" style="890" customWidth="1"/>
    <col min="4" max="4" width="14.85546875" style="890" customWidth="1"/>
    <col min="5" max="5" width="13.42578125" style="890" customWidth="1"/>
    <col min="6" max="6" width="13.5703125" style="890" customWidth="1"/>
    <col min="7" max="7" width="13.140625" style="890" customWidth="1"/>
    <col min="8" max="8" width="13.85546875" style="890" customWidth="1"/>
    <col min="9" max="9" width="14.5703125" style="890" customWidth="1"/>
    <col min="10" max="10" width="16.85546875" style="890" customWidth="1"/>
    <col min="11" max="11" width="15" style="890" customWidth="1"/>
    <col min="12" max="12" width="13.85546875" style="890" customWidth="1"/>
    <col min="13" max="13" width="16.42578125" style="890" customWidth="1"/>
    <col min="14" max="16384" width="9.140625" style="890"/>
  </cols>
  <sheetData>
    <row r="3" spans="1:12" x14ac:dyDescent="0.2">
      <c r="B3" s="948" t="s">
        <v>408</v>
      </c>
      <c r="C3" s="949"/>
      <c r="D3" s="949"/>
      <c r="E3" s="949"/>
      <c r="F3" s="947"/>
      <c r="H3" s="948" t="s">
        <v>409</v>
      </c>
      <c r="I3" s="950"/>
      <c r="J3" s="951"/>
    </row>
    <row r="4" spans="1:12" ht="25.5" x14ac:dyDescent="0.2">
      <c r="A4" s="891" t="s">
        <v>410</v>
      </c>
      <c r="B4" s="891" t="str">
        <f>'AMI RAB 2009-15'!A19</f>
        <v>($000 Real 2008)</v>
      </c>
      <c r="C4" s="892"/>
      <c r="D4" s="893" t="s">
        <v>411</v>
      </c>
      <c r="E4" s="894" t="s">
        <v>412</v>
      </c>
      <c r="F4" s="894" t="s">
        <v>413</v>
      </c>
      <c r="H4" s="893" t="s">
        <v>414</v>
      </c>
      <c r="I4" s="894" t="s">
        <v>415</v>
      </c>
      <c r="J4" s="894" t="s">
        <v>416</v>
      </c>
    </row>
    <row r="5" spans="1:12" x14ac:dyDescent="0.2">
      <c r="A5" s="895" t="str">
        <f>'AMI RAB 2009-15'!A38</f>
        <v>Remotely read interval meters &amp; transformers</v>
      </c>
      <c r="B5" s="896">
        <f>'AMI RAB 2009-15'!K40</f>
        <v>230323.08126345355</v>
      </c>
      <c r="C5" s="897"/>
      <c r="D5" s="898">
        <f>B5*$H$15/10^3*(1+$I$14)^0.5</f>
        <v>281.20933733681784</v>
      </c>
      <c r="E5" s="899">
        <f>'DNSP Data Inputs 2013-15'!C12</f>
        <v>15</v>
      </c>
      <c r="F5" s="899">
        <f>F36</f>
        <v>11.239936293310807</v>
      </c>
      <c r="H5" s="898">
        <f>'AMI Tax Depn 2009-15'!K24/10^3</f>
        <v>71.090901689979773</v>
      </c>
      <c r="I5" s="900">
        <v>15</v>
      </c>
      <c r="J5" s="899">
        <f>I5*F5/E5</f>
        <v>11.239936293310807</v>
      </c>
      <c r="L5" s="901"/>
    </row>
    <row r="6" spans="1:12" x14ac:dyDescent="0.2">
      <c r="A6" s="902" t="str">
        <f>'AMI RAB 2009-15'!A48</f>
        <v>IT</v>
      </c>
      <c r="B6" s="896">
        <f>'AMI RAB 2009-15'!K50</f>
        <v>26359.825180816737</v>
      </c>
      <c r="C6" s="897"/>
      <c r="D6" s="898">
        <f>B6*$H$15/10^3*(1+$I$14)^0.5</f>
        <v>32.183613256428053</v>
      </c>
      <c r="E6" s="899">
        <f>'DNSP Data Inputs 2013-15'!C13</f>
        <v>7</v>
      </c>
      <c r="F6" s="899">
        <f>F50</f>
        <v>3.8384573886203479</v>
      </c>
      <c r="H6" s="898">
        <f>'AMI Tax Depn 2009-15'!K36/10^3</f>
        <v>15.138238149808299</v>
      </c>
      <c r="I6" s="900">
        <v>3</v>
      </c>
      <c r="J6" s="899">
        <f t="shared" ref="J6:J8" si="0">I6*F6/E6</f>
        <v>1.6450531665515775</v>
      </c>
      <c r="L6" s="901"/>
    </row>
    <row r="7" spans="1:12" x14ac:dyDescent="0.2">
      <c r="A7" s="902" t="str">
        <f>'AMI RAB 2009-15'!A58</f>
        <v>Communications</v>
      </c>
      <c r="B7" s="896">
        <f>'AMI RAB 2009-15'!K60</f>
        <v>15849.552994546659</v>
      </c>
      <c r="C7" s="897"/>
      <c r="D7" s="898">
        <f>B7*$H$15/10^3*(1+$I$14)^0.5</f>
        <v>19.351262019558881</v>
      </c>
      <c r="E7" s="899">
        <f>'DNSP Data Inputs 2013-15'!C14</f>
        <v>7</v>
      </c>
      <c r="F7" s="899">
        <f>F64</f>
        <v>3.5773673108914217</v>
      </c>
      <c r="H7" s="898">
        <f>'AMI Tax Depn 2009-15'!K42/10^3</f>
        <v>16.579204001586863</v>
      </c>
      <c r="I7" s="900">
        <v>3</v>
      </c>
      <c r="J7" s="899">
        <f t="shared" si="0"/>
        <v>1.5331574189534665</v>
      </c>
      <c r="L7" s="901"/>
    </row>
    <row r="8" spans="1:12" x14ac:dyDescent="0.2">
      <c r="A8" s="902" t="str">
        <f>'AMI RAB 2009-15'!A68</f>
        <v>Other</v>
      </c>
      <c r="B8" s="896">
        <f>'AMI RAB 2009-15'!K70</f>
        <v>565.60671957813099</v>
      </c>
      <c r="C8" s="897"/>
      <c r="D8" s="898">
        <f>B8*$H$15/10^3*(1+$I$14)^0.5</f>
        <v>0.69056861315555607</v>
      </c>
      <c r="E8" s="899">
        <f>'DNSP Data Inputs 2013-15'!C15</f>
        <v>7</v>
      </c>
      <c r="F8" s="899">
        <f>F78</f>
        <v>3.5613670862228197</v>
      </c>
      <c r="H8" s="898">
        <f>'AMI Tax Depn 2009-15'!K48/10^3</f>
        <v>0.91402779393047195</v>
      </c>
      <c r="I8" s="900">
        <v>3</v>
      </c>
      <c r="J8" s="899">
        <f t="shared" si="0"/>
        <v>1.5263001798097799</v>
      </c>
      <c r="L8" s="901"/>
    </row>
    <row r="9" spans="1:12" x14ac:dyDescent="0.2">
      <c r="A9" s="903"/>
      <c r="B9" s="904">
        <f>SUM(B5:B8)</f>
        <v>273098.06615839509</v>
      </c>
      <c r="C9" s="905"/>
      <c r="D9" s="906">
        <f>SUM(D5:D8)</f>
        <v>333.43478122596031</v>
      </c>
      <c r="E9" s="903"/>
      <c r="F9" s="903"/>
      <c r="H9" s="906">
        <f>SUM(H5:H8)</f>
        <v>103.72237163530541</v>
      </c>
      <c r="I9" s="903"/>
      <c r="J9" s="903"/>
    </row>
    <row r="12" spans="1:12" x14ac:dyDescent="0.2">
      <c r="A12" s="784"/>
      <c r="B12" s="878">
        <f>'Data 2009-15 (Real $2008)'!D142</f>
        <v>2009</v>
      </c>
      <c r="C12" s="879">
        <f>'Data 2009-15 (Real $2008)'!E142</f>
        <v>2010</v>
      </c>
      <c r="D12" s="879">
        <f>'Data 2009-15 (Real $2008)'!F142</f>
        <v>2011</v>
      </c>
      <c r="E12" s="879">
        <f>'Data 2009-15 (Real $2008)'!G142</f>
        <v>2012</v>
      </c>
      <c r="F12" s="879">
        <f>'Data 2009-15 (Real $2008)'!H142</f>
        <v>2013</v>
      </c>
      <c r="G12" s="879">
        <f>'Data 2009-15 (Real $2008)'!I142</f>
        <v>2014</v>
      </c>
      <c r="H12" s="880">
        <f>'Data 2009-15 (Real $2008)'!J142</f>
        <v>2015</v>
      </c>
      <c r="I12" s="907">
        <v>2016</v>
      </c>
    </row>
    <row r="13" spans="1:12" x14ac:dyDescent="0.2">
      <c r="A13" s="41" t="s">
        <v>86</v>
      </c>
      <c r="B13" s="704" t="str">
        <f>'Data 2009-15 (Real $2008)'!D143</f>
        <v>Actual</v>
      </c>
      <c r="C13" s="678" t="str">
        <f>'Data 2009-15 (Real $2008)'!E143</f>
        <v>Actual</v>
      </c>
      <c r="D13" s="678" t="str">
        <f>'Data 2009-15 (Real $2008)'!F143</f>
        <v>Actual</v>
      </c>
      <c r="E13" s="678" t="str">
        <f>'Data 2009-15 (Real $2008)'!G143</f>
        <v>Actual</v>
      </c>
      <c r="F13" s="678" t="str">
        <f>'Data 2009-15 (Real $2008)'!H143</f>
        <v>Actual</v>
      </c>
      <c r="G13" s="678" t="str">
        <f>'Data 2009-15 (Real $2008)'!I143</f>
        <v>Actual</v>
      </c>
      <c r="H13" s="908" t="str">
        <f>'Data 2009-15 (Real $2008)'!J143</f>
        <v>Actual</v>
      </c>
      <c r="I13" s="907" t="s">
        <v>18</v>
      </c>
    </row>
    <row r="14" spans="1:12" x14ac:dyDescent="0.2">
      <c r="A14" s="784" t="s">
        <v>87</v>
      </c>
      <c r="B14" s="909">
        <f>'Data 2009-15 (Real $2008)'!D144</f>
        <v>4.9810844892812067E-2</v>
      </c>
      <c r="C14" s="791">
        <f>'Data 2009-15 (Real $2008)'!E144</f>
        <v>1.2612612612612484E-2</v>
      </c>
      <c r="D14" s="791">
        <f>'Data 2009-15 (Real $2008)'!F144</f>
        <v>2.7876631079478242E-2</v>
      </c>
      <c r="E14" s="791">
        <f>'Data 2009-15 (Real $2008)'!G144</f>
        <v>3.5199076745527913E-2</v>
      </c>
      <c r="F14" s="791">
        <f>'Data 2009-15 (Real $2008)'!H144</f>
        <v>2.0040080160320661E-2</v>
      </c>
      <c r="G14" s="791">
        <f>'Data 2009-15 (Real $2008)'!I144</f>
        <v>2.16110019646365E-2</v>
      </c>
      <c r="H14" s="910">
        <f>'Data 2009-15 (Real $2008)'!J144</f>
        <v>2.3076923076923217E-2</v>
      </c>
      <c r="I14" s="911">
        <v>2.5000000000000001E-2</v>
      </c>
    </row>
    <row r="15" spans="1:12" x14ac:dyDescent="0.2">
      <c r="A15" s="784" t="s">
        <v>36</v>
      </c>
      <c r="B15" s="912">
        <f>1+B14</f>
        <v>1.0498108448928121</v>
      </c>
      <c r="C15" s="913">
        <f t="shared" ref="C15:H15" si="1">B15*(1+C14)</f>
        <v>1.0630517023959645</v>
      </c>
      <c r="D15" s="913">
        <f t="shared" si="1"/>
        <v>1.0926860025220682</v>
      </c>
      <c r="E15" s="913">
        <f t="shared" si="1"/>
        <v>1.1311475409836065</v>
      </c>
      <c r="F15" s="913">
        <f t="shared" si="1"/>
        <v>1.1538158283780675</v>
      </c>
      <c r="G15" s="913">
        <f t="shared" si="1"/>
        <v>1.1787509445119746</v>
      </c>
      <c r="H15" s="914">
        <f t="shared" si="1"/>
        <v>1.205952889385328</v>
      </c>
      <c r="I15" s="915"/>
    </row>
    <row r="18" spans="1:7" x14ac:dyDescent="0.2">
      <c r="A18" s="916" t="s">
        <v>417</v>
      </c>
    </row>
    <row r="19" spans="1:7" x14ac:dyDescent="0.2">
      <c r="A19" s="917" t="s">
        <v>414</v>
      </c>
      <c r="B19" s="918">
        <v>2016</v>
      </c>
    </row>
    <row r="20" spans="1:7" x14ac:dyDescent="0.2">
      <c r="A20" s="890" t="str">
        <f>'AMI Building Blocks 2009-15'!A56</f>
        <v>Tax losses brought forward</v>
      </c>
      <c r="B20" s="919">
        <f>'AMI Building Blocks 2009-15'!J57/10^3</f>
        <v>-122.77605825075973</v>
      </c>
    </row>
    <row r="23" spans="1:7" x14ac:dyDescent="0.2">
      <c r="A23" s="916" t="s">
        <v>418</v>
      </c>
    </row>
    <row r="24" spans="1:7" x14ac:dyDescent="0.2">
      <c r="A24" s="920" t="s">
        <v>0</v>
      </c>
      <c r="B24" s="921">
        <f>SUM(G36,G50,G64,G78)</f>
        <v>6.5483618527650833E-11</v>
      </c>
    </row>
    <row r="25" spans="1:7" x14ac:dyDescent="0.2">
      <c r="A25" s="922" t="str">
        <f>A5</f>
        <v>Remotely read interval meters &amp; transformers</v>
      </c>
    </row>
    <row r="26" spans="1:7" x14ac:dyDescent="0.2">
      <c r="A26" s="890" t="s">
        <v>412</v>
      </c>
      <c r="B26" s="923">
        <f>E5</f>
        <v>15</v>
      </c>
      <c r="D26" s="946" t="s">
        <v>296</v>
      </c>
      <c r="E26" s="947"/>
    </row>
    <row r="27" spans="1:7" x14ac:dyDescent="0.2">
      <c r="B27" s="924"/>
      <c r="C27" s="895"/>
      <c r="D27" s="925"/>
      <c r="E27" s="926" t="s">
        <v>419</v>
      </c>
      <c r="F27" s="927" t="s">
        <v>420</v>
      </c>
      <c r="G27" s="895"/>
    </row>
    <row r="28" spans="1:7" x14ac:dyDescent="0.2">
      <c r="B28" s="928" t="s">
        <v>287</v>
      </c>
      <c r="C28" s="929" t="s">
        <v>421</v>
      </c>
      <c r="D28" s="930" t="s">
        <v>326</v>
      </c>
      <c r="E28" s="931" t="s">
        <v>422</v>
      </c>
      <c r="F28" s="929" t="s">
        <v>413</v>
      </c>
      <c r="G28" s="932" t="s">
        <v>0</v>
      </c>
    </row>
    <row r="29" spans="1:7" hidden="1" outlineLevel="1" x14ac:dyDescent="0.2">
      <c r="B29" s="933">
        <v>2009</v>
      </c>
      <c r="C29" s="934">
        <f t="shared" ref="C29:C33" si="2">C30+1</f>
        <v>6.5</v>
      </c>
      <c r="D29" s="935">
        <f>'AMI RAB 2009-15'!B215</f>
        <v>2105.9170332972976</v>
      </c>
      <c r="E29" s="936">
        <f>D29*F29/B26</f>
        <v>1193.3529855351355</v>
      </c>
      <c r="F29" s="937">
        <f>B26-C29</f>
        <v>8.5</v>
      </c>
      <c r="G29" s="902"/>
    </row>
    <row r="30" spans="1:7" hidden="1" outlineLevel="1" x14ac:dyDescent="0.2">
      <c r="B30" s="933">
        <f>B29+1</f>
        <v>2010</v>
      </c>
      <c r="C30" s="934">
        <f t="shared" si="2"/>
        <v>5.5</v>
      </c>
      <c r="D30" s="935">
        <f>'AMI RAB 2009-15'!E$41</f>
        <v>62143.968916192171</v>
      </c>
      <c r="E30" s="936">
        <f>D30*F30/B26</f>
        <v>39357.846980255046</v>
      </c>
      <c r="F30" s="937">
        <f>B26-C30</f>
        <v>9.5</v>
      </c>
      <c r="G30" s="902"/>
    </row>
    <row r="31" spans="1:7" hidden="1" outlineLevel="1" x14ac:dyDescent="0.2">
      <c r="B31" s="933">
        <f t="shared" ref="B31:B35" si="3">B30+1</f>
        <v>2011</v>
      </c>
      <c r="C31" s="934">
        <f t="shared" si="2"/>
        <v>4.5</v>
      </c>
      <c r="D31" s="935">
        <f>'AMI RAB 2009-15'!F$41</f>
        <v>84980.620037320448</v>
      </c>
      <c r="E31" s="936">
        <f>D31*F31/B26</f>
        <v>59486.434026124312</v>
      </c>
      <c r="F31" s="937">
        <f>B26-C31</f>
        <v>10.5</v>
      </c>
      <c r="G31" s="902"/>
    </row>
    <row r="32" spans="1:7" hidden="1" outlineLevel="1" x14ac:dyDescent="0.2">
      <c r="B32" s="933">
        <f t="shared" si="3"/>
        <v>2012</v>
      </c>
      <c r="C32" s="934">
        <f t="shared" si="2"/>
        <v>3.5</v>
      </c>
      <c r="D32" s="935">
        <f>'AMI RAB 2009-15'!G$41</f>
        <v>86162.321694262559</v>
      </c>
      <c r="E32" s="936">
        <f>D32*F32/B26</f>
        <v>66057.779965601294</v>
      </c>
      <c r="F32" s="937">
        <f>B26-C32</f>
        <v>11.5</v>
      </c>
      <c r="G32" s="902"/>
    </row>
    <row r="33" spans="1:7" hidden="1" outlineLevel="1" x14ac:dyDescent="0.2">
      <c r="B33" s="933">
        <f t="shared" si="3"/>
        <v>2013</v>
      </c>
      <c r="C33" s="934">
        <f t="shared" si="2"/>
        <v>2.5</v>
      </c>
      <c r="D33" s="935">
        <f>'AMI RAB 2009-15'!H$41</f>
        <v>63106.264726613117</v>
      </c>
      <c r="E33" s="936">
        <f>D33*F33/B26</f>
        <v>52588.553938844263</v>
      </c>
      <c r="F33" s="937">
        <f>B26-C33</f>
        <v>12.5</v>
      </c>
      <c r="G33" s="902"/>
    </row>
    <row r="34" spans="1:7" hidden="1" outlineLevel="1" x14ac:dyDescent="0.2">
      <c r="B34" s="933">
        <f t="shared" si="3"/>
        <v>2014</v>
      </c>
      <c r="C34" s="934">
        <f>C35+1</f>
        <v>1.5</v>
      </c>
      <c r="D34" s="935">
        <f>'AMI RAB 2009-15'!I$41</f>
        <v>6247.0903848163962</v>
      </c>
      <c r="E34" s="936">
        <f>D34*F34/B26</f>
        <v>5622.3813463347569</v>
      </c>
      <c r="F34" s="937">
        <f>B26-C34</f>
        <v>13.5</v>
      </c>
      <c r="G34" s="902"/>
    </row>
    <row r="35" spans="1:7" hidden="1" outlineLevel="1" x14ac:dyDescent="0.2">
      <c r="B35" s="933">
        <f t="shared" si="3"/>
        <v>2015</v>
      </c>
      <c r="C35" s="934">
        <v>0.5</v>
      </c>
      <c r="D35" s="935">
        <f>'AMI RAB 2009-15'!J$41</f>
        <v>6224.2055387159771</v>
      </c>
      <c r="E35" s="936">
        <f>D35*F35/B26</f>
        <v>6016.7320207587782</v>
      </c>
      <c r="F35" s="937">
        <f>B26-C35</f>
        <v>14.5</v>
      </c>
      <c r="G35" s="902"/>
    </row>
    <row r="36" spans="1:7" collapsed="1" x14ac:dyDescent="0.2">
      <c r="B36" s="938"/>
      <c r="C36" s="903"/>
      <c r="D36" s="939"/>
      <c r="E36" s="940">
        <f>SUM(E29:E35)</f>
        <v>230323.08126345361</v>
      </c>
      <c r="F36" s="941">
        <f>IF(E36=0,0,SUMPRODUCT(F29:F35,E29:E35)/E36)</f>
        <v>11.239936293310807</v>
      </c>
      <c r="G36" s="942">
        <f>ABS(B5-E36)</f>
        <v>5.8207660913467407E-11</v>
      </c>
    </row>
    <row r="37" spans="1:7" x14ac:dyDescent="0.2">
      <c r="B37" s="943"/>
    </row>
    <row r="38" spans="1:7" x14ac:dyDescent="0.2">
      <c r="B38" s="943"/>
    </row>
    <row r="39" spans="1:7" x14ac:dyDescent="0.2">
      <c r="A39" s="890" t="str">
        <f>A6</f>
        <v>IT</v>
      </c>
    </row>
    <row r="40" spans="1:7" x14ac:dyDescent="0.2">
      <c r="A40" s="890" t="s">
        <v>412</v>
      </c>
      <c r="B40" s="923">
        <f>E6</f>
        <v>7</v>
      </c>
      <c r="D40" s="946" t="s">
        <v>296</v>
      </c>
      <c r="E40" s="947"/>
    </row>
    <row r="41" spans="1:7" x14ac:dyDescent="0.2">
      <c r="B41" s="924"/>
      <c r="C41" s="895"/>
      <c r="D41" s="925"/>
      <c r="E41" s="926" t="s">
        <v>419</v>
      </c>
      <c r="F41" s="927" t="s">
        <v>420</v>
      </c>
      <c r="G41" s="895"/>
    </row>
    <row r="42" spans="1:7" x14ac:dyDescent="0.2">
      <c r="B42" s="928" t="s">
        <v>287</v>
      </c>
      <c r="C42" s="929" t="s">
        <v>421</v>
      </c>
      <c r="D42" s="930" t="s">
        <v>326</v>
      </c>
      <c r="E42" s="931" t="s">
        <v>422</v>
      </c>
      <c r="F42" s="929" t="s">
        <v>413</v>
      </c>
      <c r="G42" s="932" t="s">
        <v>0</v>
      </c>
    </row>
    <row r="43" spans="1:7" hidden="1" outlineLevel="1" x14ac:dyDescent="0.2">
      <c r="B43" s="933">
        <v>2009</v>
      </c>
      <c r="C43" s="934">
        <f t="shared" ref="C43:C47" si="4">C44+1</f>
        <v>6.5</v>
      </c>
      <c r="D43" s="935">
        <f>'AMI RAB 2009-15'!B227</f>
        <v>22906.55290616216</v>
      </c>
      <c r="E43" s="936">
        <f>D43*F43/B40</f>
        <v>1636.1823504401543</v>
      </c>
      <c r="F43" s="937">
        <f>B40-C43</f>
        <v>0.5</v>
      </c>
      <c r="G43" s="902"/>
    </row>
    <row r="44" spans="1:7" hidden="1" outlineLevel="1" x14ac:dyDescent="0.2">
      <c r="B44" s="933">
        <f>B43+1</f>
        <v>2010</v>
      </c>
      <c r="C44" s="934">
        <f t="shared" si="4"/>
        <v>5.5</v>
      </c>
      <c r="D44" s="935">
        <f>'AMI RAB 2009-15'!B228</f>
        <v>19865.495396322662</v>
      </c>
      <c r="E44" s="936">
        <f>D44*F44/B40</f>
        <v>4256.8918706405702</v>
      </c>
      <c r="F44" s="937">
        <f>B40-C44</f>
        <v>1.5</v>
      </c>
      <c r="G44" s="902"/>
    </row>
    <row r="45" spans="1:7" hidden="1" outlineLevel="1" x14ac:dyDescent="0.2">
      <c r="B45" s="933">
        <f t="shared" ref="B45:B49" si="5">B44+1</f>
        <v>2011</v>
      </c>
      <c r="C45" s="934">
        <f t="shared" si="4"/>
        <v>4.5</v>
      </c>
      <c r="D45" s="935">
        <f>'AMI RAB 2009-15'!B229</f>
        <v>10372.068667339874</v>
      </c>
      <c r="E45" s="936">
        <f>D45*F45/B40</f>
        <v>3704.3102383356695</v>
      </c>
      <c r="F45" s="937">
        <f>B40-C45</f>
        <v>2.5</v>
      </c>
      <c r="G45" s="902"/>
    </row>
    <row r="46" spans="1:7" hidden="1" outlineLevel="1" x14ac:dyDescent="0.2">
      <c r="B46" s="933">
        <f t="shared" si="5"/>
        <v>2012</v>
      </c>
      <c r="C46" s="934">
        <f t="shared" si="4"/>
        <v>3.5</v>
      </c>
      <c r="D46" s="935">
        <f>'AMI RAB 2009-15'!B230</f>
        <v>8184.2504311594212</v>
      </c>
      <c r="E46" s="936">
        <f>D46*F46/B40</f>
        <v>4092.1252155797106</v>
      </c>
      <c r="F46" s="937">
        <f>B40-C46</f>
        <v>3.5</v>
      </c>
      <c r="G46" s="902"/>
    </row>
    <row r="47" spans="1:7" hidden="1" outlineLevel="1" x14ac:dyDescent="0.2">
      <c r="B47" s="933">
        <f t="shared" si="5"/>
        <v>2013</v>
      </c>
      <c r="C47" s="934">
        <f t="shared" si="4"/>
        <v>2.5</v>
      </c>
      <c r="D47" s="935">
        <f>'AMI RAB 2009-15'!B231</f>
        <v>5535.9412246744123</v>
      </c>
      <c r="E47" s="936">
        <f>D47*F47/B40</f>
        <v>3558.819358719265</v>
      </c>
      <c r="F47" s="937">
        <f>B40-C47</f>
        <v>4.5</v>
      </c>
      <c r="G47" s="902"/>
    </row>
    <row r="48" spans="1:7" hidden="1" outlineLevel="1" x14ac:dyDescent="0.2">
      <c r="B48" s="933">
        <f t="shared" si="5"/>
        <v>2014</v>
      </c>
      <c r="C48" s="934">
        <f>C49+1</f>
        <v>1.5</v>
      </c>
      <c r="D48" s="935">
        <f>'AMI RAB 2009-15'!B232</f>
        <v>6166.3498576883421</v>
      </c>
      <c r="E48" s="936">
        <f>D48*F48/B40</f>
        <v>4844.9891738979832</v>
      </c>
      <c r="F48" s="937">
        <f>B40-C48</f>
        <v>5.5</v>
      </c>
      <c r="G48" s="902"/>
    </row>
    <row r="49" spans="1:7" hidden="1" outlineLevel="1" x14ac:dyDescent="0.2">
      <c r="B49" s="933">
        <f t="shared" si="5"/>
        <v>2015</v>
      </c>
      <c r="C49" s="934">
        <v>0.5</v>
      </c>
      <c r="D49" s="935">
        <f>'AMI RAB 2009-15'!B233</f>
        <v>4594.6998172959602</v>
      </c>
      <c r="E49" s="936">
        <f>D49*F49/B40</f>
        <v>4266.5069732033917</v>
      </c>
      <c r="F49" s="937">
        <f>B40-C49</f>
        <v>6.5</v>
      </c>
      <c r="G49" s="902"/>
    </row>
    <row r="50" spans="1:7" collapsed="1" x14ac:dyDescent="0.2">
      <c r="B50" s="938"/>
      <c r="C50" s="903"/>
      <c r="D50" s="939"/>
      <c r="E50" s="940">
        <f>SUM(E43:E49)</f>
        <v>26359.825180816744</v>
      </c>
      <c r="F50" s="941">
        <f>IF(E50=0,0,SUMPRODUCT(F43:F49,E43:E49)/E50)</f>
        <v>3.8384573886203479</v>
      </c>
      <c r="G50" s="942">
        <f>ABS(B6-E50)</f>
        <v>7.2759576141834259E-12</v>
      </c>
    </row>
    <row r="53" spans="1:7" x14ac:dyDescent="0.2">
      <c r="A53" s="890" t="str">
        <f>A7</f>
        <v>Communications</v>
      </c>
    </row>
    <row r="54" spans="1:7" x14ac:dyDescent="0.2">
      <c r="A54" s="890" t="s">
        <v>412</v>
      </c>
      <c r="B54" s="923">
        <f>E7</f>
        <v>7</v>
      </c>
      <c r="D54" s="946" t="s">
        <v>296</v>
      </c>
      <c r="E54" s="947"/>
    </row>
    <row r="55" spans="1:7" x14ac:dyDescent="0.2">
      <c r="B55" s="924"/>
      <c r="C55" s="895"/>
      <c r="D55" s="925"/>
      <c r="E55" s="926" t="s">
        <v>419</v>
      </c>
      <c r="F55" s="927" t="s">
        <v>420</v>
      </c>
      <c r="G55" s="895"/>
    </row>
    <row r="56" spans="1:7" x14ac:dyDescent="0.2">
      <c r="B56" s="928" t="s">
        <v>287</v>
      </c>
      <c r="C56" s="929" t="s">
        <v>421</v>
      </c>
      <c r="D56" s="930" t="s">
        <v>326</v>
      </c>
      <c r="E56" s="931" t="s">
        <v>422</v>
      </c>
      <c r="F56" s="929" t="s">
        <v>413</v>
      </c>
      <c r="G56" s="932" t="s">
        <v>0</v>
      </c>
    </row>
    <row r="57" spans="1:7" hidden="1" outlineLevel="1" x14ac:dyDescent="0.2">
      <c r="B57" s="933">
        <v>2009</v>
      </c>
      <c r="C57" s="934">
        <f t="shared" ref="C57:C61" si="6">C58+1</f>
        <v>6.5</v>
      </c>
      <c r="D57" s="935">
        <f>'AMI RAB 2009-15'!B239</f>
        <v>900.87381417417419</v>
      </c>
      <c r="E57" s="936">
        <f>D57*F57/B54</f>
        <v>64.348129583869579</v>
      </c>
      <c r="F57" s="937">
        <f>B54-C57</f>
        <v>0.5</v>
      </c>
      <c r="G57" s="902"/>
    </row>
    <row r="58" spans="1:7" hidden="1" outlineLevel="1" x14ac:dyDescent="0.2">
      <c r="B58" s="933">
        <f>B57+1</f>
        <v>2010</v>
      </c>
      <c r="C58" s="934">
        <f t="shared" si="6"/>
        <v>5.5</v>
      </c>
      <c r="D58" s="935">
        <f>'AMI RAB 2009-15'!B240</f>
        <v>3128.8651083511272</v>
      </c>
      <c r="E58" s="936">
        <f>D58*F58/B54</f>
        <v>670.47109464667017</v>
      </c>
      <c r="F58" s="937">
        <f>B54-C58</f>
        <v>1.5</v>
      </c>
      <c r="G58" s="902"/>
    </row>
    <row r="59" spans="1:7" hidden="1" outlineLevel="1" x14ac:dyDescent="0.2">
      <c r="B59" s="933">
        <f t="shared" ref="B59:B63" si="7">B58+1</f>
        <v>2011</v>
      </c>
      <c r="C59" s="934">
        <f t="shared" si="6"/>
        <v>4.5</v>
      </c>
      <c r="D59" s="935">
        <f>'AMI RAB 2009-15'!B241</f>
        <v>14800.781096006922</v>
      </c>
      <c r="E59" s="936">
        <f>D59*F59/B54</f>
        <v>5285.9932485739</v>
      </c>
      <c r="F59" s="937">
        <f>B54-C59</f>
        <v>2.5</v>
      </c>
      <c r="G59" s="902"/>
    </row>
    <row r="60" spans="1:7" hidden="1" outlineLevel="1" x14ac:dyDescent="0.2">
      <c r="B60" s="933">
        <f t="shared" si="7"/>
        <v>2012</v>
      </c>
      <c r="C60" s="934">
        <f t="shared" si="6"/>
        <v>3.5</v>
      </c>
      <c r="D60" s="935">
        <f>'AMI RAB 2009-15'!B242</f>
        <v>10192.341702945465</v>
      </c>
      <c r="E60" s="936">
        <f>D60*F60/B54</f>
        <v>5096.1708514727316</v>
      </c>
      <c r="F60" s="937">
        <f>B54-C60</f>
        <v>3.5</v>
      </c>
      <c r="G60" s="902"/>
    </row>
    <row r="61" spans="1:7" hidden="1" outlineLevel="1" x14ac:dyDescent="0.2">
      <c r="B61" s="933">
        <f t="shared" si="7"/>
        <v>2013</v>
      </c>
      <c r="C61" s="934">
        <f t="shared" si="6"/>
        <v>2.5</v>
      </c>
      <c r="D61" s="935">
        <f>'AMI RAB 2009-15'!B243</f>
        <v>3566.2709641136021</v>
      </c>
      <c r="E61" s="936">
        <f>D61*F61/B54</f>
        <v>2292.6027626444584</v>
      </c>
      <c r="F61" s="937">
        <f>B54-C61</f>
        <v>4.5</v>
      </c>
      <c r="G61" s="902"/>
    </row>
    <row r="62" spans="1:7" hidden="1" outlineLevel="1" x14ac:dyDescent="0.2">
      <c r="B62" s="933">
        <f t="shared" si="7"/>
        <v>2014</v>
      </c>
      <c r="C62" s="934">
        <f>C63+1</f>
        <v>1.5</v>
      </c>
      <c r="D62" s="935">
        <f>'AMI RAB 2009-15'!B244</f>
        <v>1993.4553734855997</v>
      </c>
      <c r="E62" s="936">
        <f>D62*F62/B54</f>
        <v>1566.2863648815426</v>
      </c>
      <c r="F62" s="937">
        <f>B54-C62</f>
        <v>5.5</v>
      </c>
      <c r="G62" s="902"/>
    </row>
    <row r="63" spans="1:7" hidden="1" outlineLevel="1" x14ac:dyDescent="0.2">
      <c r="B63" s="933">
        <f t="shared" si="7"/>
        <v>2015</v>
      </c>
      <c r="C63" s="934">
        <v>0.5</v>
      </c>
      <c r="D63" s="935">
        <f>'AMI RAB 2009-15'!B245</f>
        <v>940.88673833913867</v>
      </c>
      <c r="E63" s="936">
        <f>D63*F63/B54</f>
        <v>873.68054274348583</v>
      </c>
      <c r="F63" s="937">
        <f>B54-C63</f>
        <v>6.5</v>
      </c>
      <c r="G63" s="902"/>
    </row>
    <row r="64" spans="1:7" collapsed="1" x14ac:dyDescent="0.2">
      <c r="B64" s="938"/>
      <c r="C64" s="903"/>
      <c r="D64" s="939"/>
      <c r="E64" s="940">
        <f>SUM(E57:E63)</f>
        <v>15849.552994546659</v>
      </c>
      <c r="F64" s="941">
        <f>IF(E64=0,0,SUMPRODUCT(F57:F63,E57:E63)/E64)</f>
        <v>3.5773673108914217</v>
      </c>
      <c r="G64" s="942">
        <f>ABS(B7-E64)</f>
        <v>0</v>
      </c>
    </row>
    <row r="67" spans="1:7" x14ac:dyDescent="0.2">
      <c r="A67" s="890" t="str">
        <f>A8</f>
        <v>Other</v>
      </c>
    </row>
    <row r="68" spans="1:7" x14ac:dyDescent="0.2">
      <c r="A68" s="890" t="s">
        <v>412</v>
      </c>
      <c r="B68" s="923">
        <f>E8</f>
        <v>7</v>
      </c>
      <c r="D68" s="946" t="s">
        <v>296</v>
      </c>
      <c r="E68" s="947"/>
    </row>
    <row r="69" spans="1:7" x14ac:dyDescent="0.2">
      <c r="B69" s="924"/>
      <c r="C69" s="895"/>
      <c r="D69" s="925"/>
      <c r="E69" s="926" t="s">
        <v>419</v>
      </c>
      <c r="F69" s="927" t="s">
        <v>420</v>
      </c>
      <c r="G69" s="895"/>
    </row>
    <row r="70" spans="1:7" x14ac:dyDescent="0.2">
      <c r="B70" s="928" t="s">
        <v>287</v>
      </c>
      <c r="C70" s="929" t="s">
        <v>421</v>
      </c>
      <c r="D70" s="930" t="s">
        <v>326</v>
      </c>
      <c r="E70" s="931" t="s">
        <v>422</v>
      </c>
      <c r="F70" s="929" t="s">
        <v>413</v>
      </c>
      <c r="G70" s="932" t="s">
        <v>0</v>
      </c>
    </row>
    <row r="71" spans="1:7" hidden="1" outlineLevel="1" x14ac:dyDescent="0.2">
      <c r="B71" s="933">
        <v>2009</v>
      </c>
      <c r="C71" s="934">
        <f t="shared" ref="C71:C75" si="8">C72+1</f>
        <v>6.5</v>
      </c>
      <c r="D71" s="935">
        <f>'AMI RAB 2009-15'!B251</f>
        <v>502.68955837837836</v>
      </c>
      <c r="E71" s="936">
        <f>D71*F71/B68</f>
        <v>35.906397027027026</v>
      </c>
      <c r="F71" s="937">
        <f>B68-C71</f>
        <v>0.5</v>
      </c>
      <c r="G71" s="902"/>
    </row>
    <row r="72" spans="1:7" hidden="1" outlineLevel="1" x14ac:dyDescent="0.2">
      <c r="B72" s="933">
        <f>B71+1</f>
        <v>2010</v>
      </c>
      <c r="C72" s="934">
        <f t="shared" si="8"/>
        <v>5.5</v>
      </c>
      <c r="D72" s="935">
        <f>'AMI RAB 2009-15'!B252</f>
        <v>590.42642854092537</v>
      </c>
      <c r="E72" s="936">
        <f>D72*F72/B68</f>
        <v>126.51994897305543</v>
      </c>
      <c r="F72" s="937">
        <f>B68-C72</f>
        <v>1.5</v>
      </c>
      <c r="G72" s="902"/>
    </row>
    <row r="73" spans="1:7" hidden="1" outlineLevel="1" x14ac:dyDescent="0.2">
      <c r="B73" s="933">
        <f t="shared" ref="B73:B77" si="9">B72+1</f>
        <v>2011</v>
      </c>
      <c r="C73" s="934">
        <f t="shared" si="8"/>
        <v>4.5</v>
      </c>
      <c r="D73" s="935">
        <f>'AMI RAB 2009-15'!B253</f>
        <v>319.49326631275244</v>
      </c>
      <c r="E73" s="936">
        <f>D73*F73/B68</f>
        <v>114.10473796884015</v>
      </c>
      <c r="F73" s="937">
        <f>B68-C73</f>
        <v>2.5</v>
      </c>
      <c r="G73" s="902"/>
    </row>
    <row r="74" spans="1:7" hidden="1" outlineLevel="1" x14ac:dyDescent="0.2">
      <c r="B74" s="933">
        <f t="shared" si="9"/>
        <v>2012</v>
      </c>
      <c r="C74" s="934">
        <f t="shared" si="8"/>
        <v>3.5</v>
      </c>
      <c r="D74" s="935">
        <f>'AMI RAB 2009-15'!B254</f>
        <v>154.46595927536234</v>
      </c>
      <c r="E74" s="936">
        <f>D74*F74/B68</f>
        <v>77.232979637681169</v>
      </c>
      <c r="F74" s="937">
        <f>B68-C74</f>
        <v>3.5</v>
      </c>
      <c r="G74" s="902"/>
    </row>
    <row r="75" spans="1:7" hidden="1" outlineLevel="1" x14ac:dyDescent="0.2">
      <c r="B75" s="933">
        <f t="shared" si="9"/>
        <v>2013</v>
      </c>
      <c r="C75" s="934">
        <f t="shared" si="8"/>
        <v>2.5</v>
      </c>
      <c r="D75" s="935">
        <f>'AMI RAB 2009-15'!B255</f>
        <v>32.701787470744009</v>
      </c>
      <c r="E75" s="936">
        <f>D75*F75/B68</f>
        <v>21.022577659764007</v>
      </c>
      <c r="F75" s="937">
        <f>B68-C75</f>
        <v>4.5</v>
      </c>
      <c r="G75" s="902"/>
    </row>
    <row r="76" spans="1:7" hidden="1" outlineLevel="1" x14ac:dyDescent="0.2">
      <c r="B76" s="933">
        <f t="shared" si="9"/>
        <v>2014</v>
      </c>
      <c r="C76" s="934">
        <f>C77+1</f>
        <v>1.5</v>
      </c>
      <c r="D76" s="935">
        <f>'AMI RAB 2009-15'!B256</f>
        <v>106.79371725331792</v>
      </c>
      <c r="E76" s="936">
        <f>D76*F76/B68</f>
        <v>83.909349270464077</v>
      </c>
      <c r="F76" s="937">
        <f>B68-C76</f>
        <v>5.5</v>
      </c>
      <c r="G76" s="902"/>
    </row>
    <row r="77" spans="1:7" hidden="1" outlineLevel="1" x14ac:dyDescent="0.2">
      <c r="B77" s="933">
        <f t="shared" si="9"/>
        <v>2015</v>
      </c>
      <c r="C77" s="934">
        <v>0.5</v>
      </c>
      <c r="D77" s="935">
        <f>'AMI RAB 2009-15'!B257</f>
        <v>115.13463127524524</v>
      </c>
      <c r="E77" s="936">
        <f>D77*F77/B68</f>
        <v>106.91072904129916</v>
      </c>
      <c r="F77" s="937">
        <f>B68-C77</f>
        <v>6.5</v>
      </c>
      <c r="G77" s="902"/>
    </row>
    <row r="78" spans="1:7" collapsed="1" x14ac:dyDescent="0.2">
      <c r="B78" s="938"/>
      <c r="C78" s="903"/>
      <c r="D78" s="939"/>
      <c r="E78" s="940">
        <f>SUM(E71:E77)</f>
        <v>565.60671957813099</v>
      </c>
      <c r="F78" s="941">
        <f>IF(E78=0,0,SUMPRODUCT(F71:F77,E71:E77)/E78)</f>
        <v>3.5613670862228197</v>
      </c>
      <c r="G78" s="942">
        <f>ABS(B8-E78)</f>
        <v>0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75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136712.05983084132</v>
      </c>
      <c r="G5" s="80">
        <f t="shared" ref="G5:W5" si="1">F10</f>
        <v>222856.16424558483</v>
      </c>
      <c r="H5" s="80">
        <f t="shared" si="1"/>
        <v>292449.91104980314</v>
      </c>
      <c r="I5" s="80">
        <f t="shared" si="1"/>
        <v>321377.15357185318</v>
      </c>
      <c r="J5" s="80">
        <f t="shared" si="1"/>
        <v>298666.58168456965</v>
      </c>
      <c r="K5" s="80">
        <f t="shared" si="1"/>
        <v>273098.0661583952</v>
      </c>
      <c r="L5" s="80">
        <f t="shared" si="1"/>
        <v>237678.78117814139</v>
      </c>
      <c r="M5" s="80">
        <f t="shared" si="1"/>
        <v>205680.56071302539</v>
      </c>
      <c r="N5" s="80">
        <f t="shared" si="1"/>
        <v>177187.84953097184</v>
      </c>
      <c r="O5" s="80">
        <f t="shared" si="1"/>
        <v>151839.66700056399</v>
      </c>
      <c r="P5" s="80">
        <f t="shared" si="1"/>
        <v>128467.62533227322</v>
      </c>
      <c r="Q5" s="80">
        <f t="shared" si="1"/>
        <v>106338.5488728886</v>
      </c>
      <c r="R5" s="80">
        <f t="shared" si="1"/>
        <v>85203.566708885221</v>
      </c>
      <c r="S5" s="80">
        <f t="shared" si="1"/>
        <v>64472.207486804022</v>
      </c>
      <c r="T5" s="80">
        <f t="shared" si="1"/>
        <v>43811.045499166066</v>
      </c>
      <c r="U5" s="80">
        <f t="shared" si="1"/>
        <v>25291.546376511102</v>
      </c>
      <c r="V5" s="80">
        <f t="shared" si="1"/>
        <v>11676.20021897323</v>
      </c>
      <c r="W5" s="80">
        <f t="shared" si="1"/>
        <v>3765.618785821418</v>
      </c>
      <c r="X5" s="80">
        <f>W10</f>
        <v>830.65690003215013</v>
      </c>
      <c r="Y5" s="80">
        <f>X10</f>
        <v>207.47351795720249</v>
      </c>
      <c r="Z5" s="80">
        <f>Y10</f>
        <v>4.4337866711430252E-12</v>
      </c>
      <c r="AA5" s="80">
        <f>Z10</f>
        <v>4.4337866711430252E-12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93930.880038998657</v>
      </c>
      <c r="F6" s="80">
        <f>'Data 2009-15 (Real $2008)'!F16/10^3</f>
        <v>112619.07144998059</v>
      </c>
      <c r="G6" s="80">
        <f>'Data 2009-15 (Real $2008)'!G16/10^3</f>
        <v>105674.15344430949</v>
      </c>
      <c r="H6" s="80">
        <f>'Data 2009-15 (Real $2008)'!H16/10^3</f>
        <v>72426.645867333325</v>
      </c>
      <c r="I6" s="80">
        <f>'Data 2009-15 (Real $2008)'!I16/10^3</f>
        <v>14513.689333243656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36080.40664009122</v>
      </c>
      <c r="H9" s="80">
        <f t="shared" si="2"/>
        <v>43499.403345283274</v>
      </c>
      <c r="I9" s="80">
        <f t="shared" si="2"/>
        <v>37224.261220527194</v>
      </c>
      <c r="J9" s="80">
        <f t="shared" si="2"/>
        <v>37443.442251800785</v>
      </c>
      <c r="K9" s="80">
        <f t="shared" si="2"/>
        <v>35419.284980253804</v>
      </c>
      <c r="L9" s="80">
        <f t="shared" si="2"/>
        <v>31998.220465115992</v>
      </c>
      <c r="M9" s="80">
        <f t="shared" si="2"/>
        <v>28492.711182053543</v>
      </c>
      <c r="N9" s="80">
        <f t="shared" si="2"/>
        <v>25348.182530407845</v>
      </c>
      <c r="O9" s="80">
        <f t="shared" si="2"/>
        <v>23372.041668290774</v>
      </c>
      <c r="P9" s="80">
        <f t="shared" si="2"/>
        <v>22129.076459384625</v>
      </c>
      <c r="Q9" s="80">
        <f t="shared" si="2"/>
        <v>21134.98216400337</v>
      </c>
      <c r="R9" s="80">
        <f t="shared" si="2"/>
        <v>20731.359222081202</v>
      </c>
      <c r="S9" s="80">
        <f t="shared" si="2"/>
        <v>20661.161987637959</v>
      </c>
      <c r="T9" s="80">
        <f t="shared" si="2"/>
        <v>18519.499122654965</v>
      </c>
      <c r="U9" s="80">
        <f t="shared" si="2"/>
        <v>13615.346157537871</v>
      </c>
      <c r="V9" s="80">
        <f t="shared" si="2"/>
        <v>7910.5814331518122</v>
      </c>
      <c r="W9" s="80">
        <f t="shared" si="2"/>
        <v>2934.9618857892679</v>
      </c>
      <c r="X9" s="80">
        <f>SUM(X83,X127,X172)</f>
        <v>623.18338207494764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136712.05983084132</v>
      </c>
      <c r="F10" s="107">
        <f>F5+F6-SUM(F7:F9)</f>
        <v>222856.16424558483</v>
      </c>
      <c r="G10" s="107">
        <f t="shared" ref="G10:W10" si="3">G5+G6-SUM(G7:G9)</f>
        <v>292449.91104980314</v>
      </c>
      <c r="H10" s="107">
        <f t="shared" si="3"/>
        <v>321377.15357185318</v>
      </c>
      <c r="I10" s="107">
        <f t="shared" si="3"/>
        <v>298666.58168456965</v>
      </c>
      <c r="J10" s="107">
        <f t="shared" si="3"/>
        <v>273098.0661583952</v>
      </c>
      <c r="K10" s="107">
        <f t="shared" si="3"/>
        <v>237678.78117814139</v>
      </c>
      <c r="L10" s="107">
        <f t="shared" si="3"/>
        <v>205680.56071302539</v>
      </c>
      <c r="M10" s="107">
        <f t="shared" si="3"/>
        <v>177187.84953097184</v>
      </c>
      <c r="N10" s="107">
        <f t="shared" si="3"/>
        <v>151839.66700056399</v>
      </c>
      <c r="O10" s="107">
        <f t="shared" si="3"/>
        <v>128467.62533227322</v>
      </c>
      <c r="P10" s="107">
        <f t="shared" si="3"/>
        <v>106338.5488728886</v>
      </c>
      <c r="Q10" s="107">
        <f t="shared" si="3"/>
        <v>85203.566708885221</v>
      </c>
      <c r="R10" s="107">
        <f t="shared" si="3"/>
        <v>64472.207486804022</v>
      </c>
      <c r="S10" s="107">
        <f t="shared" si="3"/>
        <v>43811.045499166066</v>
      </c>
      <c r="T10" s="107">
        <f t="shared" si="3"/>
        <v>25291.546376511102</v>
      </c>
      <c r="U10" s="107">
        <f t="shared" si="3"/>
        <v>11676.20021897323</v>
      </c>
      <c r="V10" s="107">
        <f t="shared" si="3"/>
        <v>3765.618785821418</v>
      </c>
      <c r="W10" s="107">
        <f t="shared" si="3"/>
        <v>830.65690003215013</v>
      </c>
      <c r="X10" s="107">
        <f>X5+X6-SUM(X7:X9)</f>
        <v>207.47351795720249</v>
      </c>
      <c r="Y10" s="107">
        <f>Y5+Y6-SUM(Y7:Y9)</f>
        <v>4.4337866711430252E-12</v>
      </c>
      <c r="Z10" s="107">
        <f>Z5+Z6-SUM(Z7:Z9)</f>
        <v>4.4337866711430252E-12</v>
      </c>
      <c r="AA10" s="107">
        <f>AA5+AA6-SUM(AA7:AA9)</f>
        <v>4.4337866711430252E-12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179784.11203821306</v>
      </c>
      <c r="G12" s="80">
        <f t="shared" ref="G12:W12" si="4">AVERAGE(G5,G10)</f>
        <v>257653.037647694</v>
      </c>
      <c r="H12" s="80">
        <f t="shared" si="4"/>
        <v>306913.53231082816</v>
      </c>
      <c r="I12" s="80">
        <f t="shared" si="4"/>
        <v>310021.86762821139</v>
      </c>
      <c r="J12" s="80">
        <f t="shared" si="4"/>
        <v>285882.32392148243</v>
      </c>
      <c r="K12" s="80">
        <f t="shared" si="4"/>
        <v>255388.42366826831</v>
      </c>
      <c r="L12" s="80">
        <f t="shared" si="4"/>
        <v>221679.67094558338</v>
      </c>
      <c r="M12" s="80">
        <f t="shared" si="4"/>
        <v>191434.20512199862</v>
      </c>
      <c r="N12" s="80">
        <f t="shared" si="4"/>
        <v>164513.75826576792</v>
      </c>
      <c r="O12" s="80">
        <f t="shared" si="4"/>
        <v>140153.64616641862</v>
      </c>
      <c r="P12" s="80">
        <f t="shared" si="4"/>
        <v>117403.0871025809</v>
      </c>
      <c r="Q12" s="80">
        <f t="shared" si="4"/>
        <v>95771.057790886902</v>
      </c>
      <c r="R12" s="80">
        <f t="shared" si="4"/>
        <v>74837.887097844621</v>
      </c>
      <c r="S12" s="80">
        <f t="shared" si="4"/>
        <v>54141.626492985044</v>
      </c>
      <c r="T12" s="80">
        <f t="shared" si="4"/>
        <v>34551.295937838586</v>
      </c>
      <c r="U12" s="80">
        <f t="shared" si="4"/>
        <v>18483.873297742168</v>
      </c>
      <c r="V12" s="80">
        <f t="shared" si="4"/>
        <v>7720.9095023973241</v>
      </c>
      <c r="W12" s="80">
        <f t="shared" si="4"/>
        <v>2298.1378429267843</v>
      </c>
      <c r="X12" s="80">
        <f>AVERAGE(X5,X10)</f>
        <v>519.06520899467637</v>
      </c>
      <c r="Y12" s="80">
        <f>AVERAGE(Y5,Y10)</f>
        <v>103.73675897860346</v>
      </c>
      <c r="Z12" s="80">
        <f>AVERAGE(Z5,Z10)</f>
        <v>4.4337866711430252E-12</v>
      </c>
      <c r="AA12" s="80">
        <f>AVERAGE(AA5,AA10)</f>
        <v>4.4337866711430252E-12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3" t="s">
        <v>0</v>
      </c>
      <c r="B14" s="546"/>
      <c r="C14" s="544">
        <f>SUM(D14:AA14)</f>
        <v>0</v>
      </c>
      <c r="D14" s="547">
        <f t="shared" ref="D14:W14" si="5">IF(ABS(D10-D84-D128-D173)&lt;0.001,0,ABS(D10-D84-D128-D173))</f>
        <v>0</v>
      </c>
      <c r="E14" s="547">
        <f t="shared" si="5"/>
        <v>0</v>
      </c>
      <c r="F14" s="547">
        <f t="shared" si="5"/>
        <v>0</v>
      </c>
      <c r="G14" s="547">
        <f t="shared" si="5"/>
        <v>0</v>
      </c>
      <c r="H14" s="547">
        <f t="shared" si="5"/>
        <v>0</v>
      </c>
      <c r="I14" s="547">
        <f t="shared" si="5"/>
        <v>0</v>
      </c>
      <c r="J14" s="547">
        <f t="shared" si="5"/>
        <v>0</v>
      </c>
      <c r="K14" s="547">
        <f t="shared" si="5"/>
        <v>0</v>
      </c>
      <c r="L14" s="547">
        <f t="shared" si="5"/>
        <v>0</v>
      </c>
      <c r="M14" s="547">
        <f t="shared" si="5"/>
        <v>0</v>
      </c>
      <c r="N14" s="547">
        <f t="shared" si="5"/>
        <v>0</v>
      </c>
      <c r="O14" s="547">
        <f t="shared" si="5"/>
        <v>0</v>
      </c>
      <c r="P14" s="547">
        <f t="shared" si="5"/>
        <v>0</v>
      </c>
      <c r="Q14" s="547">
        <f t="shared" si="5"/>
        <v>0</v>
      </c>
      <c r="R14" s="547">
        <f t="shared" si="5"/>
        <v>0</v>
      </c>
      <c r="S14" s="547">
        <f t="shared" si="5"/>
        <v>0</v>
      </c>
      <c r="T14" s="547">
        <f t="shared" si="5"/>
        <v>0</v>
      </c>
      <c r="U14" s="547">
        <f t="shared" si="5"/>
        <v>0</v>
      </c>
      <c r="V14" s="547">
        <f t="shared" si="5"/>
        <v>0</v>
      </c>
      <c r="W14" s="547">
        <f t="shared" si="5"/>
        <v>0</v>
      </c>
      <c r="X14" s="547">
        <f>IF(ABS(X10-X84-X128-X173)&lt;0.001,0,ABS(X10-X84-X128-X173))</f>
        <v>0</v>
      </c>
      <c r="Y14" s="547">
        <f>IF(ABS(Y10-Y84-Y128-Y173)&lt;0.001,0,ABS(Y10-Y84-Y128-Y173))</f>
        <v>0</v>
      </c>
      <c r="Z14" s="547">
        <f>IF(ABS(Z10-Z84-Z128-Z173)&lt;0.001,0,ABS(Z10-Z84-Z128-Z173))</f>
        <v>0</v>
      </c>
      <c r="AA14" s="547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4986.1643384285071</v>
      </c>
      <c r="I20" s="80">
        <f t="shared" si="7"/>
        <v>0</v>
      </c>
      <c r="J20" s="80">
        <f t="shared" si="7"/>
        <v>4.5474735088646412E-13</v>
      </c>
      <c r="K20" s="80">
        <f t="shared" si="7"/>
        <v>4.5474735088646412E-13</v>
      </c>
      <c r="L20" s="80">
        <f t="shared" si="7"/>
        <v>4.5474735088646412E-13</v>
      </c>
      <c r="M20" s="80">
        <f t="shared" si="7"/>
        <v>4.5474735088646412E-13</v>
      </c>
      <c r="N20" s="80">
        <f t="shared" si="7"/>
        <v>4.5474735088646412E-13</v>
      </c>
      <c r="O20" s="80">
        <f t="shared" si="7"/>
        <v>4.5474735088646412E-13</v>
      </c>
      <c r="P20" s="80">
        <f t="shared" si="7"/>
        <v>4.5474735088646412E-13</v>
      </c>
      <c r="Q20" s="80">
        <f t="shared" si="7"/>
        <v>4.5474735088646412E-13</v>
      </c>
      <c r="R20" s="80">
        <f t="shared" si="7"/>
        <v>4.5474735088646412E-13</v>
      </c>
      <c r="S20" s="80">
        <f t="shared" si="7"/>
        <v>4.5474735088646412E-13</v>
      </c>
      <c r="T20" s="80">
        <f t="shared" si="7"/>
        <v>4.5474735088646412E-13</v>
      </c>
      <c r="U20" s="80">
        <f t="shared" si="7"/>
        <v>4.5474735088646412E-13</v>
      </c>
      <c r="V20" s="80">
        <f t="shared" si="7"/>
        <v>4.5474735088646412E-13</v>
      </c>
      <c r="W20" s="80">
        <f t="shared" si="7"/>
        <v>4.5474735088646412E-13</v>
      </c>
      <c r="X20" s="80">
        <f>W25</f>
        <v>4.5474735088646412E-13</v>
      </c>
      <c r="Y20" s="80">
        <f>X25</f>
        <v>4.5474735088646412E-13</v>
      </c>
      <c r="Z20" s="80">
        <f>Y25</f>
        <v>4.5474735088646412E-13</v>
      </c>
      <c r="AA20" s="80">
        <f>Z25</f>
        <v>4.5474735088646412E-13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3670.0541176541242</v>
      </c>
      <c r="F21" s="80">
        <f>'Data 2009-15 (Real $2008)'!F10/10^3</f>
        <v>1449.8892054472012</v>
      </c>
      <c r="G21" s="80">
        <f>'Data 2009-15 (Real $2008)'!G10/10^3</f>
        <v>839.22847869565237</v>
      </c>
      <c r="H21" s="80">
        <f>'Data 2009-15 (Real $2008)'!H10/10^3</f>
        <v>81.80321129125025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4706.4215121966208</v>
      </c>
      <c r="H24" s="80">
        <f t="shared" si="8"/>
        <v>5067.9675497197559</v>
      </c>
      <c r="I24" s="80">
        <f t="shared" si="8"/>
        <v>-4.5474735088646412E-13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4986.1643384285071</v>
      </c>
      <c r="H25" s="107">
        <f t="shared" si="9"/>
        <v>0</v>
      </c>
      <c r="I25" s="107">
        <f t="shared" si="9"/>
        <v>4.5474735088646412E-13</v>
      </c>
      <c r="J25" s="107">
        <f t="shared" si="9"/>
        <v>4.5474735088646412E-13</v>
      </c>
      <c r="K25" s="107">
        <f t="shared" si="9"/>
        <v>4.5474735088646412E-13</v>
      </c>
      <c r="L25" s="107">
        <f t="shared" si="9"/>
        <v>4.5474735088646412E-13</v>
      </c>
      <c r="M25" s="107">
        <f t="shared" si="9"/>
        <v>4.5474735088646412E-13</v>
      </c>
      <c r="N25" s="107">
        <f t="shared" si="9"/>
        <v>4.5474735088646412E-13</v>
      </c>
      <c r="O25" s="107">
        <f t="shared" si="9"/>
        <v>4.5474735088646412E-13</v>
      </c>
      <c r="P25" s="107">
        <f t="shared" si="9"/>
        <v>4.5474735088646412E-13</v>
      </c>
      <c r="Q25" s="107">
        <f t="shared" si="9"/>
        <v>4.5474735088646412E-13</v>
      </c>
      <c r="R25" s="107">
        <f t="shared" si="9"/>
        <v>4.5474735088646412E-13</v>
      </c>
      <c r="S25" s="107">
        <f t="shared" si="9"/>
        <v>4.5474735088646412E-13</v>
      </c>
      <c r="T25" s="107">
        <f t="shared" si="9"/>
        <v>4.5474735088646412E-13</v>
      </c>
      <c r="U25" s="107">
        <f t="shared" si="9"/>
        <v>4.5474735088646412E-13</v>
      </c>
      <c r="V25" s="107">
        <f t="shared" si="9"/>
        <v>4.5474735088646412E-13</v>
      </c>
      <c r="W25" s="107">
        <f t="shared" si="9"/>
        <v>4.5474735088646412E-13</v>
      </c>
      <c r="X25" s="107">
        <f>X20+X21-SUM(X22:X24)</f>
        <v>4.5474735088646412E-13</v>
      </c>
      <c r="Y25" s="107">
        <f>Y20+Y21-SUM(Y22:Y24)</f>
        <v>4.5474735088646412E-13</v>
      </c>
      <c r="Z25" s="107">
        <f>Z20+Z21-SUM(Z22:Z24)</f>
        <v>4.5474735088646412E-13</v>
      </c>
      <c r="AA25" s="107">
        <f>AA20+AA21-SUM(AA22:AA24)</f>
        <v>4.5474735088646412E-13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4321.2926396653065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  <c r="P30" s="80">
        <f t="shared" si="11"/>
        <v>0</v>
      </c>
      <c r="Q30" s="80">
        <f t="shared" si="11"/>
        <v>0</v>
      </c>
      <c r="R30" s="80">
        <f t="shared" si="11"/>
        <v>0</v>
      </c>
      <c r="S30" s="80">
        <f t="shared" si="11"/>
        <v>0</v>
      </c>
      <c r="T30" s="80">
        <f t="shared" si="11"/>
        <v>0</v>
      </c>
      <c r="U30" s="80">
        <f t="shared" si="11"/>
        <v>0</v>
      </c>
      <c r="V30" s="80">
        <f t="shared" si="11"/>
        <v>0</v>
      </c>
      <c r="W30" s="80">
        <f t="shared" si="11"/>
        <v>0</v>
      </c>
      <c r="X30" s="80">
        <f>W35</f>
        <v>0</v>
      </c>
      <c r="Y30" s="80">
        <f>X35</f>
        <v>0</v>
      </c>
      <c r="Z30" s="80">
        <f>Y35</f>
        <v>0</v>
      </c>
      <c r="AA30" s="80">
        <f>Z35</f>
        <v>0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4532.0700719376491</v>
      </c>
      <c r="F31" s="80">
        <f>'Data 2009-15 (Real $2008)'!F11/10^3</f>
        <v>696.21917755337563</v>
      </c>
      <c r="G31" s="80">
        <f>'Data 2009-15 (Real $2008)'!G11/10^3</f>
        <v>141.54517797101448</v>
      </c>
      <c r="H31" s="80">
        <f>'Data 2009-15 (Real $2008)'!H11/10^3</f>
        <v>103.66395317018311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3301.0029349578999</v>
      </c>
      <c r="F34" s="80">
        <f t="shared" si="12"/>
        <v>4087.6853521739531</v>
      </c>
      <c r="G34" s="80">
        <f t="shared" si="12"/>
        <v>4274.1109136749665</v>
      </c>
      <c r="H34" s="80">
        <f t="shared" si="12"/>
        <v>4424.9565928354878</v>
      </c>
      <c r="I34" s="80">
        <f t="shared" si="12"/>
        <v>0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4321.2926396653065</v>
      </c>
      <c r="H35" s="107">
        <f t="shared" si="13"/>
        <v>0</v>
      </c>
      <c r="I35" s="107">
        <f t="shared" si="13"/>
        <v>0</v>
      </c>
      <c r="J35" s="107">
        <f t="shared" si="13"/>
        <v>0</v>
      </c>
      <c r="K35" s="107">
        <f t="shared" si="13"/>
        <v>0</v>
      </c>
      <c r="L35" s="107">
        <f t="shared" si="13"/>
        <v>0</v>
      </c>
      <c r="M35" s="107">
        <f t="shared" si="13"/>
        <v>0</v>
      </c>
      <c r="N35" s="107">
        <f t="shared" si="13"/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0</v>
      </c>
      <c r="S35" s="107">
        <f t="shared" si="13"/>
        <v>0</v>
      </c>
      <c r="T35" s="107">
        <f t="shared" si="13"/>
        <v>0</v>
      </c>
      <c r="U35" s="107">
        <f t="shared" si="13"/>
        <v>0</v>
      </c>
      <c r="V35" s="107">
        <f t="shared" si="13"/>
        <v>0</v>
      </c>
      <c r="W35" s="107">
        <f t="shared" si="13"/>
        <v>0</v>
      </c>
      <c r="X35" s="107">
        <f>X30+X31-SUM(X32:X34)</f>
        <v>0</v>
      </c>
      <c r="Y35" s="107">
        <f>Y30+Y31-SUM(Y32:Y34)</f>
        <v>0</v>
      </c>
      <c r="Z35" s="107">
        <f>Z30+Z31-SUM(Z32:Z34)</f>
        <v>0</v>
      </c>
      <c r="AA35" s="107">
        <f>AA30+AA31-SUM(AA32:AA34)</f>
        <v>0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61967.828615620005</v>
      </c>
      <c r="G40" s="80">
        <f t="shared" si="15"/>
        <v>139832.43558839714</v>
      </c>
      <c r="H40" s="80">
        <f t="shared" si="15"/>
        <v>213173.97949373029</v>
      </c>
      <c r="I40" s="80">
        <f t="shared" si="15"/>
        <v>258483.84688405148</v>
      </c>
      <c r="J40" s="80">
        <f t="shared" si="15"/>
        <v>244622.76142886159</v>
      </c>
      <c r="K40" s="80">
        <f t="shared" si="15"/>
        <v>230323.08126345355</v>
      </c>
      <c r="L40" s="80">
        <f t="shared" si="15"/>
        <v>209591.72204137236</v>
      </c>
      <c r="M40" s="80">
        <f t="shared" si="15"/>
        <v>188860.36281929116</v>
      </c>
      <c r="N40" s="80">
        <f t="shared" si="15"/>
        <v>168129.00359720996</v>
      </c>
      <c r="O40" s="80">
        <f t="shared" si="15"/>
        <v>147397.64437512876</v>
      </c>
      <c r="P40" s="80">
        <f t="shared" si="15"/>
        <v>126666.28515304756</v>
      </c>
      <c r="Q40" s="80">
        <f t="shared" si="15"/>
        <v>105934.92593096636</v>
      </c>
      <c r="R40" s="80">
        <f t="shared" si="15"/>
        <v>85203.566708885162</v>
      </c>
      <c r="S40" s="80">
        <f t="shared" si="15"/>
        <v>64472.207486803964</v>
      </c>
      <c r="T40" s="80">
        <f t="shared" si="15"/>
        <v>43811.045499166008</v>
      </c>
      <c r="U40" s="80">
        <f t="shared" si="15"/>
        <v>25291.546376511043</v>
      </c>
      <c r="V40" s="80">
        <f t="shared" si="15"/>
        <v>11676.200218973172</v>
      </c>
      <c r="W40" s="80">
        <f t="shared" si="15"/>
        <v>3765.6187858213598</v>
      </c>
      <c r="X40" s="80">
        <f>W45</f>
        <v>830.65690003209193</v>
      </c>
      <c r="Y40" s="80">
        <f>X45</f>
        <v>207.47351795714428</v>
      </c>
      <c r="Z40" s="80">
        <f>Y45</f>
        <v>-5.3773874242324382E-11</v>
      </c>
      <c r="AA40" s="80">
        <f>Z45</f>
        <v>-5.3773874242324382E-11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62143.968916192171</v>
      </c>
      <c r="F41" s="80">
        <f>'Data 2009-15 (Real $2008)'!F12/10^3</f>
        <v>84980.620037320448</v>
      </c>
      <c r="G41" s="80">
        <f>'Data 2009-15 (Real $2008)'!G12/10^3</f>
        <v>86162.321694262559</v>
      </c>
      <c r="H41" s="80">
        <f>'Data 2009-15 (Real $2008)'!H12/10^3</f>
        <v>63106.264726613117</v>
      </c>
      <c r="I41" s="80">
        <f>'Data 2009-15 (Real $2008)'!I12/10^3</f>
        <v>6247.0903848163962</v>
      </c>
      <c r="J41" s="80">
        <f>'Data 2009-15 (Real $2008)'!J12/10^3</f>
        <v>6224.2055387159771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2211.8600994262256</v>
      </c>
      <c r="F44" s="80">
        <f t="shared" si="16"/>
        <v>7116.0130645433128</v>
      </c>
      <c r="G44" s="80">
        <f t="shared" si="16"/>
        <v>12820.777788929414</v>
      </c>
      <c r="H44" s="80">
        <f t="shared" si="16"/>
        <v>17796.397336291935</v>
      </c>
      <c r="I44" s="80">
        <f t="shared" si="16"/>
        <v>20108.175840006254</v>
      </c>
      <c r="J44" s="80">
        <f t="shared" si="16"/>
        <v>20523.885704124001</v>
      </c>
      <c r="K44" s="80">
        <f t="shared" si="16"/>
        <v>20731.359222081202</v>
      </c>
      <c r="L44" s="80">
        <f t="shared" si="16"/>
        <v>20731.359222081202</v>
      </c>
      <c r="M44" s="80">
        <f t="shared" si="16"/>
        <v>20731.359222081202</v>
      </c>
      <c r="N44" s="80">
        <f t="shared" si="16"/>
        <v>20731.359222081202</v>
      </c>
      <c r="O44" s="80">
        <f t="shared" si="16"/>
        <v>20731.359222081202</v>
      </c>
      <c r="P44" s="80">
        <f t="shared" si="16"/>
        <v>20731.359222081202</v>
      </c>
      <c r="Q44" s="80">
        <f t="shared" si="16"/>
        <v>20731.359222081202</v>
      </c>
      <c r="R44" s="80">
        <f t="shared" si="16"/>
        <v>20731.359222081202</v>
      </c>
      <c r="S44" s="80">
        <f t="shared" si="16"/>
        <v>20661.161987637959</v>
      </c>
      <c r="T44" s="80">
        <f t="shared" si="16"/>
        <v>18519.499122654965</v>
      </c>
      <c r="U44" s="80">
        <f t="shared" si="16"/>
        <v>13615.346157537871</v>
      </c>
      <c r="V44" s="80">
        <f t="shared" si="16"/>
        <v>7910.5814331518122</v>
      </c>
      <c r="W44" s="80">
        <f t="shared" si="16"/>
        <v>2934.9618857892679</v>
      </c>
      <c r="X44" s="80">
        <f>X136+X222</f>
        <v>623.18338207494764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61967.828615620005</v>
      </c>
      <c r="F45" s="107">
        <f t="shared" si="17"/>
        <v>139832.43558839714</v>
      </c>
      <c r="G45" s="107">
        <f t="shared" si="17"/>
        <v>213173.97949373029</v>
      </c>
      <c r="H45" s="107">
        <f t="shared" si="17"/>
        <v>258483.84688405148</v>
      </c>
      <c r="I45" s="107">
        <f t="shared" si="17"/>
        <v>244622.76142886159</v>
      </c>
      <c r="J45" s="107">
        <f t="shared" si="17"/>
        <v>230323.08126345355</v>
      </c>
      <c r="K45" s="107">
        <f t="shared" si="17"/>
        <v>209591.72204137236</v>
      </c>
      <c r="L45" s="107">
        <f t="shared" si="17"/>
        <v>188860.36281929116</v>
      </c>
      <c r="M45" s="107">
        <f t="shared" si="17"/>
        <v>168129.00359720996</v>
      </c>
      <c r="N45" s="107">
        <f t="shared" si="17"/>
        <v>147397.64437512876</v>
      </c>
      <c r="O45" s="107">
        <f t="shared" si="17"/>
        <v>126666.28515304756</v>
      </c>
      <c r="P45" s="107">
        <f t="shared" si="17"/>
        <v>105934.92593096636</v>
      </c>
      <c r="Q45" s="107">
        <f t="shared" si="17"/>
        <v>85203.566708885162</v>
      </c>
      <c r="R45" s="107">
        <f t="shared" si="17"/>
        <v>64472.207486803964</v>
      </c>
      <c r="S45" s="107">
        <f t="shared" si="17"/>
        <v>43811.045499166008</v>
      </c>
      <c r="T45" s="107">
        <f t="shared" si="17"/>
        <v>25291.546376511043</v>
      </c>
      <c r="U45" s="107">
        <f t="shared" si="17"/>
        <v>11676.200218973172</v>
      </c>
      <c r="V45" s="107">
        <f t="shared" si="17"/>
        <v>3765.6187858213598</v>
      </c>
      <c r="W45" s="107">
        <f t="shared" si="17"/>
        <v>830.65690003209193</v>
      </c>
      <c r="X45" s="107">
        <f>X40+X41-SUM(X42:X44)</f>
        <v>207.47351795714428</v>
      </c>
      <c r="Y45" s="107">
        <f>Y40+Y41-SUM(Y42:Y44)</f>
        <v>-5.3773874242324382E-11</v>
      </c>
      <c r="Z45" s="107">
        <f>Z40+Z41-SUM(Z42:Z44)</f>
        <v>-5.3773874242324382E-11</v>
      </c>
      <c r="AA45" s="107">
        <f>AA40+AA41-SUM(AA42:AA44)</f>
        <v>-5.3773874242324382E-11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45151.211318130205</v>
      </c>
      <c r="I50" s="80">
        <f t="shared" si="19"/>
        <v>39204.709259730269</v>
      </c>
      <c r="J50" s="80">
        <f t="shared" si="19"/>
        <v>33382.24840666911</v>
      </c>
      <c r="K50" s="80">
        <f t="shared" si="19"/>
        <v>26359.825180816737</v>
      </c>
      <c r="L50" s="80">
        <f t="shared" si="19"/>
        <v>16906.670631165056</v>
      </c>
      <c r="M50" s="80">
        <f t="shared" si="19"/>
        <v>10508.66238883372</v>
      </c>
      <c r="N50" s="80">
        <f t="shared" si="19"/>
        <v>6270.48015104971</v>
      </c>
      <c r="O50" s="80">
        <f t="shared" si="19"/>
        <v>3357.7492774442198</v>
      </c>
      <c r="P50" s="80">
        <f t="shared" si="19"/>
        <v>1425.0320935411473</v>
      </c>
      <c r="Q50" s="80">
        <f t="shared" si="19"/>
        <v>328.19284409255852</v>
      </c>
      <c r="R50" s="80">
        <f t="shared" si="19"/>
        <v>-1.0004441719502211E-11</v>
      </c>
      <c r="S50" s="80">
        <f t="shared" si="19"/>
        <v>-1.0004441719502211E-11</v>
      </c>
      <c r="T50" s="80">
        <f t="shared" si="19"/>
        <v>-1.0004441719502211E-11</v>
      </c>
      <c r="U50" s="80">
        <f t="shared" si="19"/>
        <v>-1.0004441719502211E-11</v>
      </c>
      <c r="V50" s="80">
        <f t="shared" si="19"/>
        <v>-1.0004441719502211E-11</v>
      </c>
      <c r="W50" s="80">
        <f t="shared" si="19"/>
        <v>-1.0004441719502211E-11</v>
      </c>
      <c r="X50" s="80">
        <f>W55</f>
        <v>-1.0004441719502211E-11</v>
      </c>
      <c r="Y50" s="80">
        <f>X55</f>
        <v>-1.0004441719502211E-11</v>
      </c>
      <c r="Z50" s="80">
        <f>Y55</f>
        <v>-1.0004441719502211E-11</v>
      </c>
      <c r="AA50" s="80">
        <f>Z55</f>
        <v>-1.0004441719502211E-11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19865.495396322662</v>
      </c>
      <c r="F51" s="80">
        <f>'Data 2009-15 (Real $2008)'!F13/10^3</f>
        <v>10372.068667339874</v>
      </c>
      <c r="G51" s="80">
        <f>'Data 2009-15 (Real $2008)'!G13/10^3</f>
        <v>8184.2504311594212</v>
      </c>
      <c r="H51" s="80">
        <f>'Data 2009-15 (Real $2008)'!H13/10^3</f>
        <v>5535.9412246744123</v>
      </c>
      <c r="I51" s="80">
        <f>'Data 2009-15 (Real $2008)'!I13/10^3</f>
        <v>6166.3498576883421</v>
      </c>
      <c r="J51" s="80">
        <f>'Data 2009-15 (Real $2008)'!J13/10^3</f>
        <v>4594.6998172959602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9222.1336501645947</v>
      </c>
      <c r="G54" s="80">
        <f t="shared" si="20"/>
        <v>10547.585014343116</v>
      </c>
      <c r="H54" s="80">
        <f t="shared" si="20"/>
        <v>11482.443283074343</v>
      </c>
      <c r="I54" s="80">
        <f t="shared" si="20"/>
        <v>11988.810710749505</v>
      </c>
      <c r="J54" s="80">
        <f t="shared" si="20"/>
        <v>11617.123043148331</v>
      </c>
      <c r="K54" s="80">
        <f t="shared" si="20"/>
        <v>9453.1545496516792</v>
      </c>
      <c r="L54" s="80">
        <f t="shared" si="20"/>
        <v>6398.0082423313352</v>
      </c>
      <c r="M54" s="80">
        <f t="shared" si="20"/>
        <v>4238.1822377840099</v>
      </c>
      <c r="N54" s="80">
        <f t="shared" si="20"/>
        <v>2912.7308736054902</v>
      </c>
      <c r="O54" s="80">
        <f t="shared" si="20"/>
        <v>1932.7171839030725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45151.211318130205</v>
      </c>
      <c r="H55" s="107">
        <f t="shared" si="21"/>
        <v>39204.709259730269</v>
      </c>
      <c r="I55" s="107">
        <f t="shared" si="21"/>
        <v>33382.24840666911</v>
      </c>
      <c r="J55" s="107">
        <f t="shared" si="21"/>
        <v>26359.825180816737</v>
      </c>
      <c r="K55" s="107">
        <f t="shared" si="21"/>
        <v>16906.670631165056</v>
      </c>
      <c r="L55" s="107">
        <f t="shared" si="21"/>
        <v>10508.66238883372</v>
      </c>
      <c r="M55" s="107">
        <f t="shared" si="21"/>
        <v>6270.48015104971</v>
      </c>
      <c r="N55" s="107">
        <f t="shared" si="21"/>
        <v>3357.7492774442198</v>
      </c>
      <c r="O55" s="107">
        <f t="shared" si="21"/>
        <v>1425.0320935411473</v>
      </c>
      <c r="P55" s="107">
        <f t="shared" si="21"/>
        <v>328.19284409255852</v>
      </c>
      <c r="Q55" s="107">
        <f t="shared" si="21"/>
        <v>-1.0004441719502211E-11</v>
      </c>
      <c r="R55" s="107">
        <f t="shared" si="21"/>
        <v>-1.0004441719502211E-11</v>
      </c>
      <c r="S55" s="107">
        <f t="shared" si="21"/>
        <v>-1.0004441719502211E-11</v>
      </c>
      <c r="T55" s="107">
        <f t="shared" si="21"/>
        <v>-1.0004441719502211E-11</v>
      </c>
      <c r="U55" s="107">
        <f t="shared" si="21"/>
        <v>-1.0004441719502211E-11</v>
      </c>
      <c r="V55" s="107">
        <f t="shared" si="21"/>
        <v>-1.0004441719502211E-11</v>
      </c>
      <c r="W55" s="107">
        <f t="shared" si="21"/>
        <v>-1.0004441719502211E-11</v>
      </c>
      <c r="X55" s="107">
        <f>X50+X51-SUM(X52:X54)</f>
        <v>-1.0004441719502211E-11</v>
      </c>
      <c r="Y55" s="107">
        <f>Y50+Y51-SUM(Y52:Y54)</f>
        <v>-1.0004441719502211E-11</v>
      </c>
      <c r="Z55" s="107">
        <f>Z50+Z51-SUM(Z52:Z54)</f>
        <v>-1.0004441719502211E-11</v>
      </c>
      <c r="AA55" s="107">
        <f>AA50+AA51-SUM(AA52:AA54)</f>
        <v>-1.0004441719502211E-11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23695.02575719438</v>
      </c>
      <c r="I60" s="80">
        <f t="shared" si="23"/>
        <v>22804.57072846092</v>
      </c>
      <c r="J60" s="80">
        <f t="shared" si="23"/>
        <v>19944.176799270939</v>
      </c>
      <c r="K60" s="80">
        <f t="shared" si="23"/>
        <v>15849.552994546659</v>
      </c>
      <c r="L60" s="80">
        <f t="shared" si="23"/>
        <v>10839.119010213952</v>
      </c>
      <c r="M60" s="80">
        <f t="shared" si="23"/>
        <v>6116.5235203473385</v>
      </c>
      <c r="N60" s="80">
        <f t="shared" si="23"/>
        <v>2674.6170450777277</v>
      </c>
      <c r="O60" s="80">
        <f t="shared" si="23"/>
        <v>1017.9336268761465</v>
      </c>
      <c r="P60" s="80">
        <f t="shared" si="23"/>
        <v>344.00825632164151</v>
      </c>
      <c r="Q60" s="80">
        <f t="shared" si="23"/>
        <v>67.206195595650286</v>
      </c>
      <c r="R60" s="80">
        <f t="shared" si="23"/>
        <v>-2.5579538487363607E-12</v>
      </c>
      <c r="S60" s="80">
        <f t="shared" si="23"/>
        <v>-2.5579538487363607E-12</v>
      </c>
      <c r="T60" s="80">
        <f t="shared" si="23"/>
        <v>-2.5579538487363607E-12</v>
      </c>
      <c r="U60" s="80">
        <f t="shared" si="23"/>
        <v>-2.5579538487363607E-12</v>
      </c>
      <c r="V60" s="80">
        <f t="shared" si="23"/>
        <v>-2.5579538487363607E-12</v>
      </c>
      <c r="W60" s="80">
        <f t="shared" si="23"/>
        <v>-2.5579538487363607E-12</v>
      </c>
      <c r="X60" s="80">
        <f>W65</f>
        <v>-2.5579538487363607E-12</v>
      </c>
      <c r="Y60" s="80">
        <f>X65</f>
        <v>-2.5579538487363607E-12</v>
      </c>
      <c r="Z60" s="80">
        <f>Y65</f>
        <v>-2.5579538487363607E-12</v>
      </c>
      <c r="AA60" s="80">
        <f>Z65</f>
        <v>-2.5579538487363607E-12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3128.8651083511272</v>
      </c>
      <c r="F61" s="80">
        <f>'Data 2009-15 (Real $2008)'!F14/10^3</f>
        <v>14800.781096006922</v>
      </c>
      <c r="G61" s="80">
        <f>'Data 2009-15 (Real $2008)'!G14/10^3</f>
        <v>10192.341702945465</v>
      </c>
      <c r="H61" s="80">
        <f>'Data 2009-15 (Real $2008)'!H14/10^3</f>
        <v>3566.2709641136021</v>
      </c>
      <c r="I61" s="80">
        <f>'Data 2009-15 (Real $2008)'!I14/10^3</f>
        <v>1993.4553734855997</v>
      </c>
      <c r="J61" s="80">
        <f>'Data 2009-15 (Real $2008)'!J14/10^3</f>
        <v>940.88673833913867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408.05587353495633</v>
      </c>
      <c r="F64" s="80">
        <f t="shared" si="24"/>
        <v>1688.7448881319599</v>
      </c>
      <c r="G64" s="80">
        <f t="shared" si="24"/>
        <v>3473.9679451999878</v>
      </c>
      <c r="H64" s="80">
        <f t="shared" si="24"/>
        <v>4456.7259928470639</v>
      </c>
      <c r="I64" s="80">
        <f t="shared" si="24"/>
        <v>4853.8493026755777</v>
      </c>
      <c r="J64" s="80">
        <f t="shared" si="24"/>
        <v>5035.5105430634185</v>
      </c>
      <c r="K64" s="80">
        <f t="shared" si="24"/>
        <v>5010.4339843327061</v>
      </c>
      <c r="L64" s="80">
        <f t="shared" si="24"/>
        <v>4722.5954898666132</v>
      </c>
      <c r="M64" s="80">
        <f t="shared" si="24"/>
        <v>3441.9064752696108</v>
      </c>
      <c r="N64" s="80">
        <f t="shared" si="24"/>
        <v>1656.6834182015812</v>
      </c>
      <c r="O64" s="80">
        <f t="shared" si="24"/>
        <v>673.92537055450498</v>
      </c>
      <c r="P64" s="80">
        <f t="shared" si="24"/>
        <v>276.80206072599123</v>
      </c>
      <c r="Q64" s="80">
        <f t="shared" si="24"/>
        <v>67.206195595652844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23695.02575719438</v>
      </c>
      <c r="H65" s="107">
        <f t="shared" si="25"/>
        <v>22804.57072846092</v>
      </c>
      <c r="I65" s="107">
        <f t="shared" si="25"/>
        <v>19944.176799270939</v>
      </c>
      <c r="J65" s="107">
        <f t="shared" si="25"/>
        <v>15849.552994546659</v>
      </c>
      <c r="K65" s="107">
        <f t="shared" si="25"/>
        <v>10839.119010213952</v>
      </c>
      <c r="L65" s="107">
        <f t="shared" si="25"/>
        <v>6116.5235203473385</v>
      </c>
      <c r="M65" s="107">
        <f t="shared" si="25"/>
        <v>2674.6170450777277</v>
      </c>
      <c r="N65" s="107">
        <f t="shared" si="25"/>
        <v>1017.9336268761465</v>
      </c>
      <c r="O65" s="107">
        <f t="shared" si="25"/>
        <v>344.00825632164151</v>
      </c>
      <c r="P65" s="107">
        <f t="shared" si="25"/>
        <v>67.206195595650286</v>
      </c>
      <c r="Q65" s="107">
        <f t="shared" si="25"/>
        <v>-2.5579538487363607E-12</v>
      </c>
      <c r="R65" s="107">
        <f t="shared" si="25"/>
        <v>-2.5579538487363607E-12</v>
      </c>
      <c r="S65" s="107">
        <f t="shared" si="25"/>
        <v>-2.5579538487363607E-12</v>
      </c>
      <c r="T65" s="107">
        <f t="shared" si="25"/>
        <v>-2.5579538487363607E-12</v>
      </c>
      <c r="U65" s="107">
        <f t="shared" si="25"/>
        <v>-2.5579538487363607E-12</v>
      </c>
      <c r="V65" s="107">
        <f t="shared" si="25"/>
        <v>-2.5579538487363607E-12</v>
      </c>
      <c r="W65" s="107">
        <f t="shared" si="25"/>
        <v>-2.5579538487363607E-12</v>
      </c>
      <c r="X65" s="107">
        <f>X60+X61-SUM(X62:X64)</f>
        <v>-2.5579538487363607E-12</v>
      </c>
      <c r="Y65" s="107">
        <f>Y60+Y61-SUM(Y62:Y64)</f>
        <v>-2.5579538487363607E-12</v>
      </c>
      <c r="Z65" s="107">
        <f>Z60+Z61-SUM(Z62:Z64)</f>
        <v>-2.5579538487363607E-12</v>
      </c>
      <c r="AA65" s="107">
        <f>AA60+AA61-SUM(AA62:AA64)</f>
        <v>-2.5579538487363607E-12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1129.5109781613612</v>
      </c>
      <c r="G70" s="80">
        <f t="shared" si="27"/>
        <v>1225.3150091261514</v>
      </c>
      <c r="H70" s="80">
        <f t="shared" si="27"/>
        <v>1122.2375026544005</v>
      </c>
      <c r="I70" s="80">
        <f t="shared" si="27"/>
        <v>884.02669961045217</v>
      </c>
      <c r="J70" s="80">
        <f t="shared" si="27"/>
        <v>717.3950497679175</v>
      </c>
      <c r="K70" s="80">
        <f t="shared" si="27"/>
        <v>565.60671957813099</v>
      </c>
      <c r="L70" s="80">
        <f t="shared" si="27"/>
        <v>341.26949538991153</v>
      </c>
      <c r="M70" s="80">
        <f t="shared" si="27"/>
        <v>195.01198455307082</v>
      </c>
      <c r="N70" s="80">
        <f t="shared" si="27"/>
        <v>113.74873763435005</v>
      </c>
      <c r="O70" s="80">
        <f t="shared" si="27"/>
        <v>66.339721114780275</v>
      </c>
      <c r="P70" s="80">
        <f t="shared" si="27"/>
        <v>32.299829362789531</v>
      </c>
      <c r="Q70" s="80">
        <f t="shared" si="27"/>
        <v>8.2239022339460632</v>
      </c>
      <c r="R70" s="80">
        <f t="shared" si="27"/>
        <v>-1.4210854715202004E-14</v>
      </c>
      <c r="S70" s="80">
        <f t="shared" si="27"/>
        <v>-1.4210854715202004E-14</v>
      </c>
      <c r="T70" s="80">
        <f t="shared" si="27"/>
        <v>-1.4210854715202004E-14</v>
      </c>
      <c r="U70" s="80">
        <f t="shared" si="27"/>
        <v>-1.4210854715202004E-14</v>
      </c>
      <c r="V70" s="80">
        <f t="shared" si="27"/>
        <v>-1.4210854715202004E-14</v>
      </c>
      <c r="W70" s="80">
        <f t="shared" si="27"/>
        <v>-1.4210854715202004E-14</v>
      </c>
      <c r="X70" s="80">
        <f>W75</f>
        <v>-1.4210854715202004E-14</v>
      </c>
      <c r="Y70" s="80">
        <f>X75</f>
        <v>-1.4210854715202004E-14</v>
      </c>
      <c r="Z70" s="80">
        <f>Y75</f>
        <v>-1.4210854715202004E-14</v>
      </c>
      <c r="AA70" s="80">
        <f>Z75</f>
        <v>-1.4210854715202004E-14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590.42642854092537</v>
      </c>
      <c r="F71" s="80">
        <f>'Data 2009-15 (Real $2008)'!F15/10^3</f>
        <v>319.49326631275244</v>
      </c>
      <c r="G71" s="80">
        <f>'Data 2009-15 (Real $2008)'!G15/10^3</f>
        <v>154.46595927536234</v>
      </c>
      <c r="H71" s="80">
        <f>'Data 2009-15 (Real $2008)'!H15/10^3</f>
        <v>32.701787470744009</v>
      </c>
      <c r="I71" s="80">
        <f>'Data 2009-15 (Real $2008)'!I15/10^3</f>
        <v>106.79371725331792</v>
      </c>
      <c r="J71" s="80">
        <f>'Data 2009-15 (Real $2008)'!J15/10^3</f>
        <v>115.13463127524524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223.68923534796218</v>
      </c>
      <c r="G74" s="80">
        <f t="shared" si="28"/>
        <v>257.54346574711326</v>
      </c>
      <c r="H74" s="80">
        <f t="shared" si="28"/>
        <v>270.91259051469228</v>
      </c>
      <c r="I74" s="80">
        <f t="shared" si="28"/>
        <v>273.42536709585266</v>
      </c>
      <c r="J74" s="80">
        <f t="shared" si="28"/>
        <v>266.92296146503179</v>
      </c>
      <c r="K74" s="80">
        <f t="shared" si="28"/>
        <v>224.33722418821949</v>
      </c>
      <c r="L74" s="80">
        <f t="shared" si="28"/>
        <v>146.25751083684071</v>
      </c>
      <c r="M74" s="80">
        <f t="shared" si="28"/>
        <v>81.263246918720768</v>
      </c>
      <c r="N74" s="80">
        <f t="shared" si="28"/>
        <v>47.409016519569775</v>
      </c>
      <c r="O74" s="80">
        <f t="shared" si="28"/>
        <v>34.039891751990744</v>
      </c>
      <c r="P74" s="80">
        <f t="shared" si="28"/>
        <v>24.075927128843468</v>
      </c>
      <c r="Q74" s="80">
        <f t="shared" si="28"/>
        <v>8.2239022339460774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1129.5109781613612</v>
      </c>
      <c r="F75" s="107">
        <f t="shared" si="29"/>
        <v>1225.3150091261514</v>
      </c>
      <c r="G75" s="107">
        <f t="shared" si="29"/>
        <v>1122.2375026544005</v>
      </c>
      <c r="H75" s="107">
        <f t="shared" si="29"/>
        <v>884.02669961045217</v>
      </c>
      <c r="I75" s="107">
        <f t="shared" si="29"/>
        <v>717.3950497679175</v>
      </c>
      <c r="J75" s="107">
        <f t="shared" si="29"/>
        <v>565.60671957813099</v>
      </c>
      <c r="K75" s="107">
        <f t="shared" si="29"/>
        <v>341.26949538991153</v>
      </c>
      <c r="L75" s="107">
        <f t="shared" si="29"/>
        <v>195.01198455307082</v>
      </c>
      <c r="M75" s="107">
        <f t="shared" si="29"/>
        <v>113.74873763435005</v>
      </c>
      <c r="N75" s="107">
        <f t="shared" si="29"/>
        <v>66.339721114780275</v>
      </c>
      <c r="O75" s="107">
        <f t="shared" si="29"/>
        <v>32.299829362789531</v>
      </c>
      <c r="P75" s="107">
        <f t="shared" si="29"/>
        <v>8.2239022339460632</v>
      </c>
      <c r="Q75" s="107">
        <f t="shared" si="29"/>
        <v>-1.4210854715202004E-14</v>
      </c>
      <c r="R75" s="107">
        <f t="shared" si="29"/>
        <v>-1.4210854715202004E-14</v>
      </c>
      <c r="S75" s="107">
        <f t="shared" si="29"/>
        <v>-1.4210854715202004E-14</v>
      </c>
      <c r="T75" s="107">
        <f t="shared" si="29"/>
        <v>-1.4210854715202004E-14</v>
      </c>
      <c r="U75" s="107">
        <f t="shared" si="29"/>
        <v>-1.4210854715202004E-14</v>
      </c>
      <c r="V75" s="107">
        <f t="shared" si="29"/>
        <v>-1.4210854715202004E-14</v>
      </c>
      <c r="W75" s="107">
        <f t="shared" si="29"/>
        <v>-1.4210854715202004E-14</v>
      </c>
      <c r="X75" s="107">
        <f>X70+X71-SUM(X72:X74)</f>
        <v>-1.4210854715202004E-14</v>
      </c>
      <c r="Y75" s="107">
        <f>Y70+Y71-SUM(Y72:Y74)</f>
        <v>-1.4210854715202004E-14</v>
      </c>
      <c r="Z75" s="107">
        <f>Z70+Z71-SUM(Z72:Z74)</f>
        <v>-1.4210854715202004E-14</v>
      </c>
      <c r="AA75" s="107">
        <f>AA70+AA71-SUM(AA72:AA74)</f>
        <v>-1.4210854715202004E-14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3" t="s">
        <v>0</v>
      </c>
      <c r="B77" s="546"/>
      <c r="C77" s="544">
        <f>SUM(D77:AA77)</f>
        <v>0</v>
      </c>
      <c r="D77" s="547">
        <f>IF(ABS(D10-D25-D35-D45-D55-D65-D75)&lt;0.001,0,ABS(D10-D25-D35-D45-D55-D65-D75))</f>
        <v>0</v>
      </c>
      <c r="E77" s="547">
        <f t="shared" ref="E77:W77" si="30">IF(ABS(E10-E25-E35-E45-E55-E65-E75)&lt;0.001,0,ABS(E10-E25-E35-E45-E55-E65-E75))</f>
        <v>0</v>
      </c>
      <c r="F77" s="547">
        <f t="shared" si="30"/>
        <v>0</v>
      </c>
      <c r="G77" s="547">
        <f t="shared" si="30"/>
        <v>0</v>
      </c>
      <c r="H77" s="547">
        <f t="shared" si="30"/>
        <v>0</v>
      </c>
      <c r="I77" s="547">
        <f t="shared" si="30"/>
        <v>0</v>
      </c>
      <c r="J77" s="547">
        <f t="shared" si="30"/>
        <v>0</v>
      </c>
      <c r="K77" s="547">
        <f t="shared" si="30"/>
        <v>0</v>
      </c>
      <c r="L77" s="547">
        <f t="shared" si="30"/>
        <v>0</v>
      </c>
      <c r="M77" s="547">
        <f t="shared" si="30"/>
        <v>0</v>
      </c>
      <c r="N77" s="547">
        <f t="shared" si="30"/>
        <v>0</v>
      </c>
      <c r="O77" s="547">
        <f t="shared" si="30"/>
        <v>0</v>
      </c>
      <c r="P77" s="547">
        <f t="shared" si="30"/>
        <v>0</v>
      </c>
      <c r="Q77" s="547">
        <f t="shared" si="30"/>
        <v>0</v>
      </c>
      <c r="R77" s="547">
        <f t="shared" si="30"/>
        <v>0</v>
      </c>
      <c r="S77" s="547">
        <f t="shared" si="30"/>
        <v>0</v>
      </c>
      <c r="T77" s="547">
        <f t="shared" si="30"/>
        <v>0</v>
      </c>
      <c r="U77" s="547">
        <f t="shared" si="30"/>
        <v>0</v>
      </c>
      <c r="V77" s="547">
        <f t="shared" si="30"/>
        <v>0</v>
      </c>
      <c r="W77" s="547">
        <f t="shared" si="30"/>
        <v>0</v>
      </c>
      <c r="X77" s="547">
        <f>IF(ABS(X10-X25-X35-X45-X55-X65-X75)&lt;0.001,0,ABS(X10-X25-X35-X45-X55-X65-X75))</f>
        <v>0</v>
      </c>
      <c r="Y77" s="547">
        <f>IF(ABS(Y10-Y25-Y35-Y45-Y55-Y65-Y75)&lt;0.001,0,ABS(Y10-Y25-Y35-Y45-Y55-Y65-Y75))</f>
        <v>0</v>
      </c>
      <c r="Z77" s="547">
        <f>IF(ABS(Z10-Z25-Z35-Z45-Z55-Z65-Z75)&lt;0.001,0,ABS(Z10-Z25-Z35-Z45-Z55-Z65-Z75))</f>
        <v>0</v>
      </c>
      <c r="AA77" s="547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3" t="s">
        <v>0</v>
      </c>
      <c r="B85" s="477"/>
      <c r="C85" s="544">
        <f>SUM(D85:E85)</f>
        <v>0</v>
      </c>
      <c r="D85" s="545">
        <f>IF(ABS(D82-SUM(D83:AA83))&lt;0.001,0,ABS(D82-SUM(D83:AA83)))</f>
        <v>0</v>
      </c>
      <c r="E85" s="545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3" t="s">
        <v>0</v>
      </c>
      <c r="B129" s="477"/>
      <c r="C129" s="544">
        <f>SUM(D129:E129)</f>
        <v>0</v>
      </c>
      <c r="D129" s="545">
        <f>IF(ABS(D126-SUM(D127:AA127))&lt;0.001,0,ABS(D126-SUM(D127:AA127)))</f>
        <v>0</v>
      </c>
      <c r="E129" s="54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283421.24002307205</v>
      </c>
      <c r="I170" s="85">
        <f t="shared" si="58"/>
        <v>318388.8967348772</v>
      </c>
      <c r="J170" s="85">
        <f t="shared" si="58"/>
        <v>297767.76483019436</v>
      </c>
      <c r="K170" s="85">
        <f t="shared" si="58"/>
        <v>273098.0661583952</v>
      </c>
      <c r="L170" s="85">
        <f t="shared" si="58"/>
        <v>237678.78117814139</v>
      </c>
      <c r="M170" s="85">
        <f t="shared" si="58"/>
        <v>205680.56071302539</v>
      </c>
      <c r="N170" s="85">
        <f t="shared" si="58"/>
        <v>177187.84953097184</v>
      </c>
      <c r="O170" s="85">
        <f t="shared" si="58"/>
        <v>151839.66700056399</v>
      </c>
      <c r="P170" s="85">
        <f t="shared" si="58"/>
        <v>128467.62533227322</v>
      </c>
      <c r="Q170" s="85">
        <f t="shared" si="58"/>
        <v>106338.5488728886</v>
      </c>
      <c r="R170" s="85">
        <f t="shared" si="58"/>
        <v>85203.566708885221</v>
      </c>
      <c r="S170" s="85">
        <f t="shared" si="58"/>
        <v>64472.207486804022</v>
      </c>
      <c r="T170" s="85">
        <f t="shared" si="58"/>
        <v>43811.045499166066</v>
      </c>
      <c r="U170" s="85">
        <f t="shared" si="58"/>
        <v>25291.546376511102</v>
      </c>
      <c r="V170" s="85">
        <f t="shared" si="58"/>
        <v>11676.20021897323</v>
      </c>
      <c r="W170" s="85">
        <f t="shared" si="58"/>
        <v>3765.618785821418</v>
      </c>
      <c r="X170" s="85">
        <f>W173</f>
        <v>830.65690003215013</v>
      </c>
      <c r="Y170" s="85">
        <f>X173</f>
        <v>207.47351795720249</v>
      </c>
      <c r="Z170" s="85">
        <f>Y173</f>
        <v>4.4337866711430252E-12</v>
      </c>
      <c r="AA170" s="85">
        <f>Z173</f>
        <v>4.4337866711430252E-12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93930.880038998657</v>
      </c>
      <c r="F171" s="85">
        <f t="shared" si="59"/>
        <v>112619.07144998058</v>
      </c>
      <c r="G171" s="85">
        <f t="shared" si="59"/>
        <v>105674.15344430947</v>
      </c>
      <c r="H171" s="85">
        <f t="shared" si="59"/>
        <v>72426.645867333311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29994.837029364968</v>
      </c>
      <c r="H172" s="85">
        <f t="shared" si="60"/>
        <v>37458.989155528216</v>
      </c>
      <c r="I172" s="85">
        <f t="shared" si="60"/>
        <v>35134.821237926488</v>
      </c>
      <c r="J172" s="85">
        <f t="shared" si="60"/>
        <v>36544.625397425487</v>
      </c>
      <c r="K172" s="85">
        <f t="shared" si="60"/>
        <v>35419.284980253804</v>
      </c>
      <c r="L172" s="85">
        <f t="shared" si="60"/>
        <v>31998.220465115992</v>
      </c>
      <c r="M172" s="85">
        <f t="shared" si="60"/>
        <v>28492.711182053543</v>
      </c>
      <c r="N172" s="85">
        <f t="shared" si="60"/>
        <v>25348.182530407845</v>
      </c>
      <c r="O172" s="85">
        <f t="shared" si="60"/>
        <v>23372.041668290774</v>
      </c>
      <c r="P172" s="85">
        <f t="shared" si="60"/>
        <v>22129.076459384625</v>
      </c>
      <c r="Q172" s="85">
        <f t="shared" si="60"/>
        <v>21134.98216400337</v>
      </c>
      <c r="R172" s="85">
        <f t="shared" si="60"/>
        <v>20731.359222081202</v>
      </c>
      <c r="S172" s="85">
        <f t="shared" si="60"/>
        <v>20661.161987637959</v>
      </c>
      <c r="T172" s="85">
        <f t="shared" si="60"/>
        <v>18519.499122654965</v>
      </c>
      <c r="U172" s="85">
        <f t="shared" si="60"/>
        <v>13615.346157537871</v>
      </c>
      <c r="V172" s="85">
        <f t="shared" si="60"/>
        <v>7910.5814331518122</v>
      </c>
      <c r="W172" s="85">
        <f t="shared" si="60"/>
        <v>2934.9618857892679</v>
      </c>
      <c r="X172" s="85">
        <f>X261</f>
        <v>623.18338207494764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283421.24002307205</v>
      </c>
      <c r="H173" s="74">
        <f t="shared" si="61"/>
        <v>318388.8967348772</v>
      </c>
      <c r="I173" s="74">
        <f t="shared" si="61"/>
        <v>297767.76483019436</v>
      </c>
      <c r="J173" s="74">
        <f t="shared" si="61"/>
        <v>273098.0661583952</v>
      </c>
      <c r="K173" s="74">
        <f t="shared" si="61"/>
        <v>237678.78117814139</v>
      </c>
      <c r="L173" s="74">
        <f t="shared" si="61"/>
        <v>205680.56071302539</v>
      </c>
      <c r="M173" s="74">
        <f t="shared" si="61"/>
        <v>177187.84953097184</v>
      </c>
      <c r="N173" s="74">
        <f t="shared" si="61"/>
        <v>151839.66700056399</v>
      </c>
      <c r="O173" s="74">
        <f t="shared" si="61"/>
        <v>128467.62533227322</v>
      </c>
      <c r="P173" s="74">
        <f t="shared" si="61"/>
        <v>106338.5488728886</v>
      </c>
      <c r="Q173" s="74">
        <f t="shared" si="61"/>
        <v>85203.566708885221</v>
      </c>
      <c r="R173" s="74">
        <f t="shared" si="61"/>
        <v>64472.207486804022</v>
      </c>
      <c r="S173" s="74">
        <f t="shared" si="61"/>
        <v>43811.045499166066</v>
      </c>
      <c r="T173" s="74">
        <f t="shared" si="61"/>
        <v>25291.546376511102</v>
      </c>
      <c r="U173" s="74">
        <f t="shared" si="61"/>
        <v>11676.20021897323</v>
      </c>
      <c r="V173" s="74">
        <f t="shared" si="61"/>
        <v>3765.618785821418</v>
      </c>
      <c r="W173" s="74">
        <f t="shared" si="61"/>
        <v>830.65690003215013</v>
      </c>
      <c r="X173" s="74">
        <f>X170+X171-X172</f>
        <v>207.47351795720249</v>
      </c>
      <c r="Y173" s="74">
        <f>Y170+Y171-Y172</f>
        <v>4.4337866711430252E-12</v>
      </c>
      <c r="Z173" s="74">
        <f>Z170+Z171-Z172</f>
        <v>4.4337866711430252E-12</v>
      </c>
      <c r="AA173" s="74">
        <f>AA170+AA171-AA172</f>
        <v>4.4337866711430252E-12</v>
      </c>
    </row>
    <row r="174" spans="1:27" s="99" customFormat="1" ht="13.5" outlineLevel="1" thickTop="1" x14ac:dyDescent="0.2">
      <c r="A174" s="543" t="s">
        <v>0</v>
      </c>
      <c r="B174" s="477"/>
      <c r="C174" s="544">
        <f>SUM(D174:K174)</f>
        <v>0</v>
      </c>
      <c r="D174" s="545">
        <f>IF(ABS(SUM(D171:AA171)-SUM(D172:AA172))&lt;0.001,0,ABS(SUM(D171:AA171)-SUM(D172:AA172)))</f>
        <v>0</v>
      </c>
      <c r="E174" s="545">
        <f t="shared" ref="E174:K174" si="62">IF(ABS(D171-D186)&lt;0.001,0,ABS(D171-D186))</f>
        <v>0</v>
      </c>
      <c r="F174" s="545">
        <f t="shared" si="62"/>
        <v>0</v>
      </c>
      <c r="G174" s="545">
        <f t="shared" si="62"/>
        <v>0</v>
      </c>
      <c r="H174" s="545">
        <f t="shared" si="62"/>
        <v>0</v>
      </c>
      <c r="I174" s="545">
        <f t="shared" si="62"/>
        <v>0</v>
      </c>
      <c r="J174" s="545">
        <f t="shared" si="62"/>
        <v>0</v>
      </c>
      <c r="K174" s="545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3670.0541176541242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839.22847869565237</v>
      </c>
      <c r="H180" s="85">
        <f>('Data 2009-15 (Real $2008)'!H10-'Data 2009-15 (Real $2008)'!H34-'Data 2009-15 (Real $2008)'!H43)/10^3</f>
        <v>81.80321129125025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4532.0700719376491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141.54517797101448</v>
      </c>
      <c r="H181" s="85">
        <f>('Data 2009-15 (Real $2008)'!H11-'Data 2009-15 (Real $2008)'!H35-'Data 2009-15 (Real $2008)'!H44)/10^3</f>
        <v>103.66395317018311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62143.968916192171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86162.321694262559</v>
      </c>
      <c r="H182" s="85">
        <f>('Data 2009-15 (Real $2008)'!H12-'Data 2009-15 (Real $2008)'!H36-'Data 2009-15 (Real $2008)'!H45)/10^3</f>
        <v>63106.264726613117</v>
      </c>
      <c r="I182" s="85">
        <f>('Data 2009-15 (Real $2008)'!I12-'Data 2009-15 (Real $2008)'!I36-'Data 2009-15 (Real $2008)'!I45)/10^3</f>
        <v>6247.0903848163962</v>
      </c>
      <c r="J182" s="85">
        <f>('Data 2009-15 (Real $2008)'!J12-'Data 2009-15 (Real $2008)'!J36-'Data 2009-15 (Real $2008)'!J45)/10^3</f>
        <v>6224.2055387159771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19865.495396322662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8184.2504311594212</v>
      </c>
      <c r="H183" s="85">
        <f>('Data 2009-15 (Real $2008)'!H13-'Data 2009-15 (Real $2008)'!H37-'Data 2009-15 (Real $2008)'!H46)/10^3</f>
        <v>5535.9412246744123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4594.6998172959602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3128.8651083511272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10192.341702945465</v>
      </c>
      <c r="H184" s="85">
        <f>('Data 2009-15 (Real $2008)'!H14-'Data 2009-15 (Real $2008)'!H38-'Data 2009-15 (Real $2008)'!H47)/10^3</f>
        <v>3566.2709641136021</v>
      </c>
      <c r="I184" s="85">
        <f>('Data 2009-15 (Real $2008)'!I14-'Data 2009-15 (Real $2008)'!I38-'Data 2009-15 (Real $2008)'!I47)/10^3</f>
        <v>1993.4553734855997</v>
      </c>
      <c r="J184" s="85">
        <f>('Data 2009-15 (Real $2008)'!J14-'Data 2009-15 (Real $2008)'!J38-'Data 2009-15 (Real $2008)'!J47)/10^3</f>
        <v>940.88673833913867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590.42642854092537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154.46595927536234</v>
      </c>
      <c r="H185" s="85">
        <f>('Data 2009-15 (Real $2008)'!H15-'Data 2009-15 (Real $2008)'!H39-'Data 2009-15 (Real $2008)'!H48)/10^3</f>
        <v>32.701787470744009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115.13463127524524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93930.880038998657</v>
      </c>
      <c r="F186" s="107">
        <f t="shared" si="64"/>
        <v>112619.07144998058</v>
      </c>
      <c r="G186" s="107">
        <f t="shared" si="64"/>
        <v>105674.15344430947</v>
      </c>
      <c r="H186" s="107">
        <f t="shared" si="64"/>
        <v>72426.645867333311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3670.0541176541242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524.29344537916063</v>
      </c>
      <c r="F192" s="85">
        <f>IF((SUM($D192:E192)+$B192/$C192)&gt;$B192,$B192-SUM($D192:E192),$B192/$C192)</f>
        <v>1048.5868907583213</v>
      </c>
      <c r="G192" s="85">
        <f>IF((SUM($D192:F192)+$B192/$C192)&gt;$B192,$B192-SUM($D192:F192),$B192/$C192)</f>
        <v>1048.5868907583213</v>
      </c>
      <c r="H192" s="85">
        <f>IF((SUM($D192:G192)+$B192/$C192)&gt;$B192,$B192-SUM($D192:G192),$B192/$C192)</f>
        <v>1048.5868907583213</v>
      </c>
      <c r="I192" s="85">
        <f>IF((SUM($D192:H192)+$B192/$C192)&gt;$B192,$B192-SUM($D192:H192),$B192/$C192)</f>
        <v>0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839.22847869565237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279.74282623188412</v>
      </c>
      <c r="H194" s="85">
        <f>IF((SUM($D194:G194)+$B194/$C194)&gt;$B194,$B194-SUM($D194:G194),$B194/$C194)</f>
        <v>559.48565246376825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81.80321129125025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81.80321129125025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10358.394505576403</v>
      </c>
      <c r="D198" s="694">
        <f t="shared" ref="D198:AA198" si="66">SUM(D191:D197)</f>
        <v>479.71327694313072</v>
      </c>
      <c r="E198" s="694">
        <f t="shared" si="66"/>
        <v>1483.7199992654221</v>
      </c>
      <c r="F198" s="694">
        <f t="shared" si="66"/>
        <v>2297.9912857340228</v>
      </c>
      <c r="G198" s="694">
        <f t="shared" si="66"/>
        <v>2867.7119530553473</v>
      </c>
      <c r="H198" s="694">
        <f t="shared" si="66"/>
        <v>3229.2579905784819</v>
      </c>
      <c r="I198" s="694">
        <f t="shared" si="66"/>
        <v>0</v>
      </c>
      <c r="J198" s="694">
        <f t="shared" si="66"/>
        <v>0</v>
      </c>
      <c r="K198" s="694">
        <f t="shared" si="66"/>
        <v>0</v>
      </c>
      <c r="L198" s="694">
        <f t="shared" si="66"/>
        <v>0</v>
      </c>
      <c r="M198" s="694">
        <f t="shared" si="66"/>
        <v>0</v>
      </c>
      <c r="N198" s="694">
        <f t="shared" si="66"/>
        <v>0</v>
      </c>
      <c r="O198" s="694">
        <f t="shared" si="66"/>
        <v>0</v>
      </c>
      <c r="P198" s="694">
        <f t="shared" si="66"/>
        <v>0</v>
      </c>
      <c r="Q198" s="694">
        <f t="shared" si="66"/>
        <v>0</v>
      </c>
      <c r="R198" s="694">
        <f t="shared" si="66"/>
        <v>0</v>
      </c>
      <c r="S198" s="694">
        <f t="shared" si="66"/>
        <v>0</v>
      </c>
      <c r="T198" s="694">
        <f t="shared" si="66"/>
        <v>0</v>
      </c>
      <c r="U198" s="694">
        <f t="shared" si="66"/>
        <v>0</v>
      </c>
      <c r="V198" s="694">
        <f t="shared" si="66"/>
        <v>0</v>
      </c>
      <c r="W198" s="694">
        <f t="shared" si="66"/>
        <v>0</v>
      </c>
      <c r="X198" s="694">
        <f t="shared" si="66"/>
        <v>0</v>
      </c>
      <c r="Y198" s="694">
        <f t="shared" si="66"/>
        <v>0</v>
      </c>
      <c r="Z198" s="694">
        <f t="shared" si="66"/>
        <v>0</v>
      </c>
      <c r="AA198" s="694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4532.0700719376491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647.4385817053784</v>
      </c>
      <c r="F204" s="85">
        <f>IF((SUM($D204:E204)+$B204/$C204)&gt;$B204,$B204-SUM($D204:E204),$B204/$C204)</f>
        <v>1294.8771634107568</v>
      </c>
      <c r="G204" s="85">
        <f>IF((SUM($D204:F204)+$B204/$C204)&gt;$B204,$B204-SUM($D204:F204),$B204/$C204)</f>
        <v>1294.8771634107568</v>
      </c>
      <c r="H204" s="85">
        <f>IF((SUM($D204:G204)+$B204/$C204)&gt;$B204,$B204-SUM($D204:G204),$B204/$C204)</f>
        <v>1294.8771634107568</v>
      </c>
      <c r="I204" s="85">
        <f>IF((SUM($D204:H204)+$B204/$C204)&gt;$B204,$B204-SUM($D204:H204),$B204/$C204)</f>
        <v>0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141.54517797101448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47.181725990338158</v>
      </c>
      <c r="H206" s="85">
        <f>IF((SUM($D206:G206)+$B206/$C206)&gt;$B206,$B206-SUM($D206:G206),$B206/$C206)</f>
        <v>94.363451980676317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103.66395317018311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103.66395317018311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9425.6746809055803</v>
      </c>
      <c r="D210" s="694">
        <f t="shared" ref="D210:AA210" si="68">SUM(D203:D209)</f>
        <v>439.13070003037296</v>
      </c>
      <c r="E210" s="694">
        <f t="shared" si="68"/>
        <v>1525.6999817661244</v>
      </c>
      <c r="F210" s="694">
        <f t="shared" si="68"/>
        <v>2312.3823989821776</v>
      </c>
      <c r="G210" s="694">
        <f t="shared" si="68"/>
        <v>2498.807960483191</v>
      </c>
      <c r="H210" s="694">
        <f t="shared" si="68"/>
        <v>2649.6536396437123</v>
      </c>
      <c r="I210" s="694">
        <f t="shared" si="68"/>
        <v>0</v>
      </c>
      <c r="J210" s="694">
        <f t="shared" si="68"/>
        <v>0</v>
      </c>
      <c r="K210" s="694">
        <f t="shared" si="68"/>
        <v>0</v>
      </c>
      <c r="L210" s="694">
        <f t="shared" si="68"/>
        <v>0</v>
      </c>
      <c r="M210" s="694">
        <f t="shared" si="68"/>
        <v>0</v>
      </c>
      <c r="N210" s="694">
        <f t="shared" si="68"/>
        <v>0</v>
      </c>
      <c r="O210" s="694">
        <f t="shared" si="68"/>
        <v>0</v>
      </c>
      <c r="P210" s="694">
        <f t="shared" si="68"/>
        <v>0</v>
      </c>
      <c r="Q210" s="694">
        <f t="shared" si="68"/>
        <v>0</v>
      </c>
      <c r="R210" s="694">
        <f t="shared" si="68"/>
        <v>0</v>
      </c>
      <c r="S210" s="694">
        <f t="shared" si="68"/>
        <v>0</v>
      </c>
      <c r="T210" s="694">
        <f t="shared" si="68"/>
        <v>0</v>
      </c>
      <c r="U210" s="694">
        <f t="shared" si="68"/>
        <v>0</v>
      </c>
      <c r="V210" s="694">
        <f t="shared" si="68"/>
        <v>0</v>
      </c>
      <c r="W210" s="694">
        <f t="shared" si="68"/>
        <v>0</v>
      </c>
      <c r="X210" s="694">
        <f t="shared" si="68"/>
        <v>0</v>
      </c>
      <c r="Y210" s="694">
        <f t="shared" si="68"/>
        <v>0</v>
      </c>
      <c r="Z210" s="694">
        <f t="shared" si="68"/>
        <v>0</v>
      </c>
      <c r="AA210" s="694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62143.968916192171</v>
      </c>
      <c r="C216" s="463">
        <f>'Data 2009-15 (Real $2008)'!C$154</f>
        <v>15</v>
      </c>
      <c r="D216" s="473"/>
      <c r="E216" s="85">
        <f>IF(C216&lt;1,B216,B216/2/C216)</f>
        <v>2071.4656305397389</v>
      </c>
      <c r="F216" s="85">
        <f>IF((SUM($D216:E216)+$B216/$C216)&gt;$B216,$B216-SUM($D216:E216),$B216/$C216)</f>
        <v>4142.9312610794777</v>
      </c>
      <c r="G216" s="85">
        <f>IF((SUM($D216:F216)+$B216/$C216)&gt;$B216,$B216-SUM($D216:F216),$B216/$C216)</f>
        <v>4142.9312610794777</v>
      </c>
      <c r="H216" s="85">
        <f>IF((SUM($D216:G216)+$B216/$C216)&gt;$B216,$B216-SUM($D216:G216),$B216/$C216)</f>
        <v>4142.9312610794777</v>
      </c>
      <c r="I216" s="85">
        <f>IF((SUM($D216:H216)+$B216/$C216)&gt;$B216,$B216-SUM($D216:H216),$B216/$C216)</f>
        <v>4142.9312610794777</v>
      </c>
      <c r="J216" s="85">
        <f>IF((SUM($D216:I216)+$B216/$C216)&gt;$B216,$B216-SUM($D216:I216),$B216/$C216)</f>
        <v>4142.9312610794777</v>
      </c>
      <c r="K216" s="85">
        <f>IF((SUM($D216:J216)+$B216/$C216)&gt;$B216,$B216-SUM($D216:J216),$B216/$C216)</f>
        <v>4142.9312610794777</v>
      </c>
      <c r="L216" s="85">
        <f>IF((SUM($D216:K216)+$B216/$C216)&gt;$B216,$B216-SUM($D216:K216),$B216/$C216)</f>
        <v>4142.9312610794777</v>
      </c>
      <c r="M216" s="85">
        <f>IF((SUM($D216:L216)+$B216/$C216)&gt;$B216,$B216-SUM($D216:L216),$B216/$C216)</f>
        <v>4142.9312610794777</v>
      </c>
      <c r="N216" s="85">
        <f>IF((SUM($D216:M216)+$B216/$C216)&gt;$B216,$B216-SUM($D216:M216),$B216/$C216)</f>
        <v>4142.9312610794777</v>
      </c>
      <c r="O216" s="85">
        <f>IF((SUM($D216:N216)+$B216/$C216)&gt;$B216,$B216-SUM($D216:N216),$B216/$C216)</f>
        <v>4142.9312610794777</v>
      </c>
      <c r="P216" s="85">
        <f>IF((SUM($D216:O216)+$B216/$C216)&gt;$B216,$B216-SUM($D216:O216),$B216/$C216)</f>
        <v>4142.9312610794777</v>
      </c>
      <c r="Q216" s="85">
        <f>IF((SUM($D216:P216)+$B216/$C216)&gt;$B216,$B216-SUM($D216:P216),$B216/$C216)</f>
        <v>4142.9312610794777</v>
      </c>
      <c r="R216" s="85">
        <f>IF((SUM($D216:Q216)+$B216/$C216)&gt;$B216,$B216-SUM($D216:Q216),$B216/$C216)</f>
        <v>4142.9312610794777</v>
      </c>
      <c r="S216" s="85">
        <f>IF((SUM($D216:R216)+$B216/$C216)&gt;$B216,$B216-SUM($D216:R216),$B216/$C216)</f>
        <v>4142.9312610794777</v>
      </c>
      <c r="T216" s="85">
        <f>IF((SUM($D216:S216)+$B216/$C216)&gt;$B216,$B216-SUM($D216:S216),$B216/$C216)</f>
        <v>2071.4656305397293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86162.321694262559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2872.0773898087518</v>
      </c>
      <c r="H218" s="85">
        <f>IF((SUM($D218:G218)+$B218/$C218)&gt;$B218,$B218-SUM($D218:G218),$B218/$C218)</f>
        <v>5744.1547796175037</v>
      </c>
      <c r="I218" s="85">
        <f>IF((SUM($D218:H218)+$B218/$C218)&gt;$B218,$B218-SUM($D218:H218),$B218/$C218)</f>
        <v>5744.1547796175037</v>
      </c>
      <c r="J218" s="85">
        <f>IF((SUM($D218:I218)+$B218/$C218)&gt;$B218,$B218-SUM($D218:I218),$B218/$C218)</f>
        <v>5744.1547796175037</v>
      </c>
      <c r="K218" s="85">
        <f>IF((SUM($D218:J218)+$B218/$C218)&gt;$B218,$B218-SUM($D218:J218),$B218/$C218)</f>
        <v>5744.1547796175037</v>
      </c>
      <c r="L218" s="85">
        <f>IF((SUM($D218:K218)+$B218/$C218)&gt;$B218,$B218-SUM($D218:K218),$B218/$C218)</f>
        <v>5744.1547796175037</v>
      </c>
      <c r="M218" s="85">
        <f>IF((SUM($D218:L218)+$B218/$C218)&gt;$B218,$B218-SUM($D218:L218),$B218/$C218)</f>
        <v>5744.1547796175037</v>
      </c>
      <c r="N218" s="85">
        <f>IF((SUM($D218:M218)+$B218/$C218)&gt;$B218,$B218-SUM($D218:M218),$B218/$C218)</f>
        <v>5744.1547796175037</v>
      </c>
      <c r="O218" s="85">
        <f>IF((SUM($D218:N218)+$B218/$C218)&gt;$B218,$B218-SUM($D218:N218),$B218/$C218)</f>
        <v>5744.1547796175037</v>
      </c>
      <c r="P218" s="85">
        <f>IF((SUM($D218:O218)+$B218/$C218)&gt;$B218,$B218-SUM($D218:O218),$B218/$C218)</f>
        <v>5744.1547796175037</v>
      </c>
      <c r="Q218" s="85">
        <f>IF((SUM($D218:P218)+$B218/$C218)&gt;$B218,$B218-SUM($D218:P218),$B218/$C218)</f>
        <v>5744.1547796175037</v>
      </c>
      <c r="R218" s="85">
        <f>IF((SUM($D218:Q218)+$B218/$C218)&gt;$B218,$B218-SUM($D218:Q218),$B218/$C218)</f>
        <v>5744.1547796175037</v>
      </c>
      <c r="S218" s="85">
        <f>IF((SUM($D218:R218)+$B218/$C218)&gt;$B218,$B218-SUM($D218:R218),$B218/$C218)</f>
        <v>5744.1547796175037</v>
      </c>
      <c r="T218" s="85">
        <f>IF((SUM($D218:S218)+$B218/$C218)&gt;$B218,$B218-SUM($D218:S218),$B218/$C218)</f>
        <v>5744.1547796175037</v>
      </c>
      <c r="U218" s="85">
        <f>IF((SUM($D218:T218)+$B218/$C218)&gt;$B218,$B218-SUM($D218:T218),$B218/$C218)</f>
        <v>5744.1547796175037</v>
      </c>
      <c r="V218" s="85">
        <f>IF((SUM($D218:U218)+$B218/$C218)&gt;$B218,$B218-SUM($D218:U218),$B218/$C218)</f>
        <v>2872.0773898087791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63106.264726613117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2103.5421575537707</v>
      </c>
      <c r="I219" s="85">
        <f>IF((SUM($D219:H219)+$B219/$C219)&gt;$B219,$B219-SUM($D219:H219),$B219/$C219)</f>
        <v>4207.0843151075414</v>
      </c>
      <c r="J219" s="85">
        <f>IF((SUM($D219:I219)+$B219/$C219)&gt;$B219,$B219-SUM($D219:I219),$B219/$C219)</f>
        <v>4207.0843151075414</v>
      </c>
      <c r="K219" s="85">
        <f>IF((SUM($D219:J219)+$B219/$C219)&gt;$B219,$B219-SUM($D219:J219),$B219/$C219)</f>
        <v>4207.0843151075414</v>
      </c>
      <c r="L219" s="85">
        <f>IF((SUM($D219:K219)+$B219/$C219)&gt;$B219,$B219-SUM($D219:K219),$B219/$C219)</f>
        <v>4207.0843151075414</v>
      </c>
      <c r="M219" s="85">
        <f>IF((SUM($D219:L219)+$B219/$C219)&gt;$B219,$B219-SUM($D219:L219),$B219/$C219)</f>
        <v>4207.0843151075414</v>
      </c>
      <c r="N219" s="85">
        <f>IF((SUM($D219:M219)+$B219/$C219)&gt;$B219,$B219-SUM($D219:M219),$B219/$C219)</f>
        <v>4207.0843151075414</v>
      </c>
      <c r="O219" s="85">
        <f>IF((SUM($D219:N219)+$B219/$C219)&gt;$B219,$B219-SUM($D219:N219),$B219/$C219)</f>
        <v>4207.0843151075414</v>
      </c>
      <c r="P219" s="85">
        <f>IF((SUM($D219:O219)+$B219/$C219)&gt;$B219,$B219-SUM($D219:O219),$B219/$C219)</f>
        <v>4207.0843151075414</v>
      </c>
      <c r="Q219" s="85">
        <f>IF((SUM($D219:P219)+$B219/$C219)&gt;$B219,$B219-SUM($D219:P219),$B219/$C219)</f>
        <v>4207.0843151075414</v>
      </c>
      <c r="R219" s="85">
        <f>IF((SUM($D219:Q219)+$B219/$C219)&gt;$B219,$B219-SUM($D219:Q219),$B219/$C219)</f>
        <v>4207.0843151075414</v>
      </c>
      <c r="S219" s="85">
        <f>IF((SUM($D219:R219)+$B219/$C219)&gt;$B219,$B219-SUM($D219:R219),$B219/$C219)</f>
        <v>4207.0843151075414</v>
      </c>
      <c r="T219" s="85">
        <f>IF((SUM($D219:S219)+$B219/$C219)&gt;$B219,$B219-SUM($D219:S219),$B219/$C219)</f>
        <v>4207.0843151075414</v>
      </c>
      <c r="U219" s="85">
        <f>IF((SUM($D219:T219)+$B219/$C219)&gt;$B219,$B219-SUM($D219:T219),$B219/$C219)</f>
        <v>4207.0843151075414</v>
      </c>
      <c r="V219" s="85">
        <f>IF((SUM($D219:U219)+$B219/$C219)&gt;$B219,$B219-SUM($D219:U219),$B219/$C219)</f>
        <v>4207.0843151075414</v>
      </c>
      <c r="W219" s="85">
        <f>IF((SUM($D219:V219)+$B219/$C219)&gt;$B219,$B219-SUM($D219:V219),$B219/$C219)</f>
        <v>2103.5421575537766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6247.0903848163962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208.23634616054653</v>
      </c>
      <c r="J220" s="85">
        <f>IF((SUM($D220:I220)+$B220/$C220)&gt;$B220,$B220-SUM($D220:I220),$B220/$C220)</f>
        <v>416.47269232109306</v>
      </c>
      <c r="K220" s="85">
        <f>IF((SUM($D220:J220)+$B220/$C220)&gt;$B220,$B220-SUM($D220:J220),$B220/$C220)</f>
        <v>416.47269232109306</v>
      </c>
      <c r="L220" s="85">
        <f>IF((SUM($D220:K220)+$B220/$C220)&gt;$B220,$B220-SUM($D220:K220),$B220/$C220)</f>
        <v>416.47269232109306</v>
      </c>
      <c r="M220" s="85">
        <f>IF((SUM($D220:L220)+$B220/$C220)&gt;$B220,$B220-SUM($D220:L220),$B220/$C220)</f>
        <v>416.47269232109306</v>
      </c>
      <c r="N220" s="85">
        <f>IF((SUM($D220:M220)+$B220/$C220)&gt;$B220,$B220-SUM($D220:M220),$B220/$C220)</f>
        <v>416.47269232109306</v>
      </c>
      <c r="O220" s="85">
        <f>IF((SUM($D220:N220)+$B220/$C220)&gt;$B220,$B220-SUM($D220:N220),$B220/$C220)</f>
        <v>416.47269232109306</v>
      </c>
      <c r="P220" s="85">
        <f>IF((SUM($D220:O220)+$B220/$C220)&gt;$B220,$B220-SUM($D220:O220),$B220/$C220)</f>
        <v>416.47269232109306</v>
      </c>
      <c r="Q220" s="85">
        <f>IF((SUM($D220:P220)+$B220/$C220)&gt;$B220,$B220-SUM($D220:P220),$B220/$C220)</f>
        <v>416.47269232109306</v>
      </c>
      <c r="R220" s="85">
        <f>IF((SUM($D220:Q220)+$B220/$C220)&gt;$B220,$B220-SUM($D220:Q220),$B220/$C220)</f>
        <v>416.47269232109306</v>
      </c>
      <c r="S220" s="85">
        <f>IF((SUM($D220:R220)+$B220/$C220)&gt;$B220,$B220-SUM($D220:R220),$B220/$C220)</f>
        <v>416.47269232109306</v>
      </c>
      <c r="T220" s="85">
        <f>IF((SUM($D220:S220)+$B220/$C220)&gt;$B220,$B220-SUM($D220:S220),$B220/$C220)</f>
        <v>416.47269232109306</v>
      </c>
      <c r="U220" s="85">
        <f>IF((SUM($D220:T220)+$B220/$C220)&gt;$B220,$B220-SUM($D220:T220),$B220/$C220)</f>
        <v>416.47269232109306</v>
      </c>
      <c r="V220" s="85">
        <f>IF((SUM($D220:U220)+$B220/$C220)&gt;$B220,$B220-SUM($D220:U220),$B220/$C220)</f>
        <v>416.47269232109306</v>
      </c>
      <c r="W220" s="85">
        <f>IF((SUM($D220:V220)+$B220/$C220)&gt;$B220,$B220-SUM($D220:V220),$B220/$C220)</f>
        <v>416.47269232109306</v>
      </c>
      <c r="X220" s="85">
        <f>IF((SUM($D220:W220)+$B220/$C220)&gt;$B220,$B220-SUM($D220:W220),$B220/$C220)</f>
        <v>208.23634616054915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6224.2055387159771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207.47351795719925</v>
      </c>
      <c r="K221" s="85">
        <f>IF((SUM($D221:J221)+$B221/$C221)&gt;$B221,$B221-SUM($D221:J221),$B221/$C221)</f>
        <v>414.9470359143985</v>
      </c>
      <c r="L221" s="85">
        <f>IF((SUM($D221:K221)+$B221/$C221)&gt;$B221,$B221-SUM($D221:K221),$B221/$C221)</f>
        <v>414.9470359143985</v>
      </c>
      <c r="M221" s="85">
        <f>IF((SUM($D221:L221)+$B221/$C221)&gt;$B221,$B221-SUM($D221:L221),$B221/$C221)</f>
        <v>414.9470359143985</v>
      </c>
      <c r="N221" s="85">
        <f>IF((SUM($D221:M221)+$B221/$C221)&gt;$B221,$B221-SUM($D221:M221),$B221/$C221)</f>
        <v>414.9470359143985</v>
      </c>
      <c r="O221" s="85">
        <f>IF((SUM($D221:N221)+$B221/$C221)&gt;$B221,$B221-SUM($D221:N221),$B221/$C221)</f>
        <v>414.9470359143985</v>
      </c>
      <c r="P221" s="85">
        <f>IF((SUM($D221:O221)+$B221/$C221)&gt;$B221,$B221-SUM($D221:O221),$B221/$C221)</f>
        <v>414.9470359143985</v>
      </c>
      <c r="Q221" s="85">
        <f>IF((SUM($D221:P221)+$B221/$C221)&gt;$B221,$B221-SUM($D221:P221),$B221/$C221)</f>
        <v>414.9470359143985</v>
      </c>
      <c r="R221" s="85">
        <f>IF((SUM($D221:Q221)+$B221/$C221)&gt;$B221,$B221-SUM($D221:Q221),$B221/$C221)</f>
        <v>414.9470359143985</v>
      </c>
      <c r="S221" s="85">
        <f>IF((SUM($D221:R221)+$B221/$C221)&gt;$B221,$B221-SUM($D221:R221),$B221/$C221)</f>
        <v>414.9470359143985</v>
      </c>
      <c r="T221" s="85">
        <f>IF((SUM($D221:S221)+$B221/$C221)&gt;$B221,$B221-SUM($D221:S221),$B221/$C221)</f>
        <v>414.9470359143985</v>
      </c>
      <c r="U221" s="85">
        <f>IF((SUM($D221:T221)+$B221/$C221)&gt;$B221,$B221-SUM($D221:T221),$B221/$C221)</f>
        <v>414.9470359143985</v>
      </c>
      <c r="V221" s="85">
        <f>IF((SUM($D221:U221)+$B221/$C221)&gt;$B221,$B221-SUM($D221:U221),$B221/$C221)</f>
        <v>414.9470359143985</v>
      </c>
      <c r="W221" s="85">
        <f>IF((SUM($D221:V221)+$B221/$C221)&gt;$B221,$B221-SUM($D221:V221),$B221/$C221)</f>
        <v>414.9470359143985</v>
      </c>
      <c r="X221" s="85">
        <f>IF((SUM($D221:W221)+$B221/$C221)&gt;$B221,$B221-SUM($D221:W221),$B221/$C221)</f>
        <v>414.9470359143985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310970.38833121798</v>
      </c>
      <c r="D222" s="694">
        <f t="shared" ref="D222:AA222" si="70">SUM(D215:D221)</f>
        <v>70.197234443243261</v>
      </c>
      <c r="E222" s="694">
        <f t="shared" si="70"/>
        <v>2211.8600994262256</v>
      </c>
      <c r="F222" s="694">
        <f t="shared" si="70"/>
        <v>7116.0130645433128</v>
      </c>
      <c r="G222" s="694">
        <f t="shared" si="70"/>
        <v>12820.777788929414</v>
      </c>
      <c r="H222" s="694">
        <f t="shared" si="70"/>
        <v>17796.397336291935</v>
      </c>
      <c r="I222" s="694">
        <f t="shared" si="70"/>
        <v>20108.175840006254</v>
      </c>
      <c r="J222" s="694">
        <f t="shared" si="70"/>
        <v>20523.885704124001</v>
      </c>
      <c r="K222" s="694">
        <f t="shared" si="70"/>
        <v>20731.359222081202</v>
      </c>
      <c r="L222" s="694">
        <f t="shared" si="70"/>
        <v>20731.359222081202</v>
      </c>
      <c r="M222" s="694">
        <f t="shared" si="70"/>
        <v>20731.359222081202</v>
      </c>
      <c r="N222" s="694">
        <f t="shared" si="70"/>
        <v>20731.359222081202</v>
      </c>
      <c r="O222" s="694">
        <f t="shared" si="70"/>
        <v>20731.359222081202</v>
      </c>
      <c r="P222" s="694">
        <f t="shared" si="70"/>
        <v>20731.359222081202</v>
      </c>
      <c r="Q222" s="694">
        <f t="shared" si="70"/>
        <v>20731.359222081202</v>
      </c>
      <c r="R222" s="694">
        <f t="shared" si="70"/>
        <v>20731.359222081202</v>
      </c>
      <c r="S222" s="694">
        <f t="shared" si="70"/>
        <v>20661.161987637959</v>
      </c>
      <c r="T222" s="694">
        <f t="shared" si="70"/>
        <v>18519.499122654965</v>
      </c>
      <c r="U222" s="694">
        <f t="shared" si="70"/>
        <v>13615.346157537871</v>
      </c>
      <c r="V222" s="694">
        <f t="shared" si="70"/>
        <v>7910.5814331518122</v>
      </c>
      <c r="W222" s="694">
        <f t="shared" si="70"/>
        <v>2934.9618857892679</v>
      </c>
      <c r="X222" s="694">
        <f t="shared" si="70"/>
        <v>623.18338207494764</v>
      </c>
      <c r="Y222" s="694">
        <f t="shared" si="70"/>
        <v>207.47351795719806</v>
      </c>
      <c r="Z222" s="694">
        <f t="shared" si="70"/>
        <v>0</v>
      </c>
      <c r="AA222" s="694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19865.495396322662</v>
      </c>
      <c r="C228" s="463">
        <f>'Data 2009-15 (Real $2008)'!C$155</f>
        <v>7</v>
      </c>
      <c r="D228" s="473"/>
      <c r="E228" s="85">
        <f>IF(C228&lt;1,B228,B228/2/C228)</f>
        <v>1418.9639568801902</v>
      </c>
      <c r="F228" s="85">
        <f>IF((SUM($D228:E228)+$B228/$C228)&gt;$B228,$B228-SUM($D228:E228),$B228/$C228)</f>
        <v>2837.9279137603803</v>
      </c>
      <c r="G228" s="85">
        <f>IF((SUM($D228:F228)+$B228/$C228)&gt;$B228,$B228-SUM($D228:F228),$B228/$C228)</f>
        <v>2837.9279137603803</v>
      </c>
      <c r="H228" s="85">
        <f>IF((SUM($D228:G228)+$B228/$C228)&gt;$B228,$B228-SUM($D228:G228),$B228/$C228)</f>
        <v>2837.9279137603803</v>
      </c>
      <c r="I228" s="85">
        <f>IF((SUM($D228:H228)+$B228/$C228)&gt;$B228,$B228-SUM($D228:H228),$B228/$C228)</f>
        <v>2837.9279137603803</v>
      </c>
      <c r="J228" s="85">
        <f>IF((SUM($D228:I228)+$B228/$C228)&gt;$B228,$B228-SUM($D228:I228),$B228/$C228)</f>
        <v>2837.9279137603803</v>
      </c>
      <c r="K228" s="85">
        <f>IF((SUM($D228:J228)+$B228/$C228)&gt;$B228,$B228-SUM($D228:J228),$B228/$C228)</f>
        <v>2837.9279137603803</v>
      </c>
      <c r="L228" s="85">
        <f>IF((SUM($D228:K228)+$B228/$C228)&gt;$B228,$B228-SUM($D228:K228),$B228/$C228)</f>
        <v>1418.9639568801904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8184.2504311594212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584.58931651138721</v>
      </c>
      <c r="H230" s="85">
        <f>IF((SUM($D230:G230)+$B230/$C230)&gt;$B230,$B230-SUM($D230:G230),$B230/$C230)</f>
        <v>1169.1786330227744</v>
      </c>
      <c r="I230" s="85">
        <f>IF((SUM($D230:H230)+$B230/$C230)&gt;$B230,$B230-SUM($D230:H230),$B230/$C230)</f>
        <v>1169.1786330227744</v>
      </c>
      <c r="J230" s="85">
        <f>IF((SUM($D230:I230)+$B230/$C230)&gt;$B230,$B230-SUM($D230:I230),$B230/$C230)</f>
        <v>1169.1786330227744</v>
      </c>
      <c r="K230" s="85">
        <f>IF((SUM($D230:J230)+$B230/$C230)&gt;$B230,$B230-SUM($D230:J230),$B230/$C230)</f>
        <v>1169.1786330227744</v>
      </c>
      <c r="L230" s="85">
        <f>IF((SUM($D230:K230)+$B230/$C230)&gt;$B230,$B230-SUM($D230:K230),$B230/$C230)</f>
        <v>1169.1786330227744</v>
      </c>
      <c r="M230" s="85">
        <f>IF((SUM($D230:L230)+$B230/$C230)&gt;$B230,$B230-SUM($D230:L230),$B230/$C230)</f>
        <v>1169.1786330227744</v>
      </c>
      <c r="N230" s="85">
        <f>IF((SUM($D230:M230)+$B230/$C230)&gt;$B230,$B230-SUM($D230:M230),$B230/$C230)</f>
        <v>584.58931651138846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5535.9412246744123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395.42437319102947</v>
      </c>
      <c r="I231" s="85">
        <f>IF((SUM($D231:H231)+$B231/$C231)&gt;$B231,$B231-SUM($D231:H231),$B231/$C231)</f>
        <v>790.84874638205895</v>
      </c>
      <c r="J231" s="85">
        <f>IF((SUM($D231:I231)+$B231/$C231)&gt;$B231,$B231-SUM($D231:I231),$B231/$C231)</f>
        <v>790.84874638205895</v>
      </c>
      <c r="K231" s="85">
        <f>IF((SUM($D231:J231)+$B231/$C231)&gt;$B231,$B231-SUM($D231:J231),$B231/$C231)</f>
        <v>790.84874638205895</v>
      </c>
      <c r="L231" s="85">
        <f>IF((SUM($D231:K231)+$B231/$C231)&gt;$B231,$B231-SUM($D231:K231),$B231/$C231)</f>
        <v>790.84874638205895</v>
      </c>
      <c r="M231" s="85">
        <f>IF((SUM($D231:L231)+$B231/$C231)&gt;$B231,$B231-SUM($D231:L231),$B231/$C231)</f>
        <v>790.84874638205895</v>
      </c>
      <c r="N231" s="85">
        <f>IF((SUM($D231:M231)+$B231/$C231)&gt;$B231,$B231-SUM($D231:M231),$B231/$C231)</f>
        <v>790.84874638205895</v>
      </c>
      <c r="O231" s="85">
        <f>IF((SUM($D231:N231)+$B231/$C231)&gt;$B231,$B231-SUM($D231:N231),$B231/$C231)</f>
        <v>395.42437319102919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4594.6998172959602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328.19284409256858</v>
      </c>
      <c r="K233" s="85">
        <f>IF((SUM($D233:J233)+$B233/$C233)&gt;$B233,$B233-SUM($D233:J233),$B233/$C233)</f>
        <v>656.38568818513716</v>
      </c>
      <c r="L233" s="85">
        <f>IF((SUM($D233:K233)+$B233/$C233)&gt;$B233,$B233-SUM($D233:K233),$B233/$C233)</f>
        <v>656.38568818513716</v>
      </c>
      <c r="M233" s="85">
        <f>IF((SUM($D233:L233)+$B233/$C233)&gt;$B233,$B233-SUM($D233:L233),$B233/$C233)</f>
        <v>656.38568818513716</v>
      </c>
      <c r="N233" s="85">
        <f>IF((SUM($D233:M233)+$B233/$C233)&gt;$B233,$B233-SUM($D233:M233),$B233/$C233)</f>
        <v>656.38568818513716</v>
      </c>
      <c r="O233" s="85">
        <f>IF((SUM($D233:N233)+$B233/$C233)&gt;$B233,$B233-SUM($D233:N233),$B233/$C233)</f>
        <v>656.38568818513716</v>
      </c>
      <c r="P233" s="85">
        <f>IF((SUM($D233:O233)+$B233/$C233)&gt;$B233,$B233-SUM($D233:O233),$B233/$C233)</f>
        <v>656.38568818513716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77625.358300642838</v>
      </c>
      <c r="D234" s="694">
        <f t="shared" ref="D234:AA234" si="72">SUM(D227:D233)</f>
        <v>1636.1823504401543</v>
      </c>
      <c r="E234" s="694">
        <f t="shared" si="72"/>
        <v>4691.3286577604986</v>
      </c>
      <c r="F234" s="694">
        <f t="shared" si="72"/>
        <v>6851.1546623078229</v>
      </c>
      <c r="G234" s="694">
        <f t="shared" si="72"/>
        <v>8176.6060264863445</v>
      </c>
      <c r="H234" s="694">
        <f t="shared" si="72"/>
        <v>9156.6197161887612</v>
      </c>
      <c r="I234" s="694">
        <f t="shared" si="72"/>
        <v>9992.4976506432431</v>
      </c>
      <c r="J234" s="694">
        <f t="shared" si="72"/>
        <v>10761.144055999264</v>
      </c>
      <c r="K234" s="694">
        <f t="shared" si="72"/>
        <v>9453.1545496516792</v>
      </c>
      <c r="L234" s="694">
        <f t="shared" si="72"/>
        <v>6398.0082423313352</v>
      </c>
      <c r="M234" s="694">
        <f t="shared" si="72"/>
        <v>4238.1822377840099</v>
      </c>
      <c r="N234" s="694">
        <f t="shared" si="72"/>
        <v>2912.7308736054902</v>
      </c>
      <c r="O234" s="694">
        <f t="shared" si="72"/>
        <v>1932.7171839030725</v>
      </c>
      <c r="P234" s="694">
        <f t="shared" si="72"/>
        <v>1096.8392494485888</v>
      </c>
      <c r="Q234" s="694">
        <f t="shared" si="72"/>
        <v>328.19284409256852</v>
      </c>
      <c r="R234" s="694">
        <f t="shared" si="72"/>
        <v>0</v>
      </c>
      <c r="S234" s="694">
        <f t="shared" si="72"/>
        <v>0</v>
      </c>
      <c r="T234" s="694">
        <f t="shared" si="72"/>
        <v>0</v>
      </c>
      <c r="U234" s="694">
        <f t="shared" si="72"/>
        <v>0</v>
      </c>
      <c r="V234" s="694">
        <f t="shared" si="72"/>
        <v>0</v>
      </c>
      <c r="W234" s="694">
        <f t="shared" si="72"/>
        <v>0</v>
      </c>
      <c r="X234" s="694">
        <f t="shared" si="72"/>
        <v>0</v>
      </c>
      <c r="Y234" s="694">
        <f t="shared" si="72"/>
        <v>0</v>
      </c>
      <c r="Z234" s="694">
        <f t="shared" si="72"/>
        <v>0</v>
      </c>
      <c r="AA234" s="694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3128.8651083511272</v>
      </c>
      <c r="C240" s="463">
        <f>'Data 2009-15 (Real $2008)'!C$156</f>
        <v>7</v>
      </c>
      <c r="D240" s="473"/>
      <c r="E240" s="85">
        <f>IF(C240&lt;1,B240,B240/2/C240)</f>
        <v>223.49036488222336</v>
      </c>
      <c r="F240" s="85">
        <f>IF((SUM($D240:E240)+$B240/$C240)&gt;$B240,$B240-SUM($D240:E240),$B240/$C240)</f>
        <v>446.98072976444672</v>
      </c>
      <c r="G240" s="85">
        <f>IF((SUM($D240:F240)+$B240/$C240)&gt;$B240,$B240-SUM($D240:F240),$B240/$C240)</f>
        <v>446.98072976444672</v>
      </c>
      <c r="H240" s="85">
        <f>IF((SUM($D240:G240)+$B240/$C240)&gt;$B240,$B240-SUM($D240:G240),$B240/$C240)</f>
        <v>446.98072976444672</v>
      </c>
      <c r="I240" s="85">
        <f>IF((SUM($D240:H240)+$B240/$C240)&gt;$B240,$B240-SUM($D240:H240),$B240/$C240)</f>
        <v>446.98072976444672</v>
      </c>
      <c r="J240" s="85">
        <f>IF((SUM($D240:I240)+$B240/$C240)&gt;$B240,$B240-SUM($D240:I240),$B240/$C240)</f>
        <v>446.98072976444672</v>
      </c>
      <c r="K240" s="85">
        <f>IF((SUM($D240:J240)+$B240/$C240)&gt;$B240,$B240-SUM($D240:J240),$B240/$C240)</f>
        <v>446.98072976444672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10192.341702945465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728.02440735324751</v>
      </c>
      <c r="H242" s="85">
        <f>IF((SUM($D242:G242)+$B242/$C242)&gt;$B242,$B242-SUM($D242:G242),$B242/$C242)</f>
        <v>1456.048814706495</v>
      </c>
      <c r="I242" s="85">
        <f>IF((SUM($D242:H242)+$B242/$C242)&gt;$B242,$B242-SUM($D242:H242),$B242/$C242)</f>
        <v>1456.048814706495</v>
      </c>
      <c r="J242" s="85">
        <f>IF((SUM($D242:I242)+$B242/$C242)&gt;$B242,$B242-SUM($D242:I242),$B242/$C242)</f>
        <v>1456.048814706495</v>
      </c>
      <c r="K242" s="85">
        <f>IF((SUM($D242:J242)+$B242/$C242)&gt;$B242,$B242-SUM($D242:J242),$B242/$C242)</f>
        <v>1456.048814706495</v>
      </c>
      <c r="L242" s="85">
        <f>IF((SUM($D242:K242)+$B242/$C242)&gt;$B242,$B242-SUM($D242:K242),$B242/$C242)</f>
        <v>1456.048814706495</v>
      </c>
      <c r="M242" s="85">
        <f>IF((SUM($D242:L242)+$B242/$C242)&gt;$B242,$B242-SUM($D242:L242),$B242/$C242)</f>
        <v>1456.048814706495</v>
      </c>
      <c r="N242" s="85">
        <f>IF((SUM($D242:M242)+$B242/$C242)&gt;$B242,$B242-SUM($D242:M242),$B242/$C242)</f>
        <v>728.02440735324672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3566.2709641136021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254.73364029382873</v>
      </c>
      <c r="I243" s="85">
        <f>IF((SUM($D243:H243)+$B243/$C243)&gt;$B243,$B243-SUM($D243:H243),$B243/$C243)</f>
        <v>509.46728058765746</v>
      </c>
      <c r="J243" s="85">
        <f>IF((SUM($D243:I243)+$B243/$C243)&gt;$B243,$B243-SUM($D243:I243),$B243/$C243)</f>
        <v>509.46728058765746</v>
      </c>
      <c r="K243" s="85">
        <f>IF((SUM($D243:J243)+$B243/$C243)&gt;$B243,$B243-SUM($D243:J243),$B243/$C243)</f>
        <v>509.46728058765746</v>
      </c>
      <c r="L243" s="85">
        <f>IF((SUM($D243:K243)+$B243/$C243)&gt;$B243,$B243-SUM($D243:K243),$B243/$C243)</f>
        <v>509.46728058765746</v>
      </c>
      <c r="M243" s="85">
        <f>IF((SUM($D243:L243)+$B243/$C243)&gt;$B243,$B243-SUM($D243:L243),$B243/$C243)</f>
        <v>509.46728058765746</v>
      </c>
      <c r="N243" s="85">
        <f>IF((SUM($D243:M243)+$B243/$C243)&gt;$B243,$B243-SUM($D243:M243),$B243/$C243)</f>
        <v>509.46728058765746</v>
      </c>
      <c r="O243" s="85">
        <f>IF((SUM($D243:N243)+$B243/$C243)&gt;$B243,$B243-SUM($D243:N243),$B243/$C243)</f>
        <v>254.7336402938281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1993.4553734855997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142.38966953468568</v>
      </c>
      <c r="J244" s="85">
        <f>IF((SUM($D244:I244)+$B244/$C244)&gt;$B244,$B244-SUM($D244:I244),$B244/$C244)</f>
        <v>284.77933906937136</v>
      </c>
      <c r="K244" s="85">
        <f>IF((SUM($D244:J244)+$B244/$C244)&gt;$B244,$B244-SUM($D244:J244),$B244/$C244)</f>
        <v>284.77933906937136</v>
      </c>
      <c r="L244" s="85">
        <f>IF((SUM($D244:K244)+$B244/$C244)&gt;$B244,$B244-SUM($D244:K244),$B244/$C244)</f>
        <v>284.77933906937136</v>
      </c>
      <c r="M244" s="85">
        <f>IF((SUM($D244:L244)+$B244/$C244)&gt;$B244,$B244-SUM($D244:L244),$B244/$C244)</f>
        <v>284.77933906937136</v>
      </c>
      <c r="N244" s="85">
        <f>IF((SUM($D244:M244)+$B244/$C244)&gt;$B244,$B244-SUM($D244:M244),$B244/$C244)</f>
        <v>284.77933906937136</v>
      </c>
      <c r="O244" s="85">
        <f>IF((SUM($D244:N244)+$B244/$C244)&gt;$B244,$B244-SUM($D244:N244),$B244/$C244)</f>
        <v>284.77933906937136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940.88673833913867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67.206195595652758</v>
      </c>
      <c r="K245" s="85">
        <f>IF((SUM($D245:J245)+$B245/$C245)&gt;$B245,$B245-SUM($D245:J245),$B245/$C245)</f>
        <v>134.41239119130552</v>
      </c>
      <c r="L245" s="85">
        <f>IF((SUM($D245:K245)+$B245/$C245)&gt;$B245,$B245-SUM($D245:K245),$B245/$C245)</f>
        <v>134.41239119130552</v>
      </c>
      <c r="M245" s="85">
        <f>IF((SUM($D245:L245)+$B245/$C245)&gt;$B245,$B245-SUM($D245:L245),$B245/$C245)</f>
        <v>134.41239119130552</v>
      </c>
      <c r="N245" s="85">
        <f>IF((SUM($D245:M245)+$B245/$C245)&gt;$B245,$B245-SUM($D245:M245),$B245/$C245)</f>
        <v>134.41239119130552</v>
      </c>
      <c r="O245" s="85">
        <f>IF((SUM($D245:N245)+$B245/$C245)&gt;$B245,$B245-SUM($D245:N245),$B245/$C245)</f>
        <v>134.41239119130552</v>
      </c>
      <c r="P245" s="85">
        <f>IF((SUM($D245:O245)+$B245/$C245)&gt;$B245,$B245-SUM($D245:O245),$B245/$C245)</f>
        <v>134.41239119130552</v>
      </c>
      <c r="Q245" s="85">
        <f>IF((SUM($D245:P245)+$B245/$C245)&gt;$B245,$B245-SUM($D245:P245),$B245/$C245)</f>
        <v>67.206195595652844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35523.474797416035</v>
      </c>
      <c r="D246" s="694">
        <f t="shared" ref="D246:AA246" si="74">SUM(D239:D245)</f>
        <v>64.348129583869579</v>
      </c>
      <c r="E246" s="694">
        <f t="shared" si="74"/>
        <v>352.18662404996252</v>
      </c>
      <c r="F246" s="694">
        <f t="shared" si="74"/>
        <v>1632.8756386469661</v>
      </c>
      <c r="G246" s="694">
        <f t="shared" si="74"/>
        <v>3418.0986957149939</v>
      </c>
      <c r="H246" s="694">
        <f t="shared" si="74"/>
        <v>4400.8567433620701</v>
      </c>
      <c r="I246" s="694">
        <f t="shared" si="74"/>
        <v>4797.9800531905839</v>
      </c>
      <c r="J246" s="694">
        <f t="shared" si="74"/>
        <v>5007.575918320922</v>
      </c>
      <c r="K246" s="694">
        <f t="shared" si="74"/>
        <v>5010.4339843327061</v>
      </c>
      <c r="L246" s="694">
        <f t="shared" si="74"/>
        <v>4722.5954898666132</v>
      </c>
      <c r="M246" s="694">
        <f t="shared" si="74"/>
        <v>3441.9064752696108</v>
      </c>
      <c r="N246" s="694">
        <f t="shared" si="74"/>
        <v>1656.6834182015812</v>
      </c>
      <c r="O246" s="694">
        <f t="shared" si="74"/>
        <v>673.92537055450498</v>
      </c>
      <c r="P246" s="694">
        <f t="shared" si="74"/>
        <v>276.80206072599123</v>
      </c>
      <c r="Q246" s="694">
        <f t="shared" si="74"/>
        <v>67.206195595652844</v>
      </c>
      <c r="R246" s="694">
        <f t="shared" si="74"/>
        <v>0</v>
      </c>
      <c r="S246" s="694">
        <f t="shared" si="74"/>
        <v>0</v>
      </c>
      <c r="T246" s="694">
        <f t="shared" si="74"/>
        <v>0</v>
      </c>
      <c r="U246" s="694">
        <f t="shared" si="74"/>
        <v>0</v>
      </c>
      <c r="V246" s="694">
        <f t="shared" si="74"/>
        <v>0</v>
      </c>
      <c r="W246" s="694">
        <f t="shared" si="74"/>
        <v>0</v>
      </c>
      <c r="X246" s="694">
        <f t="shared" si="74"/>
        <v>0</v>
      </c>
      <c r="Y246" s="694">
        <f t="shared" si="74"/>
        <v>0</v>
      </c>
      <c r="Z246" s="694">
        <f t="shared" si="74"/>
        <v>0</v>
      </c>
      <c r="AA246" s="694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590.42642854092537</v>
      </c>
      <c r="C252" s="463">
        <f>'Data 2009-15 (Real $2008)'!C$157</f>
        <v>7</v>
      </c>
      <c r="D252" s="473"/>
      <c r="E252" s="85">
        <f>IF(C252&lt;1,B252,B252/2/C252)</f>
        <v>42.173316324351809</v>
      </c>
      <c r="F252" s="85">
        <f>IF((SUM($D252:E252)+$B252/$C252)&gt;$B252,$B252-SUM($D252:E252),$B252/$C252)</f>
        <v>84.346632648703618</v>
      </c>
      <c r="G252" s="85">
        <f>IF((SUM($D252:F252)+$B252/$C252)&gt;$B252,$B252-SUM($D252:F252),$B252/$C252)</f>
        <v>84.346632648703618</v>
      </c>
      <c r="H252" s="85">
        <f>IF((SUM($D252:G252)+$B252/$C252)&gt;$B252,$B252-SUM($D252:G252),$B252/$C252)</f>
        <v>84.346632648703618</v>
      </c>
      <c r="I252" s="85">
        <f>IF((SUM($D252:H252)+$B252/$C252)&gt;$B252,$B252-SUM($D252:H252),$B252/$C252)</f>
        <v>84.346632648703618</v>
      </c>
      <c r="J252" s="85">
        <f>IF((SUM($D252:I252)+$B252/$C252)&gt;$B252,$B252-SUM($D252:I252),$B252/$C252)</f>
        <v>84.346632648703618</v>
      </c>
      <c r="K252" s="85">
        <f>IF((SUM($D252:J252)+$B252/$C252)&gt;$B252,$B252-SUM($D252:J252),$B252/$C252)</f>
        <v>84.346632648703618</v>
      </c>
      <c r="L252" s="85">
        <f>IF((SUM($D252:K252)+$B252/$C252)&gt;$B252,$B252-SUM($D252:K252),$B252/$C252)</f>
        <v>42.173316324351845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154.46595927536234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11.033282805383024</v>
      </c>
      <c r="H254" s="85">
        <f>IF((SUM($D254:G254)+$B254/$C254)&gt;$B254,$B254-SUM($D254:G254),$B254/$C254)</f>
        <v>22.066565610766048</v>
      </c>
      <c r="I254" s="85">
        <f>IF((SUM($D254:H254)+$B254/$C254)&gt;$B254,$B254-SUM($D254:H254),$B254/$C254)</f>
        <v>22.066565610766048</v>
      </c>
      <c r="J254" s="85">
        <f>IF((SUM($D254:I254)+$B254/$C254)&gt;$B254,$B254-SUM($D254:I254),$B254/$C254)</f>
        <v>22.066565610766048</v>
      </c>
      <c r="K254" s="85">
        <f>IF((SUM($D254:J254)+$B254/$C254)&gt;$B254,$B254-SUM($D254:J254),$B254/$C254)</f>
        <v>22.066565610766048</v>
      </c>
      <c r="L254" s="85">
        <f>IF((SUM($D254:K254)+$B254/$C254)&gt;$B254,$B254-SUM($D254:K254),$B254/$C254)</f>
        <v>22.066565610766048</v>
      </c>
      <c r="M254" s="85">
        <f>IF((SUM($D254:L254)+$B254/$C254)&gt;$B254,$B254-SUM($D254:L254),$B254/$C254)</f>
        <v>22.066565610766048</v>
      </c>
      <c r="N254" s="85">
        <f>IF((SUM($D254:M254)+$B254/$C254)&gt;$B254,$B254-SUM($D254:M254),$B254/$C254)</f>
        <v>11.033282805383038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32.701787470744009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2.3358419621960005</v>
      </c>
      <c r="I255" s="85">
        <f>IF((SUM($D255:H255)+$B255/$C255)&gt;$B255,$B255-SUM($D255:H255),$B255/$C255)</f>
        <v>4.671683924392001</v>
      </c>
      <c r="J255" s="85">
        <f>IF((SUM($D255:I255)+$B255/$C255)&gt;$B255,$B255-SUM($D255:I255),$B255/$C255)</f>
        <v>4.671683924392001</v>
      </c>
      <c r="K255" s="85">
        <f>IF((SUM($D255:J255)+$B255/$C255)&gt;$B255,$B255-SUM($D255:J255),$B255/$C255)</f>
        <v>4.671683924392001</v>
      </c>
      <c r="L255" s="85">
        <f>IF((SUM($D255:K255)+$B255/$C255)&gt;$B255,$B255-SUM($D255:K255),$B255/$C255)</f>
        <v>4.671683924392001</v>
      </c>
      <c r="M255" s="85">
        <f>IF((SUM($D255:L255)+$B255/$C255)&gt;$B255,$B255-SUM($D255:L255),$B255/$C255)</f>
        <v>4.671683924392001</v>
      </c>
      <c r="N255" s="85">
        <f>IF((SUM($D255:M255)+$B255/$C255)&gt;$B255,$B255-SUM($D255:M255),$B255/$C255)</f>
        <v>4.671683924392001</v>
      </c>
      <c r="O255" s="85">
        <f>IF((SUM($D255:N255)+$B255/$C255)&gt;$B255,$B255-SUM($D255:N255),$B255/$C255)</f>
        <v>2.3358419621960067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115.13463127524524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8.2239022339460774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1821.7053485067258</v>
      </c>
      <c r="D258" s="694">
        <f t="shared" ref="D258:AA258" si="76">SUM(D251:D257)</f>
        <v>35.906397027027026</v>
      </c>
      <c r="E258" s="694">
        <f t="shared" si="76"/>
        <v>113.98611037840587</v>
      </c>
      <c r="F258" s="694">
        <f t="shared" si="76"/>
        <v>178.98037429652572</v>
      </c>
      <c r="G258" s="694">
        <f t="shared" si="76"/>
        <v>212.83460469567677</v>
      </c>
      <c r="H258" s="694">
        <f t="shared" si="76"/>
        <v>226.20372946325583</v>
      </c>
      <c r="I258" s="694">
        <f t="shared" si="76"/>
        <v>236.16769408640309</v>
      </c>
      <c r="J258" s="694">
        <f t="shared" si="76"/>
        <v>252.01971898130046</v>
      </c>
      <c r="K258" s="694">
        <f t="shared" si="76"/>
        <v>224.33722418821949</v>
      </c>
      <c r="L258" s="694">
        <f t="shared" si="76"/>
        <v>146.25751083684071</v>
      </c>
      <c r="M258" s="694">
        <f t="shared" si="76"/>
        <v>81.263246918720768</v>
      </c>
      <c r="N258" s="694">
        <f t="shared" si="76"/>
        <v>47.409016519569775</v>
      </c>
      <c r="O258" s="694">
        <f t="shared" si="76"/>
        <v>34.039891751990744</v>
      </c>
      <c r="P258" s="694">
        <f t="shared" si="76"/>
        <v>24.075927128843468</v>
      </c>
      <c r="Q258" s="694">
        <f t="shared" si="76"/>
        <v>8.2239022339460774</v>
      </c>
      <c r="R258" s="694">
        <f t="shared" si="76"/>
        <v>0</v>
      </c>
      <c r="S258" s="694">
        <f t="shared" si="76"/>
        <v>0</v>
      </c>
      <c r="T258" s="694">
        <f t="shared" si="76"/>
        <v>0</v>
      </c>
      <c r="U258" s="694">
        <f t="shared" si="76"/>
        <v>0</v>
      </c>
      <c r="V258" s="694">
        <f t="shared" si="76"/>
        <v>0</v>
      </c>
      <c r="W258" s="694">
        <f t="shared" si="76"/>
        <v>0</v>
      </c>
      <c r="X258" s="694">
        <f t="shared" si="76"/>
        <v>0</v>
      </c>
      <c r="Y258" s="694">
        <f t="shared" si="76"/>
        <v>0</v>
      </c>
      <c r="Z258" s="694">
        <f t="shared" si="76"/>
        <v>0</v>
      </c>
      <c r="AA258" s="694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445724.9959642656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29994.837029364968</v>
      </c>
      <c r="H261" s="472">
        <f t="shared" si="77"/>
        <v>37458.989155528216</v>
      </c>
      <c r="I261" s="472">
        <f t="shared" si="77"/>
        <v>35134.821237926488</v>
      </c>
      <c r="J261" s="472">
        <f t="shared" si="77"/>
        <v>36544.625397425487</v>
      </c>
      <c r="K261" s="472">
        <f t="shared" si="77"/>
        <v>35419.284980253804</v>
      </c>
      <c r="L261" s="472">
        <f t="shared" si="77"/>
        <v>31998.220465115992</v>
      </c>
      <c r="M261" s="472">
        <f t="shared" si="77"/>
        <v>28492.711182053543</v>
      </c>
      <c r="N261" s="472">
        <f t="shared" si="77"/>
        <v>25348.182530407845</v>
      </c>
      <c r="O261" s="472">
        <f t="shared" si="77"/>
        <v>23372.041668290774</v>
      </c>
      <c r="P261" s="472">
        <f t="shared" si="77"/>
        <v>22129.076459384625</v>
      </c>
      <c r="Q261" s="472">
        <f t="shared" si="77"/>
        <v>21134.98216400337</v>
      </c>
      <c r="R261" s="472">
        <f t="shared" si="77"/>
        <v>20731.359222081202</v>
      </c>
      <c r="S261" s="472">
        <f t="shared" si="77"/>
        <v>20661.161987637959</v>
      </c>
      <c r="T261" s="472">
        <f t="shared" si="77"/>
        <v>18519.499122654965</v>
      </c>
      <c r="U261" s="472">
        <f t="shared" si="77"/>
        <v>13615.346157537871</v>
      </c>
      <c r="V261" s="472">
        <f t="shared" si="77"/>
        <v>7910.5814331518122</v>
      </c>
      <c r="W261" s="472">
        <f t="shared" si="77"/>
        <v>2934.9618857892679</v>
      </c>
      <c r="X261" s="472">
        <f>SUM(X198,X210,X222,X234,X246,X258)</f>
        <v>623.18338207494764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2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19"/>
      <c r="H12" s="519"/>
      <c r="I12" s="519"/>
      <c r="J12" s="519"/>
      <c r="K12" s="512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19"/>
      <c r="J13" s="519"/>
      <c r="K13" s="512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29.947142404065424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19"/>
      <c r="H15" s="519"/>
      <c r="I15" s="519"/>
      <c r="J15" s="519"/>
      <c r="K15" s="512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29.947142404065424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1"/>
      <c r="E20" s="521"/>
      <c r="F20" s="521"/>
      <c r="G20" s="427">
        <f>SUMPRODUCT(D16:K16,D18:K18)</f>
        <v>27871.184186465216</v>
      </c>
      <c r="H20" s="520"/>
      <c r="I20" s="520"/>
      <c r="J20" s="521"/>
      <c r="K20" s="52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2"/>
      <c r="B38" s="522"/>
      <c r="C38" s="522"/>
      <c r="D38" s="523"/>
      <c r="E38" s="523"/>
      <c r="F38" s="523"/>
      <c r="G38" s="523"/>
      <c r="H38" s="523"/>
      <c r="I38" s="522"/>
      <c r="J38" s="522"/>
      <c r="K38" s="522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29.947142404065424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2"/>
      <c r="B67" s="522"/>
      <c r="C67" s="522"/>
      <c r="D67" s="522"/>
      <c r="E67" s="522"/>
      <c r="F67" s="522"/>
      <c r="G67" s="522"/>
      <c r="H67" s="522"/>
      <c r="I67" s="522"/>
      <c r="J67" s="522"/>
      <c r="K67" s="522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52">
        <v>0</v>
      </c>
      <c r="E141" s="752">
        <v>0</v>
      </c>
      <c r="F141" s="752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52">
        <v>0</v>
      </c>
      <c r="E161" s="752">
        <v>0</v>
      </c>
      <c r="F161" s="752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52">
        <v>0</v>
      </c>
      <c r="E171" s="752">
        <v>0</v>
      </c>
      <c r="F171" s="752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4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5">
        <v>0</v>
      </c>
      <c r="E124" s="525">
        <v>0</v>
      </c>
      <c r="F124" s="525">
        <v>0</v>
      </c>
      <c r="G124" s="525">
        <v>0</v>
      </c>
      <c r="H124" s="525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5">
        <v>0</v>
      </c>
      <c r="E141" s="525">
        <v>0</v>
      </c>
      <c r="F141" s="525">
        <v>0</v>
      </c>
      <c r="G141" s="525">
        <v>0</v>
      </c>
      <c r="H141" s="525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5">
        <v>0</v>
      </c>
      <c r="E151" s="525">
        <v>0</v>
      </c>
      <c r="F151" s="525">
        <v>0</v>
      </c>
      <c r="G151" s="525">
        <v>0</v>
      </c>
      <c r="H151" s="525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5">
        <v>0</v>
      </c>
      <c r="E161" s="525">
        <v>0</v>
      </c>
      <c r="F161" s="525">
        <v>0</v>
      </c>
      <c r="G161" s="525">
        <v>0</v>
      </c>
      <c r="H161" s="525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5">
        <v>0</v>
      </c>
      <c r="E171" s="525">
        <v>0</v>
      </c>
      <c r="F171" s="525">
        <v>0</v>
      </c>
      <c r="G171" s="525">
        <v>0</v>
      </c>
      <c r="H171" s="525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6">
        <v>15</v>
      </c>
      <c r="E190" s="526">
        <v>15</v>
      </c>
      <c r="F190" s="526">
        <v>15</v>
      </c>
      <c r="G190" s="526">
        <v>15</v>
      </c>
      <c r="H190" s="526">
        <v>15</v>
      </c>
      <c r="I190" s="239"/>
      <c r="J190" s="239"/>
    </row>
    <row r="191" spans="1:10" x14ac:dyDescent="0.2">
      <c r="A191" s="238" t="s">
        <v>176</v>
      </c>
      <c r="D191" s="526">
        <v>10</v>
      </c>
      <c r="E191" s="526">
        <v>10</v>
      </c>
      <c r="F191" s="526">
        <v>10</v>
      </c>
      <c r="G191" s="526">
        <v>10</v>
      </c>
      <c r="H191" s="526">
        <v>10</v>
      </c>
      <c r="I191" s="239"/>
      <c r="J191" s="239"/>
    </row>
    <row r="192" spans="1:10" x14ac:dyDescent="0.2">
      <c r="A192" s="129" t="s">
        <v>90</v>
      </c>
      <c r="D192" s="526">
        <v>5</v>
      </c>
      <c r="E192" s="526">
        <v>5</v>
      </c>
      <c r="F192" s="526">
        <v>5</v>
      </c>
      <c r="G192" s="526">
        <v>5</v>
      </c>
      <c r="H192" s="526">
        <v>5</v>
      </c>
      <c r="I192" s="239"/>
      <c r="J192" s="239"/>
    </row>
    <row r="193" spans="1:10" x14ac:dyDescent="0.2">
      <c r="A193" s="129" t="s">
        <v>168</v>
      </c>
      <c r="D193" s="526">
        <v>5</v>
      </c>
      <c r="E193" s="526">
        <v>5</v>
      </c>
      <c r="F193" s="526">
        <v>5</v>
      </c>
      <c r="G193" s="526">
        <v>5</v>
      </c>
      <c r="H193" s="526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7">
        <v>37.301250000000003</v>
      </c>
      <c r="E323" s="527">
        <v>37.301250000000003</v>
      </c>
      <c r="F323" s="527">
        <v>37.301250000000003</v>
      </c>
      <c r="G323" s="527">
        <v>37.301250000000003</v>
      </c>
      <c r="H323" s="527">
        <v>37.301250000000003</v>
      </c>
      <c r="J323" s="530">
        <v>0</v>
      </c>
      <c r="K323" s="530">
        <v>0</v>
      </c>
      <c r="L323" s="530">
        <v>0</v>
      </c>
      <c r="M323" s="530">
        <v>0</v>
      </c>
      <c r="N323" s="530">
        <v>0</v>
      </c>
      <c r="O323" s="272"/>
      <c r="P323" s="272"/>
    </row>
    <row r="324" spans="1:16" customFormat="1" x14ac:dyDescent="0.2">
      <c r="A324" t="s">
        <v>193</v>
      </c>
      <c r="D324" s="528"/>
      <c r="E324" s="528"/>
      <c r="F324" s="528"/>
      <c r="G324" s="528"/>
      <c r="H324" s="528"/>
      <c r="I324" s="226"/>
      <c r="J324" s="380"/>
      <c r="K324" s="531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7">
        <v>85.26</v>
      </c>
      <c r="E325" s="527">
        <v>85.26</v>
      </c>
      <c r="F325" s="527">
        <v>85.26</v>
      </c>
      <c r="G325" s="527">
        <v>85.26</v>
      </c>
      <c r="H325" s="527">
        <v>85.26</v>
      </c>
      <c r="J325" s="530">
        <v>7319.6972011135904</v>
      </c>
      <c r="K325" s="530">
        <v>7816.563734356585</v>
      </c>
      <c r="L325" s="530">
        <v>7744</v>
      </c>
      <c r="M325" s="530">
        <v>7494</v>
      </c>
      <c r="N325" s="530">
        <v>7234.2328577569469</v>
      </c>
      <c r="O325" s="275"/>
      <c r="P325" s="275"/>
    </row>
    <row r="326" spans="1:16" customFormat="1" x14ac:dyDescent="0.2">
      <c r="A326" t="s">
        <v>212</v>
      </c>
      <c r="D326" s="527">
        <v>165.19125</v>
      </c>
      <c r="E326" s="527">
        <v>165.19125</v>
      </c>
      <c r="F326" s="527">
        <v>165.19125</v>
      </c>
      <c r="G326" s="527">
        <v>165.19125</v>
      </c>
      <c r="H326" s="527">
        <v>165.19125</v>
      </c>
      <c r="J326" s="530">
        <v>2167.0719707366593</v>
      </c>
      <c r="K326" s="530">
        <v>2314.2576531631157</v>
      </c>
      <c r="L326" s="530">
        <v>2293</v>
      </c>
      <c r="M326" s="530">
        <v>2219</v>
      </c>
      <c r="N326" s="530">
        <v>2141.4202936598435</v>
      </c>
      <c r="O326" s="272"/>
      <c r="P326" s="272"/>
    </row>
    <row r="327" spans="1:16" customFormat="1" x14ac:dyDescent="0.2">
      <c r="A327" t="s">
        <v>213</v>
      </c>
      <c r="D327" s="527">
        <v>314.39625000000001</v>
      </c>
      <c r="E327" s="527">
        <v>314.39625000000001</v>
      </c>
      <c r="F327" s="527">
        <v>314.39625000000001</v>
      </c>
      <c r="G327" s="527">
        <v>314.39625000000001</v>
      </c>
      <c r="H327" s="527">
        <v>314.39625000000001</v>
      </c>
      <c r="J327" s="530">
        <v>2262.244213632428</v>
      </c>
      <c r="K327" s="530">
        <v>2417.2896719683231</v>
      </c>
      <c r="L327" s="530">
        <v>2394</v>
      </c>
      <c r="M327" s="530">
        <v>2317</v>
      </c>
      <c r="N327" s="530">
        <v>2236.978785302123</v>
      </c>
      <c r="O327" s="272"/>
      <c r="P327" s="272"/>
    </row>
    <row r="328" spans="1:16" customFormat="1" x14ac:dyDescent="0.2">
      <c r="A328" t="s">
        <v>214</v>
      </c>
      <c r="D328" s="527">
        <v>378.34125</v>
      </c>
      <c r="E328" s="527">
        <v>378.34125</v>
      </c>
      <c r="F328" s="527">
        <v>378.34125</v>
      </c>
      <c r="G328" s="527">
        <v>378.34125</v>
      </c>
      <c r="H328" s="527">
        <v>378.34125</v>
      </c>
      <c r="J328" s="530">
        <v>139.90319705678036</v>
      </c>
      <c r="K328" s="530">
        <v>149.59456576525278</v>
      </c>
      <c r="L328" s="530">
        <v>148</v>
      </c>
      <c r="M328" s="530">
        <v>143</v>
      </c>
      <c r="N328" s="530">
        <v>138.33229266310931</v>
      </c>
      <c r="O328" s="272"/>
      <c r="P328" s="272"/>
    </row>
    <row r="329" spans="1:16" customFormat="1" x14ac:dyDescent="0.2">
      <c r="D329" s="528"/>
      <c r="E329" s="528"/>
      <c r="F329" s="528"/>
      <c r="G329" s="528"/>
      <c r="H329" s="528"/>
      <c r="I329" s="226"/>
      <c r="J329" s="531"/>
      <c r="K329" s="531"/>
      <c r="L329" s="531"/>
      <c r="M329" s="531"/>
      <c r="N329" s="531"/>
      <c r="O329" s="272"/>
      <c r="P329" s="272"/>
    </row>
    <row r="330" spans="1:16" customFormat="1" x14ac:dyDescent="0.2">
      <c r="A330" t="s">
        <v>215</v>
      </c>
      <c r="D330" s="528"/>
      <c r="E330" s="528"/>
      <c r="F330" s="528"/>
      <c r="G330" s="528"/>
      <c r="H330" s="528"/>
      <c r="I330" s="226"/>
      <c r="J330" s="531"/>
      <c r="K330" s="531"/>
      <c r="L330" s="531"/>
      <c r="M330" s="531"/>
      <c r="N330" s="531"/>
      <c r="O330" s="272"/>
      <c r="P330" s="272"/>
    </row>
    <row r="331" spans="1:16" customFormat="1" x14ac:dyDescent="0.2">
      <c r="A331" t="s">
        <v>192</v>
      </c>
      <c r="D331" s="527">
        <v>160.24125000000001</v>
      </c>
      <c r="E331" s="527">
        <v>162.62601200000003</v>
      </c>
      <c r="F331" s="527">
        <v>165.06395419260002</v>
      </c>
      <c r="G331" s="527">
        <v>167.556262496095</v>
      </c>
      <c r="H331" s="527">
        <v>170.1041492747579</v>
      </c>
      <c r="J331" s="530">
        <v>0</v>
      </c>
      <c r="K331" s="530">
        <v>0</v>
      </c>
      <c r="L331" s="530">
        <v>0</v>
      </c>
      <c r="M331" s="530">
        <v>0</v>
      </c>
      <c r="N331" s="530">
        <v>0</v>
      </c>
      <c r="O331" s="272"/>
      <c r="P331" s="272"/>
    </row>
    <row r="332" spans="1:16" customFormat="1" x14ac:dyDescent="0.2">
      <c r="A332" t="s">
        <v>193</v>
      </c>
      <c r="D332" s="528"/>
      <c r="E332" s="528"/>
      <c r="F332" s="528"/>
      <c r="G332" s="528"/>
      <c r="H332" s="528"/>
      <c r="I332" s="226"/>
      <c r="J332" s="531"/>
      <c r="K332" s="531"/>
      <c r="L332" s="531"/>
      <c r="M332" s="531"/>
      <c r="N332" s="531"/>
      <c r="O332" s="272"/>
      <c r="P332" s="272"/>
    </row>
    <row r="333" spans="1:16" customFormat="1" x14ac:dyDescent="0.2">
      <c r="A333" t="s">
        <v>211</v>
      </c>
      <c r="D333" s="527">
        <v>214.86666666666667</v>
      </c>
      <c r="E333" s="527">
        <v>217.40009533333333</v>
      </c>
      <c r="F333" s="527">
        <v>219.99001945926665</v>
      </c>
      <c r="G333" s="527">
        <v>222.63769889320832</v>
      </c>
      <c r="H333" s="527">
        <v>225.34442157852686</v>
      </c>
      <c r="J333" s="530">
        <v>3510</v>
      </c>
      <c r="K333" s="530">
        <v>3510</v>
      </c>
      <c r="L333" s="530">
        <v>8710</v>
      </c>
      <c r="M333" s="530">
        <v>8710</v>
      </c>
      <c r="N333" s="530">
        <v>8710</v>
      </c>
      <c r="O333" s="274"/>
      <c r="P333" s="274"/>
    </row>
    <row r="334" spans="1:16" customFormat="1" x14ac:dyDescent="0.2">
      <c r="A334" t="s">
        <v>212</v>
      </c>
      <c r="D334" s="527">
        <v>356.13125000000002</v>
      </c>
      <c r="E334" s="527">
        <v>360.03241199999997</v>
      </c>
      <c r="F334" s="527">
        <v>364.02056991259997</v>
      </c>
      <c r="G334" s="527">
        <v>368.09766374665094</v>
      </c>
      <c r="H334" s="527">
        <v>372.26567677320128</v>
      </c>
      <c r="J334" s="530">
        <v>3392</v>
      </c>
      <c r="K334" s="530">
        <v>6792</v>
      </c>
      <c r="L334" s="530">
        <v>35681.599999999999</v>
      </c>
      <c r="M334" s="530">
        <v>37509.599999999999</v>
      </c>
      <c r="N334" s="530">
        <v>40129.599999999999</v>
      </c>
      <c r="O334" s="275"/>
      <c r="P334" s="275"/>
    </row>
    <row r="335" spans="1:16" customFormat="1" x14ac:dyDescent="0.2">
      <c r="A335" t="s">
        <v>213</v>
      </c>
      <c r="D335" s="527">
        <v>565.12084291720168</v>
      </c>
      <c r="E335" s="527">
        <v>570.040526404395</v>
      </c>
      <c r="F335" s="527">
        <v>575.06991883335286</v>
      </c>
      <c r="G335" s="527">
        <v>580.21146671347628</v>
      </c>
      <c r="H335" s="527">
        <v>585.46767111132658</v>
      </c>
      <c r="J335" s="530">
        <v>1998.4</v>
      </c>
      <c r="K335" s="530">
        <v>23981.4</v>
      </c>
      <c r="L335" s="530">
        <v>23395.4</v>
      </c>
      <c r="M335" s="530">
        <v>22515.4</v>
      </c>
      <c r="N335" s="530">
        <v>20756.400000000001</v>
      </c>
      <c r="O335" s="272"/>
      <c r="P335" s="272"/>
    </row>
    <row r="336" spans="1:16" customFormat="1" x14ac:dyDescent="0.2">
      <c r="A336" t="s">
        <v>214</v>
      </c>
      <c r="D336" s="527">
        <v>947.84791666666672</v>
      </c>
      <c r="E336" s="527">
        <v>960.1911153333333</v>
      </c>
      <c r="F336" s="527">
        <v>972.80956733026676</v>
      </c>
      <c r="G336" s="527">
        <v>985.70941080673163</v>
      </c>
      <c r="H336" s="527">
        <v>998.89692079272174</v>
      </c>
      <c r="J336" s="530">
        <v>1129.0204081632653</v>
      </c>
      <c r="K336" s="530">
        <v>1064.0204081632653</v>
      </c>
      <c r="L336" s="530">
        <v>976.0204081632653</v>
      </c>
      <c r="M336" s="530">
        <v>845.0204081632653</v>
      </c>
      <c r="N336" s="530">
        <v>583.0204081632653</v>
      </c>
      <c r="O336" s="272"/>
      <c r="P336" s="272"/>
    </row>
    <row r="337" spans="1:16" customFormat="1" x14ac:dyDescent="0.2">
      <c r="A337" t="s">
        <v>216</v>
      </c>
      <c r="D337" s="527">
        <v>745.29624999999999</v>
      </c>
      <c r="E337" s="527">
        <v>752.29042199999992</v>
      </c>
      <c r="F337" s="527">
        <v>759.4405640356</v>
      </c>
      <c r="G337" s="527">
        <v>766.75015423859384</v>
      </c>
      <c r="H337" s="527">
        <v>774.22274830311449</v>
      </c>
      <c r="J337" s="530">
        <v>0</v>
      </c>
      <c r="K337" s="530">
        <v>2661</v>
      </c>
      <c r="L337" s="530">
        <v>2590</v>
      </c>
      <c r="M337" s="530">
        <v>2482</v>
      </c>
      <c r="N337" s="530">
        <v>2267</v>
      </c>
      <c r="O337" s="272"/>
      <c r="P337" s="272"/>
    </row>
    <row r="338" spans="1:16" customFormat="1" x14ac:dyDescent="0.2">
      <c r="D338" s="528"/>
      <c r="E338" s="528"/>
      <c r="F338" s="528"/>
      <c r="G338" s="528"/>
      <c r="H338" s="528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29">
        <v>600000</v>
      </c>
      <c r="E339" s="529">
        <v>600000</v>
      </c>
      <c r="F339" s="529">
        <v>600000</v>
      </c>
      <c r="G339" s="529">
        <v>600000</v>
      </c>
      <c r="H339" s="529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8"/>
      <c r="E340" s="528"/>
      <c r="F340" s="528"/>
      <c r="G340" s="528"/>
      <c r="H340" s="528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29">
        <v>5730000</v>
      </c>
      <c r="E341" s="529">
        <v>5000000</v>
      </c>
      <c r="F341" s="529">
        <v>500000</v>
      </c>
      <c r="G341" s="529">
        <v>500000</v>
      </c>
      <c r="H341" s="529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8"/>
      <c r="E342" s="528"/>
      <c r="F342" s="528"/>
      <c r="G342" s="528"/>
      <c r="H342" s="528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29">
        <v>32000</v>
      </c>
      <c r="E343" s="529">
        <v>543000</v>
      </c>
      <c r="F343" s="529">
        <v>113000</v>
      </c>
      <c r="G343" s="529">
        <v>121000</v>
      </c>
      <c r="H343" s="529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2">
        <v>1.52</v>
      </c>
      <c r="E349" s="532">
        <v>1.52</v>
      </c>
      <c r="F349" s="532">
        <v>1.52</v>
      </c>
      <c r="G349" s="532">
        <v>1.52</v>
      </c>
      <c r="H349" s="532">
        <v>1.52</v>
      </c>
      <c r="J349" s="530">
        <v>860111</v>
      </c>
      <c r="K349" s="530">
        <v>867702</v>
      </c>
      <c r="L349" s="530">
        <v>852843</v>
      </c>
      <c r="M349" s="530">
        <v>836169</v>
      </c>
      <c r="N349" s="530">
        <v>818218</v>
      </c>
      <c r="O349" s="272"/>
      <c r="P349" s="272"/>
    </row>
    <row r="350" spans="1:16" customFormat="1" x14ac:dyDescent="0.2">
      <c r="D350" s="528"/>
      <c r="E350" s="528"/>
      <c r="F350" s="528"/>
      <c r="G350" s="528"/>
      <c r="H350" s="528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3">
        <v>420000</v>
      </c>
      <c r="E351" s="533">
        <v>420000</v>
      </c>
      <c r="F351" s="533">
        <v>420000</v>
      </c>
      <c r="G351" s="533">
        <v>420000</v>
      </c>
      <c r="H351" s="533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4"/>
      <c r="E352" s="534"/>
      <c r="F352" s="534"/>
      <c r="G352" s="534"/>
      <c r="H352" s="534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4"/>
      <c r="E353" s="534"/>
      <c r="F353" s="534"/>
      <c r="G353" s="534"/>
      <c r="H353" s="534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4"/>
      <c r="E354" s="534"/>
      <c r="F354" s="534"/>
      <c r="G354" s="534"/>
      <c r="H354" s="534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4"/>
      <c r="E355" s="534"/>
      <c r="F355" s="534"/>
      <c r="G355" s="534"/>
      <c r="H355" s="534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2">
        <v>10.6</v>
      </c>
      <c r="E356" s="532">
        <v>10.6</v>
      </c>
      <c r="F356" s="532">
        <v>10.6</v>
      </c>
      <c r="G356" s="532">
        <v>10.6</v>
      </c>
      <c r="H356" s="532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8"/>
      <c r="E357" s="528"/>
      <c r="F357" s="528"/>
      <c r="G357" s="528"/>
      <c r="H357" s="528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2">
        <v>10.6</v>
      </c>
      <c r="E358" s="532">
        <v>10.6</v>
      </c>
      <c r="F358" s="532">
        <v>10.6</v>
      </c>
      <c r="G358" s="532">
        <v>10.6</v>
      </c>
      <c r="H358" s="532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2">
        <v>10.6</v>
      </c>
      <c r="E359" s="532">
        <v>10.6</v>
      </c>
      <c r="F359" s="532">
        <v>10.6</v>
      </c>
      <c r="G359" s="532">
        <v>10.6</v>
      </c>
      <c r="H359" s="532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2">
        <v>10.6</v>
      </c>
      <c r="E360" s="532">
        <v>10.6</v>
      </c>
      <c r="F360" s="532">
        <v>10.6</v>
      </c>
      <c r="G360" s="532">
        <v>10.6</v>
      </c>
      <c r="H360" s="532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2">
        <v>10.6</v>
      </c>
      <c r="E361" s="532">
        <v>10.6</v>
      </c>
      <c r="F361" s="532">
        <v>10.6</v>
      </c>
      <c r="G361" s="532">
        <v>10.6</v>
      </c>
      <c r="H361" s="532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2">
        <v>10.6</v>
      </c>
      <c r="E362" s="532">
        <v>10.6</v>
      </c>
      <c r="F362" s="532">
        <v>10.6</v>
      </c>
      <c r="G362" s="532">
        <v>10.6</v>
      </c>
      <c r="H362" s="532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8"/>
      <c r="E363" s="528"/>
      <c r="F363" s="528"/>
      <c r="G363" s="528"/>
      <c r="H363" s="528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8"/>
      <c r="E364" s="528"/>
      <c r="F364" s="528"/>
      <c r="G364" s="528"/>
      <c r="H364" s="528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2">
        <v>1.5</v>
      </c>
      <c r="E365" s="532">
        <v>1.5</v>
      </c>
      <c r="F365" s="532">
        <v>1.5</v>
      </c>
      <c r="G365" s="532">
        <v>1.5</v>
      </c>
      <c r="H365" s="532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2">
        <v>2.5</v>
      </c>
      <c r="E366" s="532">
        <v>2.5</v>
      </c>
      <c r="F366" s="532">
        <v>2.5</v>
      </c>
      <c r="G366" s="532">
        <v>2.5</v>
      </c>
      <c r="H366" s="532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2">
        <v>4.5</v>
      </c>
      <c r="E367" s="532">
        <v>4.5</v>
      </c>
      <c r="F367" s="532">
        <v>4.5</v>
      </c>
      <c r="G367" s="532">
        <v>4.5</v>
      </c>
      <c r="H367" s="532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2">
        <v>6.2</v>
      </c>
      <c r="E368" s="532">
        <v>6.2</v>
      </c>
      <c r="F368" s="532">
        <v>6.2</v>
      </c>
      <c r="G368" s="532">
        <v>6.2</v>
      </c>
      <c r="H368" s="532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4"/>
      <c r="E369" s="534"/>
      <c r="F369" s="534"/>
      <c r="G369" s="534"/>
      <c r="H369" s="534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4"/>
      <c r="E370" s="534"/>
      <c r="F370" s="534"/>
      <c r="G370" s="534"/>
      <c r="H370" s="534"/>
      <c r="J370" s="535">
        <v>5055</v>
      </c>
      <c r="K370" s="535">
        <v>3571</v>
      </c>
      <c r="L370" s="535">
        <v>2185</v>
      </c>
      <c r="M370" s="535">
        <v>946</v>
      </c>
      <c r="N370" s="535">
        <v>0</v>
      </c>
    </row>
    <row r="371" spans="1:16" customFormat="1" x14ac:dyDescent="0.2">
      <c r="A371" t="s">
        <v>232</v>
      </c>
      <c r="D371" s="534"/>
      <c r="E371" s="534"/>
      <c r="F371" s="534"/>
      <c r="G371" s="534"/>
      <c r="H371" s="534"/>
      <c r="J371" s="535">
        <v>823351</v>
      </c>
      <c r="K371" s="535">
        <v>778943</v>
      </c>
      <c r="L371" s="535">
        <v>678947</v>
      </c>
      <c r="M371" s="535">
        <v>576795</v>
      </c>
      <c r="N371" s="535">
        <v>472166</v>
      </c>
    </row>
    <row r="372" spans="1:16" customFormat="1" x14ac:dyDescent="0.2">
      <c r="A372" t="s">
        <v>233</v>
      </c>
      <c r="D372" s="534"/>
      <c r="E372" s="534"/>
      <c r="F372" s="534"/>
      <c r="G372" s="534"/>
      <c r="H372" s="534"/>
      <c r="J372" s="535">
        <v>1397</v>
      </c>
      <c r="K372" s="535">
        <v>3070</v>
      </c>
      <c r="L372" s="535">
        <v>4641</v>
      </c>
      <c r="M372" s="535">
        <v>6060</v>
      </c>
      <c r="N372" s="535">
        <v>7196</v>
      </c>
    </row>
    <row r="373" spans="1:16" customFormat="1" x14ac:dyDescent="0.2">
      <c r="A373" t="s">
        <v>234</v>
      </c>
      <c r="D373" s="534"/>
      <c r="E373" s="534"/>
      <c r="F373" s="534"/>
      <c r="G373" s="534"/>
      <c r="H373" s="534"/>
      <c r="J373" s="535">
        <v>30307</v>
      </c>
      <c r="K373" s="535">
        <v>82120</v>
      </c>
      <c r="L373" s="535">
        <v>167069</v>
      </c>
      <c r="M373" s="535">
        <v>252367</v>
      </c>
      <c r="N373" s="535">
        <v>338857</v>
      </c>
    </row>
    <row r="374" spans="1:16" customFormat="1" x14ac:dyDescent="0.2">
      <c r="D374" s="534"/>
      <c r="E374" s="534"/>
      <c r="F374" s="534"/>
      <c r="G374" s="534"/>
      <c r="H374" s="534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29">
        <v>1949305.4129536522</v>
      </c>
      <c r="E375" s="529">
        <v>1975569.4544452247</v>
      </c>
      <c r="F375" s="529">
        <v>2002187.3655104858</v>
      </c>
      <c r="G375" s="529">
        <v>2029163.9140247537</v>
      </c>
      <c r="H375" s="529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6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7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7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7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7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8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39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7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0">
        <v>6430.8273357951803</v>
      </c>
      <c r="K391" s="540">
        <v>6540.4186152199882</v>
      </c>
      <c r="L391" s="540">
        <v>6654.9714644701198</v>
      </c>
      <c r="M391" s="540">
        <v>6761.6206662288687</v>
      </c>
      <c r="N391" s="540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7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0">
        <v>639239.62580768578</v>
      </c>
      <c r="K392" s="540">
        <v>650133.26122864627</v>
      </c>
      <c r="L392" s="540">
        <v>661520.08856301825</v>
      </c>
      <c r="M392" s="540">
        <v>672121.27442373626</v>
      </c>
      <c r="N392" s="540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7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0">
        <v>0</v>
      </c>
      <c r="K393" s="540">
        <v>0</v>
      </c>
      <c r="L393" s="540">
        <v>0</v>
      </c>
      <c r="M393" s="540">
        <v>0</v>
      </c>
      <c r="N393" s="540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7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0">
        <v>0</v>
      </c>
      <c r="K394" s="540">
        <v>0</v>
      </c>
      <c r="L394" s="540">
        <v>0</v>
      </c>
      <c r="M394" s="540">
        <v>0</v>
      </c>
      <c r="N394" s="540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8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39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39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7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0">
        <v>0</v>
      </c>
      <c r="K398" s="540">
        <v>0</v>
      </c>
      <c r="L398" s="540">
        <v>0</v>
      </c>
      <c r="M398" s="540">
        <v>0</v>
      </c>
      <c r="N398" s="540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7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0">
        <v>122294</v>
      </c>
      <c r="K399" s="540">
        <v>126494</v>
      </c>
      <c r="L399" s="540">
        <v>130694</v>
      </c>
      <c r="M399" s="540">
        <v>134894</v>
      </c>
      <c r="N399" s="540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8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39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7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0">
        <v>319079.32803200395</v>
      </c>
      <c r="K402" s="540">
        <v>324516.93504135334</v>
      </c>
      <c r="L402" s="540">
        <v>330200.72100765217</v>
      </c>
      <c r="M402" s="540">
        <v>335492.35050653736</v>
      </c>
      <c r="N402" s="540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7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0">
        <v>220925.01356011708</v>
      </c>
      <c r="K403" s="540">
        <v>224689.91870042938</v>
      </c>
      <c r="L403" s="540">
        <v>228625.27389696357</v>
      </c>
      <c r="M403" s="540">
        <v>232289.10673128325</v>
      </c>
      <c r="N403" s="540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7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0">
        <v>100712.9169065477</v>
      </c>
      <c r="K404" s="540">
        <v>102429.22133241178</v>
      </c>
      <c r="L404" s="540">
        <v>104223.22869499793</v>
      </c>
      <c r="M404" s="540">
        <v>105893.45736605745</v>
      </c>
      <c r="N404" s="540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7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0">
        <v>4953.1946448121762</v>
      </c>
      <c r="K405" s="540">
        <v>5037.6047696717869</v>
      </c>
      <c r="L405" s="540">
        <v>5125.8364278746849</v>
      </c>
      <c r="M405" s="540">
        <v>5207.9804860870026</v>
      </c>
      <c r="N405" s="540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2" t="str">
        <f>'Data 2006-08'!A1</f>
        <v>Powercor</v>
      </c>
    </row>
    <row r="2" spans="1:3" s="562" customFormat="1" x14ac:dyDescent="0.2">
      <c r="A2" s="94"/>
    </row>
    <row r="3" spans="1:3" s="782" customFormat="1" x14ac:dyDescent="0.2">
      <c r="A3" s="563" t="s">
        <v>376</v>
      </c>
    </row>
    <row r="4" spans="1:3" s="782" customFormat="1" x14ac:dyDescent="0.2"/>
    <row r="5" spans="1:3" s="782" customFormat="1" x14ac:dyDescent="0.2">
      <c r="A5" s="564" t="s">
        <v>399</v>
      </c>
    </row>
    <row r="6" spans="1:3" s="782" customFormat="1" x14ac:dyDescent="0.2"/>
    <row r="7" spans="1:3" s="782" customFormat="1" x14ac:dyDescent="0.2">
      <c r="A7" s="564" t="s">
        <v>377</v>
      </c>
      <c r="B7" s="565"/>
      <c r="C7" s="566" t="s">
        <v>406</v>
      </c>
    </row>
    <row r="8" spans="1:3" s="782" customFormat="1" ht="15" x14ac:dyDescent="0.25">
      <c r="A8" s="567"/>
    </row>
    <row r="9" spans="1:3" s="782" customFormat="1" x14ac:dyDescent="0.2">
      <c r="A9" s="564" t="s">
        <v>378</v>
      </c>
    </row>
    <row r="10" spans="1:3" s="782" customFormat="1" x14ac:dyDescent="0.2"/>
    <row r="11" spans="1:3" s="782" customFormat="1" x14ac:dyDescent="0.2">
      <c r="A11" s="568" t="s">
        <v>400</v>
      </c>
      <c r="B11" s="569"/>
      <c r="C11" s="570" t="s">
        <v>22</v>
      </c>
    </row>
    <row r="12" spans="1:3" s="783" customFormat="1" x14ac:dyDescent="0.2">
      <c r="A12" s="571"/>
      <c r="B12" s="572"/>
      <c r="C12" s="573"/>
    </row>
    <row r="13" spans="1:3" s="782" customFormat="1" x14ac:dyDescent="0.2">
      <c r="A13" s="568" t="s">
        <v>401</v>
      </c>
      <c r="B13" s="569"/>
      <c r="C13" s="570" t="s">
        <v>402</v>
      </c>
    </row>
    <row r="14" spans="1:3" s="782" customFormat="1" x14ac:dyDescent="0.2">
      <c r="B14" s="784"/>
    </row>
    <row r="15" spans="1:3" s="782" customFormat="1" x14ac:dyDescent="0.2">
      <c r="A15" s="568" t="s">
        <v>403</v>
      </c>
      <c r="C15" s="570" t="s">
        <v>22</v>
      </c>
    </row>
    <row r="16" spans="1:3" s="782" customFormat="1" x14ac:dyDescent="0.2"/>
    <row r="17" spans="1:1" s="782" customFormat="1" x14ac:dyDescent="0.2">
      <c r="A17" s="568" t="s">
        <v>404</v>
      </c>
    </row>
    <row r="20" spans="1:1" x14ac:dyDescent="0.2">
      <c r="A20" s="776"/>
    </row>
  </sheetData>
  <phoneticPr fontId="3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84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E1" s="777"/>
      <c r="F1" s="777"/>
      <c r="G1" s="777"/>
      <c r="H1" s="4">
        <v>2013</v>
      </c>
      <c r="I1" s="5">
        <v>2014</v>
      </c>
      <c r="J1" s="6">
        <v>2015</v>
      </c>
      <c r="K1" s="54"/>
      <c r="L1" s="21"/>
      <c r="N1" s="21"/>
      <c r="O1" s="21"/>
      <c r="P1" s="44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85"/>
      <c r="F2" s="785"/>
      <c r="G2" s="785"/>
      <c r="H2" s="803" t="s">
        <v>22</v>
      </c>
      <c r="I2" s="802" t="s">
        <v>22</v>
      </c>
      <c r="J2" s="804" t="s">
        <v>402</v>
      </c>
      <c r="K2" s="108"/>
      <c r="L2" s="21"/>
      <c r="N2" s="21"/>
      <c r="O2" s="21"/>
      <c r="P2" s="66"/>
      <c r="Q2" s="67"/>
    </row>
    <row r="3" spans="1:17" s="1" customFormat="1" ht="15.75" x14ac:dyDescent="0.25">
      <c r="A3" s="70" t="s">
        <v>405</v>
      </c>
      <c r="B3" s="445"/>
      <c r="C3" s="2"/>
      <c r="D3" s="2"/>
      <c r="E3" s="785"/>
      <c r="F3" s="785"/>
      <c r="G3" s="785"/>
      <c r="H3" s="881" t="s">
        <v>20</v>
      </c>
      <c r="I3" s="875" t="s">
        <v>18</v>
      </c>
      <c r="J3" s="882" t="s">
        <v>18</v>
      </c>
      <c r="K3" s="108"/>
      <c r="L3" s="21"/>
      <c r="N3" s="21"/>
      <c r="O3" s="21"/>
      <c r="P3" s="60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39"/>
      <c r="G4" s="39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85"/>
      <c r="F5" s="785"/>
      <c r="G5" s="785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85"/>
      <c r="F6" s="785"/>
      <c r="G6" s="785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85"/>
      <c r="F7" s="785"/>
      <c r="G7" s="785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32"/>
      <c r="G8" s="32"/>
      <c r="H8" s="742" t="str">
        <f t="shared" ref="H8:J8" si="1">H$2</f>
        <v>Nominal $</v>
      </c>
      <c r="I8" s="108" t="str">
        <f t="shared" si="1"/>
        <v>Nominal $</v>
      </c>
      <c r="J8" s="743" t="str">
        <f t="shared" si="1"/>
        <v>Real 2014 $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32"/>
      <c r="G9" s="32"/>
      <c r="H9" s="50" t="str">
        <f t="shared" ref="H9:J9" si="2">H$3</f>
        <v>Actual</v>
      </c>
      <c r="I9" s="744" t="str">
        <f t="shared" si="2"/>
        <v>Forecast</v>
      </c>
      <c r="J9" s="745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794"/>
      <c r="E10" s="794"/>
      <c r="F10" s="794"/>
      <c r="G10" s="794"/>
      <c r="H10" s="801">
        <v>94385.84</v>
      </c>
      <c r="I10" s="9">
        <v>0</v>
      </c>
      <c r="J10" s="746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794"/>
      <c r="E11" s="794"/>
      <c r="F11" s="794"/>
      <c r="G11" s="794"/>
      <c r="H11" s="8">
        <v>119609.11000000002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794"/>
      <c r="E12" s="794"/>
      <c r="F12" s="794"/>
      <c r="G12" s="794"/>
      <c r="H12" s="8">
        <v>72813007.111382738</v>
      </c>
      <c r="I12" s="9">
        <v>7363763.6915540015</v>
      </c>
      <c r="J12" s="10">
        <v>7336788.157598122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794"/>
      <c r="E13" s="794"/>
      <c r="F13" s="794"/>
      <c r="G13" s="794"/>
      <c r="H13" s="8">
        <v>6387456.6100000003</v>
      </c>
      <c r="I13" s="9">
        <v>7268590.7189414138</v>
      </c>
      <c r="J13" s="10">
        <v>5416006.7493866105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794"/>
      <c r="E14" s="794"/>
      <c r="F14" s="794"/>
      <c r="G14" s="794"/>
      <c r="H14" s="8">
        <v>4114819.8866793849</v>
      </c>
      <c r="I14" s="9">
        <v>2349787.4043386215</v>
      </c>
      <c r="J14" s="10">
        <v>1109071.1314960509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794"/>
      <c r="E15" s="794"/>
      <c r="F15" s="794"/>
      <c r="G15" s="794"/>
      <c r="H15" s="8">
        <v>37731.840000000004</v>
      </c>
      <c r="I15" s="9">
        <v>125883.19508029326</v>
      </c>
      <c r="J15" s="10">
        <v>135715.05536173325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85"/>
      <c r="E16" s="785"/>
      <c r="F16" s="785"/>
      <c r="G16" s="785"/>
      <c r="H16" s="11">
        <f t="shared" ref="H16:J16" si="3">SUM(H10:H15)</f>
        <v>83567010.398062125</v>
      </c>
      <c r="I16" s="12">
        <f t="shared" si="3"/>
        <v>17108025.009914327</v>
      </c>
      <c r="J16" s="13">
        <f t="shared" si="3"/>
        <v>13997581.093842516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85"/>
      <c r="E17" s="785"/>
      <c r="F17" s="785"/>
      <c r="G17" s="78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85"/>
      <c r="E18" s="785"/>
      <c r="F18" s="785"/>
      <c r="G18" s="78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85"/>
      <c r="E19" s="785"/>
      <c r="F19" s="785"/>
      <c r="G19" s="785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795"/>
      <c r="E20" s="795"/>
      <c r="F20" s="795"/>
      <c r="G20" s="795"/>
      <c r="H20" s="742" t="str">
        <f t="shared" ref="H20:J20" si="5">H$2</f>
        <v>Nominal $</v>
      </c>
      <c r="I20" s="108" t="str">
        <f t="shared" si="5"/>
        <v>Nominal $</v>
      </c>
      <c r="J20" s="743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796"/>
      <c r="E21" s="796"/>
      <c r="F21" s="796"/>
      <c r="G21" s="796"/>
      <c r="H21" s="50" t="str">
        <f t="shared" ref="H21:J21" si="6">H$3</f>
        <v>Actual</v>
      </c>
      <c r="I21" s="744" t="str">
        <f t="shared" si="6"/>
        <v>Forecast</v>
      </c>
      <c r="J21" s="74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797"/>
      <c r="E22" s="797"/>
      <c r="F22" s="797"/>
      <c r="G22" s="797"/>
      <c r="H22" s="324">
        <f t="shared" ref="H22:J22" si="7">SUM(H10:H12)-H23</f>
        <v>73027002.061382741</v>
      </c>
      <c r="I22" s="19">
        <f t="shared" si="7"/>
        <v>7363763.6915540015</v>
      </c>
      <c r="J22" s="747">
        <f t="shared" si="7"/>
        <v>7336788.157598122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798"/>
      <c r="E23" s="798"/>
      <c r="F23" s="798"/>
      <c r="G23" s="798"/>
      <c r="H23" s="8">
        <v>0</v>
      </c>
      <c r="I23" s="9">
        <v>0</v>
      </c>
      <c r="J23" s="10">
        <v>0</v>
      </c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798"/>
      <c r="E24" s="798"/>
      <c r="F24" s="798"/>
      <c r="G24" s="798"/>
      <c r="H24" s="324">
        <f t="shared" ref="H24:J26" si="8">H13</f>
        <v>6387456.6100000003</v>
      </c>
      <c r="I24" s="19">
        <f t="shared" si="8"/>
        <v>7268590.7189414138</v>
      </c>
      <c r="J24" s="325">
        <f t="shared" si="8"/>
        <v>5416006.7493866105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798"/>
      <c r="E25" s="798"/>
      <c r="F25" s="798"/>
      <c r="G25" s="798"/>
      <c r="H25" s="324">
        <f t="shared" si="8"/>
        <v>4114819.8866793849</v>
      </c>
      <c r="I25" s="19">
        <f t="shared" si="8"/>
        <v>2349787.4043386215</v>
      </c>
      <c r="J25" s="325">
        <f t="shared" si="8"/>
        <v>1109071.1314960509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798"/>
      <c r="E26" s="798"/>
      <c r="F26" s="798"/>
      <c r="G26" s="798"/>
      <c r="H26" s="324">
        <f t="shared" si="8"/>
        <v>37731.840000000004</v>
      </c>
      <c r="I26" s="19">
        <f t="shared" si="8"/>
        <v>125883.19508029326</v>
      </c>
      <c r="J26" s="325">
        <f t="shared" si="8"/>
        <v>135715.05536173325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85"/>
      <c r="F27" s="785"/>
      <c r="G27" s="785"/>
      <c r="H27" s="11">
        <f t="shared" ref="H27:J27" si="9">SUM(H21:H26)</f>
        <v>83567010.398062125</v>
      </c>
      <c r="I27" s="12">
        <f t="shared" si="9"/>
        <v>17108025.009914327</v>
      </c>
      <c r="J27" s="13">
        <f t="shared" si="9"/>
        <v>13997581.093842516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85"/>
      <c r="F28" s="785"/>
      <c r="G28" s="78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85"/>
      <c r="F29" s="785"/>
      <c r="G29" s="78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85"/>
      <c r="F30" s="785"/>
      <c r="G30" s="785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85"/>
      <c r="F31" s="785"/>
      <c r="G31" s="785"/>
      <c r="H31" s="742" t="str">
        <f t="shared" ref="H31:J31" si="11">H$2</f>
        <v>Nominal $</v>
      </c>
      <c r="I31" s="108" t="str">
        <f t="shared" si="11"/>
        <v>Nominal $</v>
      </c>
      <c r="J31" s="743" t="str">
        <f t="shared" si="11"/>
        <v>Real 2014 $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799"/>
      <c r="F32" s="799"/>
      <c r="G32" s="799"/>
      <c r="H32" s="50" t="str">
        <f t="shared" ref="H32:J32" si="12">H$3</f>
        <v>Actual</v>
      </c>
      <c r="I32" s="744" t="str">
        <f t="shared" si="12"/>
        <v>Forecast</v>
      </c>
      <c r="J32" s="745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799"/>
      <c r="F33" s="799"/>
      <c r="G33" s="799"/>
      <c r="H33" s="35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799"/>
      <c r="F34" s="799"/>
      <c r="G34" s="799"/>
      <c r="H34" s="24">
        <v>0</v>
      </c>
      <c r="I34" s="25">
        <v>0</v>
      </c>
      <c r="J34" s="26">
        <v>0</v>
      </c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799"/>
      <c r="F35" s="799"/>
      <c r="G35" s="799"/>
      <c r="H35" s="24">
        <v>0</v>
      </c>
      <c r="I35" s="25">
        <v>0</v>
      </c>
      <c r="J35" s="26">
        <v>0</v>
      </c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799"/>
      <c r="F36" s="799"/>
      <c r="G36" s="799"/>
      <c r="H36" s="24">
        <v>0</v>
      </c>
      <c r="I36" s="25">
        <v>0</v>
      </c>
      <c r="J36" s="26">
        <v>0</v>
      </c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799"/>
      <c r="F37" s="799"/>
      <c r="G37" s="799"/>
      <c r="H37" s="24">
        <v>0</v>
      </c>
      <c r="I37" s="25">
        <v>0</v>
      </c>
      <c r="J37" s="26">
        <v>0</v>
      </c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799"/>
      <c r="F38" s="799"/>
      <c r="G38" s="799"/>
      <c r="H38" s="24">
        <v>0</v>
      </c>
      <c r="I38" s="25">
        <v>0</v>
      </c>
      <c r="J38" s="26">
        <v>0</v>
      </c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799"/>
      <c r="F39" s="799"/>
      <c r="G39" s="799"/>
      <c r="H39" s="24">
        <v>0</v>
      </c>
      <c r="I39" s="25">
        <v>0</v>
      </c>
      <c r="J39" s="26"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799"/>
      <c r="F40" s="799"/>
      <c r="G40" s="799"/>
      <c r="H40" s="326">
        <f t="shared" ref="H40:J40" si="13">SUM(H34:H39)</f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799"/>
      <c r="F41" s="799"/>
      <c r="G41" s="799"/>
      <c r="H41" s="328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799"/>
      <c r="F42" s="799"/>
      <c r="G42" s="799"/>
      <c r="H42" s="23"/>
      <c r="I42" s="20"/>
      <c r="J42" s="721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799"/>
      <c r="F43" s="799"/>
      <c r="G43" s="799"/>
      <c r="H43" s="24">
        <v>0</v>
      </c>
      <c r="I43" s="25">
        <v>0</v>
      </c>
      <c r="J43" s="26">
        <v>0</v>
      </c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799"/>
      <c r="F44" s="799"/>
      <c r="G44" s="799"/>
      <c r="H44" s="24">
        <v>0</v>
      </c>
      <c r="I44" s="25">
        <v>0</v>
      </c>
      <c r="J44" s="26">
        <v>0</v>
      </c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799"/>
      <c r="F45" s="799"/>
      <c r="G45" s="799"/>
      <c r="H45" s="24">
        <v>0</v>
      </c>
      <c r="I45" s="25">
        <v>0</v>
      </c>
      <c r="J45" s="26">
        <v>0</v>
      </c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799"/>
      <c r="F46" s="799"/>
      <c r="G46" s="799"/>
      <c r="H46" s="24">
        <v>0</v>
      </c>
      <c r="I46" s="25">
        <v>0</v>
      </c>
      <c r="J46" s="26">
        <v>0</v>
      </c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799"/>
      <c r="F47" s="799"/>
      <c r="G47" s="799"/>
      <c r="H47" s="24">
        <v>0</v>
      </c>
      <c r="I47" s="25">
        <v>0</v>
      </c>
      <c r="J47" s="26">
        <v>0</v>
      </c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799"/>
      <c r="F48" s="799"/>
      <c r="G48" s="799"/>
      <c r="H48" s="27">
        <v>0</v>
      </c>
      <c r="I48" s="28">
        <v>0</v>
      </c>
      <c r="J48" s="29"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85"/>
      <c r="F49" s="785"/>
      <c r="G49" s="785"/>
      <c r="H49" s="326">
        <f t="shared" ref="H49:J49" si="14">SUM(H43:H48)</f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85"/>
      <c r="F50" s="785"/>
      <c r="G50" s="78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85"/>
      <c r="F51" s="785"/>
      <c r="G51" s="78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85"/>
      <c r="F52" s="785"/>
      <c r="G52" s="785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85"/>
      <c r="F53" s="785"/>
      <c r="G53" s="785"/>
      <c r="H53" s="742" t="str">
        <f t="shared" ref="H53:J53" si="16">H$2</f>
        <v>Nominal $</v>
      </c>
      <c r="I53" s="108" t="str">
        <f t="shared" si="16"/>
        <v>Nominal $</v>
      </c>
      <c r="J53" s="743" t="str">
        <f t="shared" si="16"/>
        <v>Real 2014 $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85"/>
      <c r="F54" s="785"/>
      <c r="G54" s="785"/>
      <c r="H54" s="742" t="str">
        <f t="shared" ref="H54:J54" si="17">H$3</f>
        <v>Actual</v>
      </c>
      <c r="I54" s="108" t="str">
        <f t="shared" si="17"/>
        <v>Forecast</v>
      </c>
      <c r="J54" s="743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392</v>
      </c>
      <c r="B55" s="83"/>
      <c r="C55" s="2"/>
      <c r="D55" s="2"/>
      <c r="E55" s="785"/>
      <c r="F55" s="785"/>
      <c r="G55" s="785"/>
      <c r="H55" s="16">
        <v>21941413.564735752</v>
      </c>
      <c r="I55" s="17">
        <v>23089633.02636192</v>
      </c>
      <c r="J55" s="18">
        <v>22451827.101626538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85"/>
      <c r="D56" s="785"/>
      <c r="E56" s="785"/>
      <c r="F56" s="785"/>
      <c r="G56" s="785"/>
      <c r="H56" s="779"/>
      <c r="I56" s="779"/>
      <c r="J56" s="779"/>
      <c r="K56" s="19"/>
      <c r="L56" s="2"/>
      <c r="M56" s="21"/>
      <c r="N56" s="21"/>
      <c r="O56" s="21"/>
    </row>
    <row r="57" spans="1:15" s="1" customFormat="1" x14ac:dyDescent="0.2">
      <c r="A57" s="777"/>
      <c r="B57" s="442"/>
      <c r="C57" s="785"/>
      <c r="D57" s="785"/>
      <c r="E57" s="785"/>
      <c r="F57" s="785"/>
      <c r="G57" s="785"/>
      <c r="H57" s="779"/>
      <c r="I57" s="787"/>
      <c r="J57" s="787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77"/>
      <c r="F58" s="777"/>
      <c r="G58" s="77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77"/>
      <c r="F59" s="777"/>
      <c r="G59" s="777"/>
      <c r="H59" s="574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77"/>
      <c r="F60" s="777"/>
      <c r="G60" s="777"/>
      <c r="H60" s="575">
        <v>99912045.450000003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77"/>
      <c r="F61" s="19"/>
      <c r="G61" s="19"/>
      <c r="K61" s="19"/>
      <c r="M61" s="21"/>
      <c r="N61" s="21"/>
      <c r="O61" s="21"/>
    </row>
    <row r="62" spans="1:15" s="1" customFormat="1" x14ac:dyDescent="0.2">
      <c r="A62" s="30"/>
      <c r="B62" s="443"/>
      <c r="E62" s="777"/>
      <c r="F62" s="790"/>
      <c r="G62" s="790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85"/>
      <c r="F63" s="19"/>
      <c r="G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84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I65" s="952" t="s">
        <v>380</v>
      </c>
      <c r="J65" s="953"/>
      <c r="K65" s="32"/>
      <c r="L65" s="2"/>
      <c r="N65" s="2"/>
      <c r="O65" s="2"/>
      <c r="P65" s="952" t="s">
        <v>23</v>
      </c>
      <c r="Q65" s="954"/>
    </row>
    <row r="66" spans="1:17" x14ac:dyDescent="0.2">
      <c r="L66" s="2"/>
      <c r="N66" s="2"/>
      <c r="O66" s="2"/>
    </row>
    <row r="67" spans="1:17" x14ac:dyDescent="0.2">
      <c r="I67" s="748">
        <f>I$1</f>
        <v>2014</v>
      </c>
      <c r="J67" s="748">
        <f>J$1</f>
        <v>2015</v>
      </c>
      <c r="K67" s="54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7"/>
      <c r="I68" s="805" t="s">
        <v>20</v>
      </c>
      <c r="J68" s="883" t="s">
        <v>21</v>
      </c>
      <c r="K68" s="108"/>
      <c r="L68" s="2"/>
      <c r="M68" s="21"/>
      <c r="N68" s="2"/>
      <c r="O68" s="2"/>
      <c r="P68" s="749" t="str">
        <f>P3</f>
        <v>Forecast</v>
      </c>
      <c r="Q68" s="726" t="str">
        <f>Q3</f>
        <v>Forecast</v>
      </c>
    </row>
    <row r="69" spans="1:17" x14ac:dyDescent="0.2">
      <c r="B69" s="1"/>
      <c r="I69" s="884" t="s">
        <v>22</v>
      </c>
      <c r="J69" s="884" t="s">
        <v>22</v>
      </c>
      <c r="K69" s="108"/>
      <c r="L69" s="2"/>
      <c r="M69" s="21"/>
      <c r="N69" s="2"/>
      <c r="O69" s="2"/>
      <c r="P69" s="729"/>
      <c r="Q69" s="731"/>
    </row>
    <row r="70" spans="1:17" x14ac:dyDescent="0.2">
      <c r="B70" s="89"/>
      <c r="I70" s="732"/>
      <c r="J70" s="733"/>
      <c r="K70" s="2"/>
      <c r="L70" s="2"/>
      <c r="M70" s="21"/>
      <c r="N70" s="2"/>
      <c r="O70" s="2"/>
      <c r="P70" s="732"/>
      <c r="Q70" s="721"/>
    </row>
    <row r="71" spans="1:17" x14ac:dyDescent="0.2">
      <c r="A71" s="88" t="s">
        <v>24</v>
      </c>
      <c r="B71" s="89"/>
      <c r="I71" s="339" t="s">
        <v>25</v>
      </c>
      <c r="J71" s="121"/>
      <c r="K71" s="118"/>
      <c r="L71" s="2"/>
      <c r="M71" s="21"/>
      <c r="N71" s="2"/>
      <c r="O71" s="2"/>
      <c r="P71" s="23"/>
      <c r="Q71" s="721"/>
    </row>
    <row r="72" spans="1:17" x14ac:dyDescent="0.2">
      <c r="A72" s="82" t="s">
        <v>26</v>
      </c>
      <c r="B72" s="53"/>
      <c r="I72" s="738">
        <f>'Data 2009-15 (Real $2008)'!I72</f>
        <v>0</v>
      </c>
      <c r="J72" s="333"/>
      <c r="K72" s="119"/>
      <c r="L72" s="2"/>
      <c r="M72" s="21"/>
      <c r="N72" s="2"/>
      <c r="O72" s="2"/>
      <c r="P72" s="77"/>
      <c r="Q72" s="73"/>
    </row>
    <row r="73" spans="1:17" x14ac:dyDescent="0.2">
      <c r="A73" s="82" t="s">
        <v>27</v>
      </c>
      <c r="B73" s="444"/>
      <c r="I73" s="738">
        <f>'Data 2009-15 (Real $2008)'!I73</f>
        <v>0</v>
      </c>
      <c r="J73" s="333"/>
      <c r="K73" s="119"/>
      <c r="L73" s="2"/>
      <c r="M73" s="21"/>
      <c r="N73" s="2"/>
      <c r="O73" s="2"/>
      <c r="P73" s="77"/>
      <c r="Q73" s="73"/>
    </row>
    <row r="74" spans="1:17" x14ac:dyDescent="0.2">
      <c r="A74" s="551" t="s">
        <v>370</v>
      </c>
      <c r="B74" s="2"/>
      <c r="I74" s="738">
        <f>'Data 2009-15 (Real $2008)'!I74</f>
        <v>0</v>
      </c>
      <c r="J74" s="333"/>
      <c r="K74" s="119"/>
      <c r="L74" s="2"/>
      <c r="M74" s="21"/>
      <c r="N74" s="2"/>
      <c r="O74" s="2"/>
      <c r="P74" s="77"/>
      <c r="Q74" s="73"/>
    </row>
    <row r="75" spans="1:17" x14ac:dyDescent="0.2">
      <c r="A75" s="551" t="s">
        <v>371</v>
      </c>
      <c r="I75" s="738">
        <f>'Data 2009-15 (Real $2008)'!I75</f>
        <v>0</v>
      </c>
      <c r="J75" s="333"/>
      <c r="K75" s="119"/>
      <c r="L75" s="2"/>
      <c r="M75" s="21"/>
      <c r="N75" s="2"/>
      <c r="O75" s="2"/>
      <c r="P75" s="77"/>
      <c r="Q75" s="73"/>
    </row>
    <row r="76" spans="1:17" x14ac:dyDescent="0.2">
      <c r="A76" s="551" t="s">
        <v>372</v>
      </c>
      <c r="I76" s="738">
        <f>'Data 2009-15 (Real $2008)'!I76</f>
        <v>0</v>
      </c>
      <c r="J76" s="333"/>
      <c r="K76" s="119"/>
      <c r="L76" s="2"/>
      <c r="M76" s="21"/>
      <c r="N76" s="2"/>
      <c r="O76" s="2"/>
      <c r="P76" s="77"/>
      <c r="Q76" s="73"/>
    </row>
    <row r="77" spans="1:17" x14ac:dyDescent="0.2">
      <c r="A77" s="551" t="s">
        <v>373</v>
      </c>
      <c r="B77" s="2"/>
      <c r="I77" s="738">
        <f>'Data 2009-15 (Real $2008)'!I77</f>
        <v>0</v>
      </c>
      <c r="J77" s="333"/>
      <c r="K77" s="119"/>
      <c r="L77" s="2"/>
      <c r="M77" s="21"/>
      <c r="N77" s="2"/>
      <c r="O77" s="2"/>
      <c r="P77" s="77"/>
      <c r="Q77" s="73"/>
    </row>
    <row r="78" spans="1:17" x14ac:dyDescent="0.2">
      <c r="A78" s="551" t="s">
        <v>374</v>
      </c>
      <c r="B78" s="86"/>
      <c r="I78" s="738">
        <f>'Data 2009-15 (Real $2008)'!I78</f>
        <v>0</v>
      </c>
      <c r="J78" s="333"/>
      <c r="K78" s="119"/>
      <c r="L78" s="2"/>
      <c r="M78" s="21"/>
      <c r="N78" s="2"/>
      <c r="O78" s="2"/>
      <c r="P78" s="77"/>
      <c r="Q78" s="73"/>
    </row>
    <row r="79" spans="1:17" x14ac:dyDescent="0.2">
      <c r="A79" s="82"/>
      <c r="I79" s="736"/>
      <c r="J79" s="737"/>
      <c r="K79" s="2"/>
      <c r="L79" s="2"/>
      <c r="M79" s="21"/>
      <c r="N79" s="2"/>
      <c r="O79" s="2"/>
      <c r="P79" s="23"/>
      <c r="Q79" s="721"/>
    </row>
    <row r="80" spans="1:17" x14ac:dyDescent="0.2">
      <c r="A80" s="82"/>
      <c r="I80" s="736"/>
      <c r="J80" s="737"/>
      <c r="K80" s="2"/>
      <c r="L80" s="2"/>
      <c r="M80" s="21"/>
      <c r="N80" s="2"/>
      <c r="O80" s="2"/>
      <c r="P80" s="23"/>
      <c r="Q80" s="721"/>
    </row>
    <row r="81" spans="1:17" x14ac:dyDescent="0.2">
      <c r="A81" s="88" t="s">
        <v>24</v>
      </c>
      <c r="B81" s="319"/>
      <c r="I81" s="511" t="s">
        <v>28</v>
      </c>
      <c r="J81" s="335"/>
      <c r="K81" s="118"/>
      <c r="L81" s="2"/>
      <c r="M81" s="21"/>
      <c r="N81" s="2"/>
      <c r="O81" s="2"/>
      <c r="P81" s="23"/>
      <c r="Q81" s="721"/>
    </row>
    <row r="82" spans="1:17" x14ac:dyDescent="0.2">
      <c r="A82" s="82" t="s">
        <v>26</v>
      </c>
      <c r="B82" s="319"/>
      <c r="I82" s="738">
        <f>'Data 2009-15 (Real $2008)'!I82</f>
        <v>0</v>
      </c>
      <c r="J82" s="333"/>
      <c r="K82" s="119"/>
      <c r="L82" s="2"/>
      <c r="M82" s="21"/>
      <c r="N82" s="2"/>
      <c r="O82" s="2"/>
      <c r="P82" s="77"/>
      <c r="Q82" s="73"/>
    </row>
    <row r="83" spans="1:17" x14ac:dyDescent="0.2">
      <c r="A83" s="82" t="s">
        <v>27</v>
      </c>
      <c r="B83" s="431"/>
      <c r="I83" s="738">
        <f>'Data 2009-15 (Real $2008)'!I83</f>
        <v>0</v>
      </c>
      <c r="J83" s="333"/>
      <c r="K83" s="119"/>
      <c r="L83" s="2"/>
      <c r="M83" s="21"/>
      <c r="N83" s="2"/>
      <c r="O83" s="2"/>
      <c r="P83" s="77"/>
      <c r="Q83" s="73"/>
    </row>
    <row r="84" spans="1:17" x14ac:dyDescent="0.2">
      <c r="A84" s="551" t="s">
        <v>370</v>
      </c>
      <c r="I84" s="738">
        <f>'Data 2009-15 (Real $2008)'!I84</f>
        <v>0</v>
      </c>
      <c r="J84" s="333"/>
      <c r="K84" s="119"/>
      <c r="L84" s="2"/>
      <c r="M84" s="21"/>
      <c r="N84" s="2"/>
      <c r="O84" s="2"/>
      <c r="P84" s="77"/>
      <c r="Q84" s="73"/>
    </row>
    <row r="85" spans="1:17" x14ac:dyDescent="0.2">
      <c r="A85" s="551" t="s">
        <v>371</v>
      </c>
      <c r="I85" s="738">
        <f>'Data 2009-15 (Real $2008)'!I85</f>
        <v>0</v>
      </c>
      <c r="J85" s="333"/>
      <c r="K85" s="119"/>
      <c r="L85" s="2"/>
      <c r="M85" s="21"/>
      <c r="N85" s="2"/>
      <c r="O85" s="2"/>
      <c r="P85" s="77"/>
      <c r="Q85" s="73"/>
    </row>
    <row r="86" spans="1:17" x14ac:dyDescent="0.2">
      <c r="A86" s="551" t="s">
        <v>372</v>
      </c>
      <c r="I86" s="738">
        <f>'Data 2009-15 (Real $2008)'!I86</f>
        <v>0</v>
      </c>
      <c r="J86" s="333"/>
      <c r="K86" s="119"/>
      <c r="L86" s="2"/>
      <c r="M86" s="21"/>
      <c r="N86" s="2"/>
      <c r="O86" s="2"/>
      <c r="P86" s="77"/>
      <c r="Q86" s="73"/>
    </row>
    <row r="87" spans="1:17" x14ac:dyDescent="0.2">
      <c r="A87" s="551" t="s">
        <v>373</v>
      </c>
      <c r="I87" s="738">
        <f>'Data 2009-15 (Real $2008)'!I87</f>
        <v>0</v>
      </c>
      <c r="J87" s="333"/>
      <c r="K87" s="119"/>
      <c r="L87" s="2"/>
      <c r="M87" s="21"/>
      <c r="N87" s="2"/>
      <c r="O87" s="2"/>
      <c r="P87" s="77"/>
      <c r="Q87" s="73"/>
    </row>
    <row r="88" spans="1:17" x14ac:dyDescent="0.2">
      <c r="A88" s="551" t="s">
        <v>374</v>
      </c>
      <c r="B88" s="106"/>
      <c r="I88" s="738">
        <f>'Data 2009-15 (Real $2008)'!I88</f>
        <v>0</v>
      </c>
      <c r="J88" s="333"/>
      <c r="K88" s="119"/>
      <c r="L88" s="2"/>
      <c r="M88" s="21"/>
      <c r="N88" s="2"/>
      <c r="O88" s="2"/>
      <c r="P88" s="77"/>
      <c r="Q88" s="73"/>
    </row>
    <row r="89" spans="1:17" x14ac:dyDescent="0.2">
      <c r="A89" s="82"/>
      <c r="B89" s="86"/>
      <c r="I89" s="736"/>
      <c r="J89" s="737"/>
      <c r="K89" s="2"/>
      <c r="L89" s="2"/>
      <c r="M89" s="21"/>
      <c r="N89" s="2"/>
      <c r="O89" s="2"/>
      <c r="P89" s="23"/>
      <c r="Q89" s="721"/>
    </row>
    <row r="90" spans="1:17" x14ac:dyDescent="0.2">
      <c r="A90" s="82"/>
      <c r="B90" s="91"/>
      <c r="I90" s="736"/>
      <c r="J90" s="737"/>
      <c r="K90" s="2"/>
      <c r="L90" s="2"/>
      <c r="M90" s="21"/>
      <c r="N90" s="2"/>
      <c r="O90" s="2"/>
      <c r="P90" s="23"/>
      <c r="Q90" s="721"/>
    </row>
    <row r="91" spans="1:17" x14ac:dyDescent="0.2">
      <c r="A91" s="88" t="s">
        <v>29</v>
      </c>
      <c r="B91" s="91"/>
      <c r="I91" s="339" t="s">
        <v>25</v>
      </c>
      <c r="J91" s="335"/>
      <c r="K91" s="118"/>
      <c r="L91" s="2"/>
      <c r="M91" s="21"/>
      <c r="N91" s="2"/>
      <c r="O91" s="2"/>
      <c r="P91" s="23"/>
      <c r="Q91" s="721"/>
    </row>
    <row r="92" spans="1:17" x14ac:dyDescent="0.2">
      <c r="A92" s="82" t="s">
        <v>30</v>
      </c>
      <c r="B92" s="89"/>
      <c r="I92" s="738">
        <f>'Data 2009-15 (Real $2008)'!I92</f>
        <v>0</v>
      </c>
      <c r="J92" s="333"/>
      <c r="K92" s="119"/>
      <c r="L92" s="2"/>
      <c r="M92" s="21"/>
      <c r="N92" s="2"/>
      <c r="O92" s="2"/>
      <c r="P92" s="77"/>
      <c r="Q92" s="73"/>
    </row>
    <row r="93" spans="1:17" x14ac:dyDescent="0.2">
      <c r="A93" s="82" t="s">
        <v>31</v>
      </c>
      <c r="B93" s="84"/>
      <c r="I93" s="738">
        <f>'Data 2009-15 (Real $2008)'!I93</f>
        <v>0</v>
      </c>
      <c r="J93" s="333"/>
      <c r="K93" s="119"/>
      <c r="L93" s="2"/>
      <c r="M93" s="21"/>
      <c r="N93" s="2"/>
      <c r="O93" s="2"/>
      <c r="P93" s="77"/>
      <c r="Q93" s="73"/>
    </row>
    <row r="94" spans="1:17" x14ac:dyDescent="0.2">
      <c r="A94" s="82" t="s">
        <v>32</v>
      </c>
      <c r="B94" s="89"/>
      <c r="I94" s="738">
        <f>'Data 2009-15 (Real $2008)'!I94</f>
        <v>0</v>
      </c>
      <c r="J94" s="333"/>
      <c r="K94" s="119"/>
      <c r="L94" s="2"/>
      <c r="M94" s="21"/>
      <c r="N94" s="2"/>
      <c r="O94" s="2"/>
      <c r="P94" s="77"/>
      <c r="Q94" s="73"/>
    </row>
    <row r="95" spans="1:17" x14ac:dyDescent="0.2">
      <c r="A95" s="82" t="s">
        <v>33</v>
      </c>
      <c r="B95" s="91"/>
      <c r="I95" s="738">
        <f>'Data 2009-15 (Real $2008)'!I95</f>
        <v>0</v>
      </c>
      <c r="J95" s="333"/>
      <c r="K95" s="119"/>
      <c r="L95" s="2"/>
      <c r="M95" s="21"/>
      <c r="N95" s="2"/>
      <c r="O95" s="2"/>
      <c r="P95" s="77"/>
      <c r="Q95" s="73"/>
    </row>
    <row r="96" spans="1:17" x14ac:dyDescent="0.2">
      <c r="A96" s="82" t="s">
        <v>34</v>
      </c>
      <c r="B96" s="91"/>
      <c r="I96" s="738">
        <f>'Data 2009-15 (Real $2008)'!I96</f>
        <v>0</v>
      </c>
      <c r="J96" s="333"/>
      <c r="K96" s="119"/>
      <c r="L96" s="2"/>
      <c r="M96" s="21"/>
      <c r="N96" s="2"/>
      <c r="O96" s="2"/>
      <c r="P96" s="77"/>
      <c r="Q96" s="73"/>
    </row>
    <row r="97" spans="1:17" x14ac:dyDescent="0.2">
      <c r="A97" s="82" t="s">
        <v>35</v>
      </c>
      <c r="B97" s="91"/>
      <c r="I97" s="738">
        <f>'Data 2009-15 (Real $2008)'!I97</f>
        <v>0</v>
      </c>
      <c r="J97" s="333"/>
      <c r="K97" s="119"/>
      <c r="L97" s="2"/>
      <c r="M97" s="21"/>
      <c r="N97" s="2"/>
      <c r="O97" s="2"/>
      <c r="P97" s="77"/>
      <c r="Q97" s="73"/>
    </row>
    <row r="98" spans="1:17" x14ac:dyDescent="0.2">
      <c r="A98" s="551" t="s">
        <v>370</v>
      </c>
      <c r="B98" s="91"/>
      <c r="I98" s="738">
        <f>'Data 2009-15 (Real $2008)'!I98</f>
        <v>0</v>
      </c>
      <c r="J98" s="333"/>
      <c r="K98" s="119"/>
      <c r="L98" s="2"/>
      <c r="M98" s="21"/>
      <c r="N98" s="2"/>
      <c r="O98" s="2"/>
      <c r="P98" s="77"/>
      <c r="Q98" s="73"/>
    </row>
    <row r="99" spans="1:17" x14ac:dyDescent="0.2">
      <c r="A99" s="551" t="s">
        <v>371</v>
      </c>
      <c r="B99" s="91"/>
      <c r="I99" s="738">
        <f>'Data 2009-15 (Real $2008)'!I99</f>
        <v>0</v>
      </c>
      <c r="J99" s="333"/>
      <c r="K99" s="119"/>
      <c r="L99" s="2"/>
      <c r="M99" s="21"/>
      <c r="N99" s="2"/>
      <c r="O99" s="2"/>
      <c r="P99" s="77"/>
      <c r="Q99" s="73"/>
    </row>
    <row r="100" spans="1:17" x14ac:dyDescent="0.2">
      <c r="A100" s="551" t="s">
        <v>372</v>
      </c>
      <c r="B100" s="91"/>
      <c r="I100" s="738">
        <f>'Data 2009-15 (Real $2008)'!I100</f>
        <v>0</v>
      </c>
      <c r="J100" s="333"/>
      <c r="K100" s="119"/>
      <c r="L100" s="2"/>
      <c r="M100" s="21"/>
      <c r="N100" s="2"/>
      <c r="O100" s="2"/>
      <c r="P100" s="77"/>
      <c r="Q100" s="73"/>
    </row>
    <row r="101" spans="1:17" x14ac:dyDescent="0.2">
      <c r="A101" s="551" t="s">
        <v>373</v>
      </c>
      <c r="B101" s="91"/>
      <c r="I101" s="738">
        <f>'Data 2009-15 (Real $2008)'!I101</f>
        <v>0</v>
      </c>
      <c r="J101" s="333"/>
      <c r="K101" s="119"/>
      <c r="L101" s="2"/>
      <c r="M101" s="21"/>
      <c r="N101" s="2"/>
      <c r="O101" s="2"/>
      <c r="P101" s="77"/>
      <c r="Q101" s="73"/>
    </row>
    <row r="102" spans="1:17" x14ac:dyDescent="0.2">
      <c r="A102" s="551" t="s">
        <v>374</v>
      </c>
      <c r="B102" s="91"/>
      <c r="I102" s="738">
        <f>'Data 2009-15 (Real $2008)'!I102</f>
        <v>0</v>
      </c>
      <c r="J102" s="333"/>
      <c r="K102" s="119"/>
      <c r="L102" s="2"/>
      <c r="M102" s="21"/>
      <c r="N102" s="2"/>
      <c r="O102" s="2"/>
      <c r="P102" s="77"/>
      <c r="Q102" s="73"/>
    </row>
    <row r="103" spans="1:17" x14ac:dyDescent="0.2">
      <c r="A103" s="82"/>
      <c r="B103" s="91"/>
      <c r="I103" s="736"/>
      <c r="J103" s="737"/>
      <c r="K103" s="2"/>
      <c r="L103" s="2"/>
      <c r="M103" s="21"/>
      <c r="N103" s="2"/>
      <c r="O103" s="2"/>
      <c r="P103" s="23"/>
      <c r="Q103" s="721"/>
    </row>
    <row r="104" spans="1:17" x14ac:dyDescent="0.2">
      <c r="A104" s="82"/>
      <c r="B104" s="91"/>
      <c r="I104" s="736"/>
      <c r="J104" s="737"/>
      <c r="K104" s="2"/>
      <c r="L104" s="2"/>
      <c r="M104" s="21"/>
      <c r="N104" s="2"/>
      <c r="O104" s="2"/>
      <c r="P104" s="23"/>
      <c r="Q104" s="721"/>
    </row>
    <row r="105" spans="1:17" x14ac:dyDescent="0.2">
      <c r="A105" s="88" t="s">
        <v>29</v>
      </c>
      <c r="I105" s="511" t="s">
        <v>28</v>
      </c>
      <c r="J105" s="335"/>
      <c r="K105" s="118"/>
      <c r="L105" s="2"/>
      <c r="M105" s="21"/>
      <c r="N105" s="2"/>
      <c r="O105" s="2"/>
      <c r="P105" s="23"/>
      <c r="Q105" s="721"/>
    </row>
    <row r="106" spans="1:17" x14ac:dyDescent="0.2">
      <c r="A106" s="82" t="s">
        <v>30</v>
      </c>
      <c r="B106" s="91"/>
      <c r="I106" s="738">
        <f>'Data 2009-15 (Real $2008)'!I106</f>
        <v>0</v>
      </c>
      <c r="J106" s="333"/>
      <c r="K106" s="119"/>
      <c r="L106" s="2"/>
      <c r="M106" s="21"/>
      <c r="N106" s="2"/>
      <c r="O106" s="2"/>
      <c r="P106" s="77"/>
      <c r="Q106" s="73"/>
    </row>
    <row r="107" spans="1:17" x14ac:dyDescent="0.2">
      <c r="A107" s="82" t="s">
        <v>31</v>
      </c>
      <c r="B107" s="91"/>
      <c r="I107" s="738">
        <f>'Data 2009-15 (Real $2008)'!I107</f>
        <v>0</v>
      </c>
      <c r="J107" s="333"/>
      <c r="K107" s="119"/>
      <c r="L107" s="2"/>
      <c r="M107" s="21"/>
      <c r="N107" s="2"/>
      <c r="O107" s="2"/>
      <c r="P107" s="77"/>
      <c r="Q107" s="73"/>
    </row>
    <row r="108" spans="1:17" x14ac:dyDescent="0.2">
      <c r="A108" s="82" t="s">
        <v>32</v>
      </c>
      <c r="B108" s="91"/>
      <c r="I108" s="738">
        <f>'Data 2009-15 (Real $2008)'!I108</f>
        <v>0</v>
      </c>
      <c r="J108" s="333"/>
      <c r="K108" s="119"/>
      <c r="L108" s="2"/>
      <c r="M108" s="21"/>
      <c r="N108" s="2"/>
      <c r="O108" s="2"/>
      <c r="P108" s="77"/>
      <c r="Q108" s="73"/>
    </row>
    <row r="109" spans="1:17" x14ac:dyDescent="0.2">
      <c r="A109" s="82" t="s">
        <v>33</v>
      </c>
      <c r="B109" s="91"/>
      <c r="I109" s="738">
        <f>'Data 2009-15 (Real $2008)'!I109</f>
        <v>0</v>
      </c>
      <c r="J109" s="333"/>
      <c r="K109" s="119"/>
      <c r="L109" s="2"/>
      <c r="M109" s="21"/>
      <c r="N109" s="2"/>
      <c r="O109" s="2"/>
      <c r="P109" s="77"/>
      <c r="Q109" s="73"/>
    </row>
    <row r="110" spans="1:17" x14ac:dyDescent="0.2">
      <c r="A110" s="82" t="s">
        <v>34</v>
      </c>
      <c r="B110" s="91"/>
      <c r="I110" s="738">
        <f>'Data 2009-15 (Real $2008)'!I110</f>
        <v>0</v>
      </c>
      <c r="J110" s="333"/>
      <c r="K110" s="119"/>
      <c r="L110" s="2"/>
      <c r="M110" s="21"/>
      <c r="N110" s="2"/>
      <c r="O110" s="2"/>
      <c r="P110" s="77"/>
      <c r="Q110" s="73"/>
    </row>
    <row r="111" spans="1:17" x14ac:dyDescent="0.2">
      <c r="A111" s="82" t="s">
        <v>35</v>
      </c>
      <c r="B111" s="89"/>
      <c r="I111" s="738">
        <f>'Data 2009-15 (Real $2008)'!I111</f>
        <v>0</v>
      </c>
      <c r="J111" s="333"/>
      <c r="K111" s="119"/>
      <c r="L111" s="2"/>
      <c r="M111" s="21"/>
      <c r="N111" s="2"/>
      <c r="O111" s="2"/>
      <c r="P111" s="77"/>
      <c r="Q111" s="73"/>
    </row>
    <row r="112" spans="1:17" x14ac:dyDescent="0.2">
      <c r="A112" s="551" t="s">
        <v>375</v>
      </c>
      <c r="B112" s="89"/>
      <c r="I112" s="738">
        <f>'Data 2009-15 (Real $2008)'!I112</f>
        <v>115.27</v>
      </c>
      <c r="J112" s="333">
        <v>109.4</v>
      </c>
      <c r="K112" s="119"/>
      <c r="L112" s="2"/>
      <c r="M112" s="21"/>
      <c r="N112" s="2"/>
      <c r="O112" s="2"/>
      <c r="P112" s="77">
        <v>627651.41215236764</v>
      </c>
      <c r="Q112" s="73">
        <v>637222.32996039581</v>
      </c>
    </row>
    <row r="113" spans="1:17" x14ac:dyDescent="0.2">
      <c r="A113" s="551" t="s">
        <v>290</v>
      </c>
      <c r="B113" s="89"/>
      <c r="I113" s="738">
        <f>'Data 2009-15 (Real $2008)'!I113</f>
        <v>152.04</v>
      </c>
      <c r="J113" s="333">
        <v>144.30000000000001</v>
      </c>
      <c r="K113" s="119"/>
      <c r="L113" s="2"/>
      <c r="M113" s="21"/>
      <c r="N113" s="2"/>
      <c r="O113" s="2"/>
      <c r="P113" s="77">
        <v>119645.55101336956</v>
      </c>
      <c r="Q113" s="73">
        <v>121090.9262866326</v>
      </c>
    </row>
    <row r="114" spans="1:17" x14ac:dyDescent="0.2">
      <c r="A114" s="551" t="s">
        <v>291</v>
      </c>
      <c r="B114" s="89"/>
      <c r="I114" s="738">
        <f>'Data 2009-15 (Real $2008)'!I114</f>
        <v>201.47</v>
      </c>
      <c r="J114" s="333">
        <v>191.55</v>
      </c>
      <c r="K114" s="119"/>
      <c r="L114" s="2"/>
      <c r="M114" s="21"/>
      <c r="N114" s="2"/>
      <c r="O114" s="2"/>
      <c r="P114" s="77">
        <v>4485.4476854641198</v>
      </c>
      <c r="Q114" s="73">
        <v>4585.1865444224395</v>
      </c>
    </row>
    <row r="115" spans="1:17" x14ac:dyDescent="0.2">
      <c r="A115" s="551" t="s">
        <v>373</v>
      </c>
      <c r="I115" s="738">
        <f>'Data 2009-15 (Real $2008)'!I115</f>
        <v>0</v>
      </c>
      <c r="J115" s="333"/>
      <c r="K115" s="119"/>
      <c r="L115" s="2"/>
      <c r="M115" s="21"/>
      <c r="N115" s="2"/>
      <c r="O115" s="2"/>
      <c r="P115" s="77"/>
      <c r="Q115" s="73"/>
    </row>
    <row r="116" spans="1:17" x14ac:dyDescent="0.2">
      <c r="A116" s="551" t="s">
        <v>374</v>
      </c>
      <c r="B116" s="58"/>
      <c r="I116" s="750">
        <f>'Data 2009-15 (Real $2008)'!I116</f>
        <v>0</v>
      </c>
      <c r="J116" s="336"/>
      <c r="K116" s="119"/>
      <c r="L116" s="2"/>
      <c r="M116" s="21"/>
      <c r="N116" s="2"/>
      <c r="O116" s="2"/>
      <c r="P116" s="78"/>
      <c r="Q116" s="79"/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800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1" spans="1:17" s="784" customFormat="1" x14ac:dyDescent="0.2">
      <c r="B121" s="830"/>
      <c r="K121" s="777"/>
      <c r="L121" s="799"/>
      <c r="M121" s="799"/>
      <c r="N121" s="799"/>
      <c r="O121" s="799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7" t="str">
        <f>'IMRO Decision 2006-10'!A1</f>
        <v>Powercor</v>
      </c>
      <c r="B1" s="578" t="s">
        <v>0</v>
      </c>
      <c r="C1" s="579" t="str">
        <f>IF(SUM(C201)&lt;0.001,"Ok","Error")</f>
        <v>Ok</v>
      </c>
      <c r="D1" s="775">
        <f>C201</f>
        <v>0</v>
      </c>
      <c r="E1" s="580"/>
      <c r="F1" s="580"/>
      <c r="G1" s="580"/>
      <c r="H1" s="580"/>
      <c r="I1" s="580"/>
      <c r="J1" s="580"/>
      <c r="K1" s="580"/>
    </row>
    <row r="2" spans="1:11" s="458" customFormat="1" ht="15" x14ac:dyDescent="0.25">
      <c r="A2" s="581"/>
      <c r="B2" s="581"/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5.75" x14ac:dyDescent="0.25">
      <c r="A3" s="807" t="s">
        <v>396</v>
      </c>
      <c r="B3" s="583"/>
    </row>
    <row r="4" spans="1:11" s="458" customFormat="1" x14ac:dyDescent="0.2">
      <c r="A4" s="584"/>
      <c r="B4" s="584"/>
    </row>
    <row r="5" spans="1:11" ht="15.75" x14ac:dyDescent="0.25">
      <c r="A5" s="955" t="s">
        <v>40</v>
      </c>
      <c r="B5" s="956"/>
      <c r="C5" s="956"/>
      <c r="D5" s="957"/>
      <c r="E5" s="957"/>
      <c r="F5" s="958"/>
    </row>
    <row r="6" spans="1:11" s="458" customFormat="1" x14ac:dyDescent="0.2">
      <c r="A6" s="585" t="s">
        <v>74</v>
      </c>
      <c r="B6" s="586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08">
        <v>2006</v>
      </c>
      <c r="E8" s="75">
        <v>2007</v>
      </c>
      <c r="F8" s="809">
        <v>2008</v>
      </c>
    </row>
    <row r="9" spans="1:11" ht="12.75" customHeight="1" x14ac:dyDescent="0.2">
      <c r="A9" s="589" t="s">
        <v>37</v>
      </c>
      <c r="B9" s="589"/>
      <c r="C9" s="34" t="s">
        <v>8</v>
      </c>
      <c r="D9" s="959" t="s">
        <v>41</v>
      </c>
      <c r="E9" s="960"/>
      <c r="F9" s="961"/>
    </row>
    <row r="10" spans="1:11" x14ac:dyDescent="0.2">
      <c r="A10" s="454" t="str">
        <f>A$161</f>
        <v>Accumulation Meters</v>
      </c>
      <c r="C10" s="810">
        <f>C161</f>
        <v>15</v>
      </c>
      <c r="D10" s="811">
        <v>3110319.3672495438</v>
      </c>
      <c r="E10" s="812">
        <v>3322720.7410121309</v>
      </c>
      <c r="F10" s="813">
        <v>3520556.3383218911</v>
      </c>
      <c r="G10" s="590"/>
    </row>
    <row r="11" spans="1:11" x14ac:dyDescent="0.2">
      <c r="A11" s="454" t="str">
        <f>A$162</f>
        <v>Manually read interval meters</v>
      </c>
      <c r="C11" s="814">
        <f>C162</f>
        <v>10</v>
      </c>
      <c r="D11" s="751">
        <v>4428728.5773323188</v>
      </c>
      <c r="E11" s="752">
        <v>3924638.6174798836</v>
      </c>
      <c r="F11" s="753">
        <v>2127705.6690441784</v>
      </c>
      <c r="G11" s="590"/>
    </row>
    <row r="12" spans="1:11" x14ac:dyDescent="0.2">
      <c r="A12" s="454" t="str">
        <f>A$163</f>
        <v>Metering Data Services (IT)</v>
      </c>
      <c r="C12" s="814">
        <f>C163</f>
        <v>5</v>
      </c>
      <c r="D12" s="751">
        <v>0</v>
      </c>
      <c r="E12" s="752">
        <v>0</v>
      </c>
      <c r="F12" s="753">
        <v>0</v>
      </c>
      <c r="G12" s="590"/>
    </row>
    <row r="13" spans="1:11" x14ac:dyDescent="0.2">
      <c r="A13" s="454" t="str">
        <f>A$164</f>
        <v>Metering Data Services (Other)</v>
      </c>
      <c r="C13" s="815">
        <f>C164</f>
        <v>5</v>
      </c>
      <c r="D13" s="816">
        <v>0</v>
      </c>
      <c r="E13" s="817">
        <v>0</v>
      </c>
      <c r="F13" s="818">
        <v>0</v>
      </c>
      <c r="G13" s="590"/>
    </row>
    <row r="14" spans="1:11" ht="13.5" thickBot="1" x14ac:dyDescent="0.25">
      <c r="A14" s="591" t="s">
        <v>45</v>
      </c>
      <c r="B14" s="591"/>
      <c r="C14" s="819"/>
      <c r="D14" s="820">
        <f>SUM(D10:D13)</f>
        <v>7539047.9445818625</v>
      </c>
      <c r="E14" s="821">
        <f>SUM(E10:E13)</f>
        <v>7247359.3584920149</v>
      </c>
      <c r="F14" s="822">
        <f>SUM(F10:F13)</f>
        <v>5648262.0073660696</v>
      </c>
      <c r="G14" s="590"/>
    </row>
    <row r="15" spans="1:11" ht="13.5" thickTop="1" x14ac:dyDescent="0.2">
      <c r="C15" s="819"/>
      <c r="D15" s="819"/>
      <c r="E15" s="819"/>
      <c r="F15" s="819"/>
    </row>
    <row r="16" spans="1:11" x14ac:dyDescent="0.2">
      <c r="C16" s="819"/>
      <c r="D16" s="819"/>
      <c r="E16" s="819"/>
      <c r="F16" s="819"/>
    </row>
    <row r="17" spans="1:6" x14ac:dyDescent="0.2">
      <c r="A17" s="455"/>
      <c r="B17" s="593"/>
      <c r="C17" s="307" t="s">
        <v>283</v>
      </c>
      <c r="D17" s="75">
        <v>2006</v>
      </c>
      <c r="E17" s="823">
        <v>2007</v>
      </c>
      <c r="F17" s="809">
        <v>2008</v>
      </c>
    </row>
    <row r="18" spans="1:6" x14ac:dyDescent="0.2">
      <c r="A18" s="594" t="s">
        <v>47</v>
      </c>
      <c r="B18" s="595"/>
      <c r="C18" s="320" t="s">
        <v>48</v>
      </c>
      <c r="D18" s="965" t="s">
        <v>22</v>
      </c>
      <c r="E18" s="960"/>
      <c r="F18" s="961"/>
    </row>
    <row r="19" spans="1:6" x14ac:dyDescent="0.2">
      <c r="A19" s="454" t="str">
        <f>A$176</f>
        <v>Standard metering (Group 1) (Unit cost &lt; $1,000)</v>
      </c>
      <c r="C19" s="824">
        <f>C176</f>
        <v>0.375</v>
      </c>
      <c r="D19" s="825">
        <f>SUM(D10:D11)-D20</f>
        <v>7539047.9445818625</v>
      </c>
      <c r="E19" s="825">
        <f>SUM(E10:E11)-E20</f>
        <v>7247359.3584920149</v>
      </c>
      <c r="F19" s="826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24">
        <f>C177</f>
        <v>0.06</v>
      </c>
      <c r="D20" s="751">
        <v>0</v>
      </c>
      <c r="E20" s="752">
        <v>0</v>
      </c>
      <c r="F20" s="753">
        <v>0</v>
      </c>
    </row>
    <row r="21" spans="1:6" x14ac:dyDescent="0.2">
      <c r="A21" s="454" t="str">
        <f>A$178</f>
        <v>IT</v>
      </c>
      <c r="B21" s="593"/>
      <c r="C21" s="824">
        <f>C178</f>
        <v>0.4</v>
      </c>
      <c r="D21" s="825">
        <f t="shared" ref="D21:F22" si="0">D12</f>
        <v>0</v>
      </c>
      <c r="E21" s="825">
        <f t="shared" si="0"/>
        <v>0</v>
      </c>
      <c r="F21" s="826">
        <f t="shared" si="0"/>
        <v>0</v>
      </c>
    </row>
    <row r="22" spans="1:6" x14ac:dyDescent="0.2">
      <c r="A22" s="590" t="str">
        <f>A$179</f>
        <v>Other</v>
      </c>
      <c r="B22" s="593"/>
      <c r="C22" s="827">
        <f>C179</f>
        <v>0.1764705882352941</v>
      </c>
      <c r="D22" s="825">
        <f t="shared" si="0"/>
        <v>0</v>
      </c>
      <c r="E22" s="825">
        <f t="shared" si="0"/>
        <v>0</v>
      </c>
      <c r="F22" s="826">
        <f t="shared" si="0"/>
        <v>0</v>
      </c>
    </row>
    <row r="23" spans="1:6" ht="13.5" thickBot="1" x14ac:dyDescent="0.25">
      <c r="A23" s="591" t="s">
        <v>45</v>
      </c>
      <c r="B23" s="591"/>
      <c r="C23" s="819"/>
      <c r="D23" s="820">
        <f>SUM(D19:D22)</f>
        <v>7539047.9445818625</v>
      </c>
      <c r="E23" s="821">
        <f>SUM(E19:E22)</f>
        <v>7247359.3584920149</v>
      </c>
      <c r="F23" s="822">
        <f>SUM(F19:F22)</f>
        <v>5648262.0073660696</v>
      </c>
    </row>
    <row r="24" spans="1:6" ht="13.5" thickTop="1" x14ac:dyDescent="0.2">
      <c r="C24" s="819"/>
      <c r="D24" s="819"/>
      <c r="E24" s="819"/>
      <c r="F24" s="819"/>
    </row>
    <row r="25" spans="1:6" x14ac:dyDescent="0.2">
      <c r="C25" s="819"/>
      <c r="D25" s="819"/>
      <c r="E25" s="819"/>
      <c r="F25" s="819"/>
    </row>
    <row r="26" spans="1:6" x14ac:dyDescent="0.2">
      <c r="C26" s="819"/>
      <c r="D26" s="808">
        <v>2006</v>
      </c>
      <c r="E26" s="75">
        <v>2007</v>
      </c>
      <c r="F26" s="809">
        <v>2008</v>
      </c>
    </row>
    <row r="27" spans="1:6" ht="12.75" customHeight="1" x14ac:dyDescent="0.2">
      <c r="A27" s="87" t="s">
        <v>266</v>
      </c>
      <c r="B27" s="446"/>
      <c r="C27" s="819"/>
      <c r="D27" s="962" t="s">
        <v>22</v>
      </c>
      <c r="E27" s="963"/>
      <c r="F27" s="964" t="s">
        <v>46</v>
      </c>
    </row>
    <row r="28" spans="1:6" x14ac:dyDescent="0.2">
      <c r="A28" s="454" t="s">
        <v>126</v>
      </c>
      <c r="C28" s="819"/>
      <c r="D28" s="811">
        <v>74998.116624314891</v>
      </c>
      <c r="E28" s="812">
        <v>0</v>
      </c>
      <c r="F28" s="813">
        <v>0</v>
      </c>
    </row>
    <row r="29" spans="1:6" x14ac:dyDescent="0.2">
      <c r="A29" s="454" t="s">
        <v>5</v>
      </c>
      <c r="C29" s="819"/>
      <c r="D29" s="816">
        <v>0</v>
      </c>
      <c r="E29" s="817">
        <v>0</v>
      </c>
      <c r="F29" s="818">
        <v>0</v>
      </c>
    </row>
    <row r="30" spans="1:6" x14ac:dyDescent="0.2">
      <c r="C30" s="819"/>
      <c r="D30" s="819"/>
      <c r="E30" s="819"/>
      <c r="F30" s="819"/>
    </row>
    <row r="31" spans="1:6" x14ac:dyDescent="0.2">
      <c r="C31" s="819"/>
      <c r="D31" s="819"/>
      <c r="E31" s="819"/>
      <c r="F31" s="819"/>
    </row>
    <row r="32" spans="1:6" x14ac:dyDescent="0.2">
      <c r="A32" s="597" t="s">
        <v>281</v>
      </c>
      <c r="B32" s="598"/>
      <c r="C32" s="819"/>
      <c r="D32" s="819"/>
      <c r="E32" s="819"/>
      <c r="F32" s="819"/>
    </row>
    <row r="33" spans="1:6" x14ac:dyDescent="0.2">
      <c r="A33" s="458" t="s">
        <v>294</v>
      </c>
      <c r="C33" s="828" t="s">
        <v>287</v>
      </c>
      <c r="D33" s="819"/>
      <c r="E33" s="819"/>
      <c r="F33" s="819"/>
    </row>
    <row r="34" spans="1:6" x14ac:dyDescent="0.2">
      <c r="A34" s="454" t="s">
        <v>295</v>
      </c>
      <c r="C34" s="829">
        <v>2013</v>
      </c>
      <c r="D34" s="819"/>
      <c r="E34" s="819"/>
      <c r="F34" s="819"/>
    </row>
    <row r="35" spans="1:6" x14ac:dyDescent="0.2">
      <c r="C35" s="819"/>
      <c r="D35" s="819"/>
      <c r="E35" s="819"/>
      <c r="F35" s="819"/>
    </row>
    <row r="36" spans="1:6" x14ac:dyDescent="0.2">
      <c r="C36" s="819"/>
      <c r="D36" s="819"/>
      <c r="E36" s="819"/>
      <c r="F36" s="819"/>
    </row>
    <row r="37" spans="1:6" x14ac:dyDescent="0.2">
      <c r="C37" s="819"/>
      <c r="D37" s="808">
        <v>2006</v>
      </c>
      <c r="E37" s="823">
        <v>2007</v>
      </c>
      <c r="F37" s="809">
        <v>2008</v>
      </c>
    </row>
    <row r="38" spans="1:6" ht="12.75" customHeight="1" x14ac:dyDescent="0.2">
      <c r="A38" s="87" t="s">
        <v>264</v>
      </c>
      <c r="B38" s="446"/>
      <c r="C38" s="819"/>
      <c r="D38" s="959" t="s">
        <v>73</v>
      </c>
      <c r="E38" s="960"/>
      <c r="F38" s="961"/>
    </row>
    <row r="39" spans="1:6" s="458" customFormat="1" ht="12.75" customHeight="1" x14ac:dyDescent="0.2">
      <c r="A39" s="599" t="s">
        <v>159</v>
      </c>
      <c r="B39" s="600"/>
      <c r="C39" s="830"/>
      <c r="D39" s="831"/>
      <c r="E39" s="832"/>
      <c r="F39" s="833"/>
    </row>
    <row r="40" spans="1:6" x14ac:dyDescent="0.2">
      <c r="A40" s="454" t="s">
        <v>160</v>
      </c>
      <c r="C40" s="834" t="s">
        <v>276</v>
      </c>
      <c r="D40" s="751">
        <v>845937.06489649508</v>
      </c>
      <c r="E40" s="752">
        <v>996010.34727968555</v>
      </c>
      <c r="F40" s="753">
        <v>707136.82785838749</v>
      </c>
    </row>
    <row r="41" spans="1:6" x14ac:dyDescent="0.2">
      <c r="A41" s="454" t="s">
        <v>90</v>
      </c>
      <c r="C41" s="834" t="s">
        <v>275</v>
      </c>
      <c r="D41" s="751">
        <v>1239098.503989053</v>
      </c>
      <c r="E41" s="752">
        <v>1212055.5811555262</v>
      </c>
      <c r="F41" s="753">
        <v>884890.27122668817</v>
      </c>
    </row>
    <row r="42" spans="1:6" x14ac:dyDescent="0.2">
      <c r="A42" s="454" t="s">
        <v>45</v>
      </c>
      <c r="C42" s="819"/>
      <c r="D42" s="835">
        <f>SUM(D40:D41)</f>
        <v>2085035.568885548</v>
      </c>
      <c r="E42" s="836">
        <f>SUM(E40:E41)</f>
        <v>2208065.928435212</v>
      </c>
      <c r="F42" s="837">
        <f>SUM(F40:F41)</f>
        <v>1592027.0990850758</v>
      </c>
    </row>
    <row r="43" spans="1:6" x14ac:dyDescent="0.2">
      <c r="C43" s="819"/>
      <c r="D43" s="838"/>
      <c r="E43" s="825"/>
      <c r="F43" s="826"/>
    </row>
    <row r="44" spans="1:6" x14ac:dyDescent="0.2">
      <c r="A44" s="599" t="s">
        <v>161</v>
      </c>
      <c r="B44" s="600"/>
      <c r="C44" s="819"/>
      <c r="D44" s="838"/>
      <c r="E44" s="825"/>
      <c r="F44" s="826"/>
    </row>
    <row r="45" spans="1:6" x14ac:dyDescent="0.2">
      <c r="A45" s="454" t="s">
        <v>24</v>
      </c>
      <c r="C45" s="834" t="s">
        <v>276</v>
      </c>
      <c r="D45" s="751">
        <v>4990149.8962514158</v>
      </c>
      <c r="E45" s="752">
        <v>4950865.0806182912</v>
      </c>
      <c r="F45" s="753">
        <v>5341167.6142753046</v>
      </c>
    </row>
    <row r="46" spans="1:6" x14ac:dyDescent="0.2">
      <c r="A46" s="454" t="s">
        <v>269</v>
      </c>
      <c r="C46" s="834" t="s">
        <v>276</v>
      </c>
      <c r="D46" s="751">
        <v>239142.0949747758</v>
      </c>
      <c r="E46" s="752">
        <v>207431.66436038926</v>
      </c>
      <c r="F46" s="753">
        <v>334398.38757395191</v>
      </c>
    </row>
    <row r="47" spans="1:6" x14ac:dyDescent="0.2">
      <c r="A47" s="603" t="s">
        <v>54</v>
      </c>
      <c r="B47" s="593"/>
      <c r="C47" s="834" t="s">
        <v>275</v>
      </c>
      <c r="D47" s="751">
        <v>113778.50490563316</v>
      </c>
      <c r="E47" s="752">
        <v>97822.167596246582</v>
      </c>
      <c r="F47" s="753">
        <v>39422.778339117649</v>
      </c>
    </row>
    <row r="48" spans="1:6" x14ac:dyDescent="0.2">
      <c r="A48" s="454" t="s">
        <v>45</v>
      </c>
      <c r="C48" s="819"/>
      <c r="D48" s="835">
        <f>SUM(D45:D47)</f>
        <v>5343070.4961318243</v>
      </c>
      <c r="E48" s="836">
        <f>SUM(E45:E47)</f>
        <v>5256118.9125749264</v>
      </c>
      <c r="F48" s="837">
        <f>SUM(F45:F47)</f>
        <v>5714988.7801883742</v>
      </c>
    </row>
    <row r="49" spans="1:6" x14ac:dyDescent="0.2">
      <c r="A49" s="455"/>
      <c r="B49" s="593"/>
      <c r="C49" s="819"/>
      <c r="D49" s="839"/>
      <c r="E49" s="840"/>
      <c r="F49" s="841"/>
    </row>
    <row r="50" spans="1:6" ht="13.5" thickBot="1" x14ac:dyDescent="0.25">
      <c r="A50" s="603" t="s">
        <v>265</v>
      </c>
      <c r="B50" s="593"/>
      <c r="C50" s="842"/>
      <c r="D50" s="820">
        <f>SUM(D42,D48)</f>
        <v>7428106.0650173724</v>
      </c>
      <c r="E50" s="821">
        <f>SUM(E42,E48)</f>
        <v>7464184.8410101384</v>
      </c>
      <c r="F50" s="843">
        <f>SUM(F42,F48)</f>
        <v>7307015.87927345</v>
      </c>
    </row>
    <row r="51" spans="1:6" ht="13.5" thickTop="1" x14ac:dyDescent="0.2">
      <c r="C51" s="819"/>
      <c r="D51" s="819"/>
      <c r="E51" s="819"/>
      <c r="F51" s="819"/>
    </row>
    <row r="52" spans="1:6" x14ac:dyDescent="0.2">
      <c r="C52" s="819"/>
      <c r="D52" s="819"/>
      <c r="E52" s="819"/>
      <c r="F52" s="819"/>
    </row>
    <row r="53" spans="1:6" ht="13.5" thickBot="1" x14ac:dyDescent="0.25">
      <c r="A53" s="604" t="s">
        <v>277</v>
      </c>
      <c r="B53" s="605"/>
      <c r="C53" s="819"/>
      <c r="D53" s="821">
        <f>SUM(D40,D45:D46)</f>
        <v>6075229.0561226867</v>
      </c>
      <c r="E53" s="821">
        <f>SUM(E40,E45:E46)</f>
        <v>6154307.0922583658</v>
      </c>
      <c r="F53" s="821">
        <f>SUM(F40,F45:F46)</f>
        <v>6382702.8297076439</v>
      </c>
    </row>
    <row r="54" spans="1:6" ht="13.5" thickTop="1" x14ac:dyDescent="0.2">
      <c r="A54" s="455"/>
      <c r="B54" s="593"/>
      <c r="C54" s="819"/>
      <c r="D54" s="819"/>
      <c r="E54" s="819"/>
      <c r="F54" s="819"/>
    </row>
    <row r="55" spans="1:6" x14ac:dyDescent="0.2">
      <c r="C55" s="842"/>
      <c r="D55" s="819"/>
      <c r="E55" s="819"/>
      <c r="F55" s="819"/>
    </row>
    <row r="56" spans="1:6" x14ac:dyDescent="0.2">
      <c r="A56" s="87" t="s">
        <v>278</v>
      </c>
      <c r="B56" s="446"/>
      <c r="C56" s="842"/>
      <c r="D56" s="808">
        <v>2006</v>
      </c>
      <c r="E56" s="75">
        <v>2007</v>
      </c>
      <c r="F56" s="809">
        <v>2008</v>
      </c>
    </row>
    <row r="57" spans="1:6" x14ac:dyDescent="0.2">
      <c r="A57" s="606"/>
      <c r="B57" s="607"/>
      <c r="C57" s="842"/>
      <c r="D57" s="959" t="s">
        <v>358</v>
      </c>
      <c r="E57" s="960"/>
      <c r="F57" s="961"/>
    </row>
    <row r="58" spans="1:6" x14ac:dyDescent="0.2">
      <c r="A58" s="608" t="s">
        <v>52</v>
      </c>
      <c r="B58" s="609"/>
      <c r="C58" s="842"/>
      <c r="D58" s="844"/>
      <c r="E58" s="845"/>
      <c r="F58" s="826"/>
    </row>
    <row r="59" spans="1:6" x14ac:dyDescent="0.2">
      <c r="A59" s="611" t="s">
        <v>55</v>
      </c>
      <c r="B59" s="591"/>
      <c r="C59" s="842"/>
      <c r="D59" s="751">
        <v>857970.5</v>
      </c>
      <c r="E59" s="752">
        <v>869043.5</v>
      </c>
      <c r="F59" s="753">
        <v>880173</v>
      </c>
    </row>
    <row r="60" spans="1:6" x14ac:dyDescent="0.2">
      <c r="A60" s="606"/>
      <c r="B60" s="607"/>
      <c r="C60" s="842"/>
      <c r="D60" s="844"/>
      <c r="E60" s="845"/>
      <c r="F60" s="826"/>
    </row>
    <row r="61" spans="1:6" x14ac:dyDescent="0.2">
      <c r="A61" s="608" t="s">
        <v>24</v>
      </c>
      <c r="B61" s="609"/>
      <c r="C61" s="819"/>
      <c r="D61" s="846"/>
      <c r="E61" s="842"/>
      <c r="F61" s="847"/>
    </row>
    <row r="62" spans="1:6" x14ac:dyDescent="0.2">
      <c r="A62" s="611" t="s">
        <v>270</v>
      </c>
      <c r="B62" s="591"/>
      <c r="C62" s="819"/>
      <c r="D62" s="846"/>
      <c r="E62" s="842"/>
      <c r="F62" s="847"/>
    </row>
    <row r="63" spans="1:6" x14ac:dyDescent="0.2">
      <c r="A63" s="611" t="s">
        <v>56</v>
      </c>
      <c r="B63" s="591"/>
      <c r="C63" s="819"/>
      <c r="D63" s="751">
        <v>4675.8603095692206</v>
      </c>
      <c r="E63" s="752">
        <v>4736.2071410836606</v>
      </c>
      <c r="F63" s="753">
        <v>4796.8618924012771</v>
      </c>
    </row>
    <row r="64" spans="1:6" x14ac:dyDescent="0.2">
      <c r="A64" s="611" t="s">
        <v>57</v>
      </c>
      <c r="B64" s="591"/>
      <c r="C64" s="819"/>
      <c r="D64" s="751">
        <v>820938.34478370775</v>
      </c>
      <c r="E64" s="752">
        <v>831533.40637590701</v>
      </c>
      <c r="F64" s="753">
        <v>842182.5292866251</v>
      </c>
    </row>
    <row r="65" spans="1:6" x14ac:dyDescent="0.2">
      <c r="A65" s="611" t="s">
        <v>58</v>
      </c>
      <c r="B65" s="591"/>
      <c r="C65" s="819"/>
      <c r="D65" s="751">
        <v>298.232548218538</v>
      </c>
      <c r="E65" s="752">
        <v>302.08154886182803</v>
      </c>
      <c r="F65" s="753">
        <v>305.95018903698349</v>
      </c>
    </row>
    <row r="66" spans="1:6" x14ac:dyDescent="0.2">
      <c r="A66" s="611" t="s">
        <v>59</v>
      </c>
      <c r="B66" s="591"/>
      <c r="C66" s="819"/>
      <c r="D66" s="751">
        <v>32058.062358504401</v>
      </c>
      <c r="E66" s="752">
        <v>32471.804934147411</v>
      </c>
      <c r="F66" s="753">
        <v>32887.658631936523</v>
      </c>
    </row>
    <row r="67" spans="1:6" x14ac:dyDescent="0.2">
      <c r="C67" s="819"/>
      <c r="D67" s="846"/>
      <c r="E67" s="842"/>
      <c r="F67" s="847"/>
    </row>
    <row r="68" spans="1:6" x14ac:dyDescent="0.2">
      <c r="A68" s="608" t="s">
        <v>53</v>
      </c>
      <c r="B68" s="609"/>
      <c r="C68" s="842"/>
      <c r="D68" s="844"/>
      <c r="E68" s="845"/>
      <c r="F68" s="826"/>
    </row>
    <row r="69" spans="1:6" x14ac:dyDescent="0.2">
      <c r="A69" s="611" t="s">
        <v>60</v>
      </c>
      <c r="B69" s="591"/>
      <c r="C69" s="842"/>
      <c r="D69" s="751">
        <v>6182</v>
      </c>
      <c r="E69" s="752">
        <v>7457</v>
      </c>
      <c r="F69" s="753">
        <v>6345</v>
      </c>
    </row>
    <row r="70" spans="1:6" collapsed="1" x14ac:dyDescent="0.2">
      <c r="A70" s="611"/>
      <c r="B70" s="591"/>
      <c r="C70" s="842"/>
      <c r="D70" s="848"/>
      <c r="E70" s="849"/>
      <c r="F70" s="850"/>
    </row>
    <row r="71" spans="1:6" x14ac:dyDescent="0.2">
      <c r="A71" s="611"/>
      <c r="B71" s="591"/>
      <c r="C71" s="842"/>
      <c r="D71" s="845"/>
      <c r="E71" s="845"/>
      <c r="F71" s="825"/>
    </row>
    <row r="72" spans="1:6" x14ac:dyDescent="0.2">
      <c r="A72" s="611"/>
      <c r="B72" s="591"/>
      <c r="C72" s="842"/>
      <c r="D72" s="845"/>
      <c r="E72" s="845"/>
      <c r="F72" s="825"/>
    </row>
    <row r="73" spans="1:6" x14ac:dyDescent="0.2">
      <c r="A73" s="589" t="s">
        <v>61</v>
      </c>
      <c r="B73" s="589"/>
      <c r="C73" s="842"/>
      <c r="D73" s="808">
        <v>2006</v>
      </c>
      <c r="E73" s="75">
        <v>2007</v>
      </c>
      <c r="F73" s="809">
        <v>2008</v>
      </c>
    </row>
    <row r="74" spans="1:6" x14ac:dyDescent="0.2">
      <c r="A74" s="611"/>
      <c r="B74" s="591"/>
      <c r="C74" s="842"/>
      <c r="D74" s="959" t="s">
        <v>62</v>
      </c>
      <c r="E74" s="960"/>
      <c r="F74" s="961"/>
    </row>
    <row r="75" spans="1:6" ht="13.5" thickBot="1" x14ac:dyDescent="0.25">
      <c r="A75" s="611" t="s">
        <v>63</v>
      </c>
      <c r="B75" s="591"/>
      <c r="C75" s="842"/>
      <c r="D75" s="754">
        <v>15791099.579999998</v>
      </c>
      <c r="E75" s="755">
        <v>20564547.279999997</v>
      </c>
      <c r="F75" s="756">
        <v>26973621.240000002</v>
      </c>
    </row>
    <row r="76" spans="1:6" ht="13.5" thickTop="1" x14ac:dyDescent="0.2"/>
    <row r="79" spans="1:6" ht="15.75" x14ac:dyDescent="0.25">
      <c r="A79" s="955" t="s">
        <v>64</v>
      </c>
      <c r="B79" s="956"/>
      <c r="C79" s="956"/>
      <c r="D79" s="957"/>
      <c r="E79" s="957"/>
      <c r="F79" s="958"/>
    </row>
    <row r="80" spans="1:6" x14ac:dyDescent="0.2">
      <c r="A80" s="603"/>
      <c r="B80" s="593"/>
      <c r="C80" s="593"/>
      <c r="D80" s="455"/>
      <c r="E80" s="455"/>
      <c r="F80" s="455"/>
    </row>
    <row r="81" spans="1:6" x14ac:dyDescent="0.2">
      <c r="A81" s="603"/>
      <c r="B81" s="593"/>
      <c r="C81" s="593"/>
      <c r="D81" s="612">
        <v>2006</v>
      </c>
      <c r="E81" s="613">
        <v>2007</v>
      </c>
      <c r="F81" s="614">
        <v>2008</v>
      </c>
    </row>
    <row r="82" spans="1:6" x14ac:dyDescent="0.2">
      <c r="A82" s="597" t="s">
        <v>37</v>
      </c>
      <c r="B82" s="598"/>
      <c r="C82" s="33" t="s">
        <v>7</v>
      </c>
      <c r="D82" s="959" t="s">
        <v>41</v>
      </c>
      <c r="E82" s="960"/>
      <c r="F82" s="961"/>
    </row>
    <row r="83" spans="1:6" x14ac:dyDescent="0.2">
      <c r="A83" s="615"/>
      <c r="B83" s="616"/>
      <c r="C83" s="97" t="s">
        <v>8</v>
      </c>
      <c r="D83" s="846"/>
      <c r="E83" s="842"/>
      <c r="F83" s="847"/>
    </row>
    <row r="84" spans="1:6" x14ac:dyDescent="0.2">
      <c r="A84" s="618" t="str">
        <f>'Data 2009-15 (Real $2008)'!A$154</f>
        <v>Remotely read interval meters &amp; transformers</v>
      </c>
      <c r="B84" s="619"/>
      <c r="C84" s="851">
        <f>'Data 2009-15 (Real $2008)'!C154</f>
        <v>15</v>
      </c>
      <c r="D84" s="751">
        <v>0</v>
      </c>
      <c r="E84" s="752">
        <v>0</v>
      </c>
      <c r="F84" s="753">
        <v>0</v>
      </c>
    </row>
    <row r="85" spans="1:6" x14ac:dyDescent="0.2">
      <c r="A85" s="454" t="s">
        <v>284</v>
      </c>
      <c r="C85" s="851">
        <f>'Data 2009-15 (Real $2008)'!C155</f>
        <v>7</v>
      </c>
      <c r="D85" s="751">
        <v>332599.15000000002</v>
      </c>
      <c r="E85" s="752">
        <v>2817702.7430999996</v>
      </c>
      <c r="F85" s="753">
        <v>10813305.572385356</v>
      </c>
    </row>
    <row r="86" spans="1:6" x14ac:dyDescent="0.2">
      <c r="A86" s="454" t="s">
        <v>286</v>
      </c>
      <c r="C86" s="851">
        <f>'Data 2009-15 (Real $2008)'!C156</f>
        <v>7</v>
      </c>
      <c r="D86" s="751">
        <v>0</v>
      </c>
      <c r="E86" s="752">
        <v>0</v>
      </c>
      <c r="F86" s="753">
        <v>352889.07546270383</v>
      </c>
    </row>
    <row r="87" spans="1:6" x14ac:dyDescent="0.2">
      <c r="A87" s="618" t="s">
        <v>285</v>
      </c>
      <c r="B87" s="619"/>
      <c r="C87" s="852">
        <f>'Data 2009-15 (Real $2008)'!C157</f>
        <v>7</v>
      </c>
      <c r="D87" s="751">
        <v>0</v>
      </c>
      <c r="E87" s="752">
        <v>73834.561198694442</v>
      </c>
      <c r="F87" s="753">
        <v>188267.84</v>
      </c>
    </row>
    <row r="88" spans="1:6" x14ac:dyDescent="0.2">
      <c r="A88" s="591" t="s">
        <v>45</v>
      </c>
      <c r="B88" s="591"/>
      <c r="C88" s="785"/>
      <c r="D88" s="853">
        <f>SUM(D84:D87)</f>
        <v>332599.15000000002</v>
      </c>
      <c r="E88" s="854">
        <f>SUM(E84:E87)</f>
        <v>2891537.3042986942</v>
      </c>
      <c r="F88" s="855">
        <f>SUM(F84:F87)</f>
        <v>11354462.48784806</v>
      </c>
    </row>
    <row r="89" spans="1:6" x14ac:dyDescent="0.2">
      <c r="C89" s="819"/>
      <c r="D89" s="856"/>
      <c r="E89" s="856"/>
      <c r="F89" s="856"/>
    </row>
    <row r="90" spans="1:6" x14ac:dyDescent="0.2">
      <c r="C90" s="819"/>
      <c r="D90" s="856"/>
      <c r="E90" s="856"/>
      <c r="F90" s="856"/>
    </row>
    <row r="91" spans="1:6" x14ac:dyDescent="0.2">
      <c r="A91" s="621"/>
      <c r="B91" s="621"/>
      <c r="C91" s="785"/>
      <c r="D91" s="857">
        <v>2006</v>
      </c>
      <c r="E91" s="858">
        <v>2007</v>
      </c>
      <c r="F91" s="859">
        <v>2008</v>
      </c>
    </row>
    <row r="92" spans="1:6" x14ac:dyDescent="0.2">
      <c r="A92" s="621"/>
      <c r="B92" s="621"/>
      <c r="C92" s="307" t="s">
        <v>283</v>
      </c>
      <c r="D92" s="959" t="s">
        <v>41</v>
      </c>
      <c r="E92" s="960"/>
      <c r="F92" s="961"/>
    </row>
    <row r="93" spans="1:6" x14ac:dyDescent="0.2">
      <c r="A93" s="594" t="s">
        <v>47</v>
      </c>
      <c r="B93" s="595"/>
      <c r="C93" s="320" t="s">
        <v>48</v>
      </c>
      <c r="D93" s="856"/>
      <c r="E93" s="856"/>
      <c r="F93" s="860"/>
    </row>
    <row r="94" spans="1:6" x14ac:dyDescent="0.2">
      <c r="A94" s="454" t="str">
        <f>'Data 2009-15 (Real $2008)'!A$162</f>
        <v>Meters and transformers (Group 1) (Unit cost &lt; $1,000)</v>
      </c>
      <c r="C94" s="861">
        <f>'Data 2009-15 (Real $2008)'!C162</f>
        <v>0.375</v>
      </c>
      <c r="D94" s="862">
        <f>D84-D95</f>
        <v>0</v>
      </c>
      <c r="E94" s="779">
        <f>E84-E95</f>
        <v>0</v>
      </c>
      <c r="F94" s="863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64">
        <f>'Data 2009-15 (Real $2008)'!C163</f>
        <v>0.06</v>
      </c>
      <c r="D95" s="751">
        <v>0</v>
      </c>
      <c r="E95" s="752">
        <v>0</v>
      </c>
      <c r="F95" s="753">
        <v>0</v>
      </c>
    </row>
    <row r="96" spans="1:6" x14ac:dyDescent="0.2">
      <c r="A96" s="454" t="str">
        <f>'Data 2009-15 (Real $2008)'!A$164</f>
        <v>IT</v>
      </c>
      <c r="C96" s="864">
        <f>'Data 2009-15 (Real $2008)'!C164</f>
        <v>0.4</v>
      </c>
      <c r="D96" s="862">
        <f t="shared" ref="D96:F98" si="1">D85</f>
        <v>332599.15000000002</v>
      </c>
      <c r="E96" s="779">
        <f t="shared" si="1"/>
        <v>2817702.7430999996</v>
      </c>
      <c r="F96" s="863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64">
        <f>'Data 2009-15 (Real $2008)'!C165</f>
        <v>0.21428571428571427</v>
      </c>
      <c r="D97" s="862">
        <f t="shared" si="1"/>
        <v>0</v>
      </c>
      <c r="E97" s="779">
        <f t="shared" si="1"/>
        <v>0</v>
      </c>
      <c r="F97" s="863">
        <f t="shared" si="1"/>
        <v>352889.07546270383</v>
      </c>
    </row>
    <row r="98" spans="1:6" x14ac:dyDescent="0.2">
      <c r="A98" s="590" t="str">
        <f>'Data 2009-15 (Real $2008)'!A$166</f>
        <v>Other</v>
      </c>
      <c r="B98" s="622"/>
      <c r="C98" s="865">
        <f>'Data 2009-15 (Real $2008)'!C166</f>
        <v>0.1764705882352941</v>
      </c>
      <c r="D98" s="862">
        <f t="shared" si="1"/>
        <v>0</v>
      </c>
      <c r="E98" s="779">
        <f t="shared" si="1"/>
        <v>73834.561198694442</v>
      </c>
      <c r="F98" s="863">
        <f t="shared" si="1"/>
        <v>188267.84</v>
      </c>
    </row>
    <row r="99" spans="1:6" ht="13.5" thickBot="1" x14ac:dyDescent="0.25">
      <c r="A99" s="591" t="s">
        <v>45</v>
      </c>
      <c r="B99" s="591"/>
      <c r="C99" s="785"/>
      <c r="D99" s="866">
        <f>SUM(D93:D98)</f>
        <v>332599.15000000002</v>
      </c>
      <c r="E99" s="867">
        <f>SUM(E93:E98)</f>
        <v>2891537.3042986942</v>
      </c>
      <c r="F99" s="868">
        <f>SUM(F93:F98)</f>
        <v>11354462.48784806</v>
      </c>
    </row>
    <row r="100" spans="1:6" ht="13.5" thickTop="1" x14ac:dyDescent="0.2">
      <c r="A100" s="623"/>
      <c r="B100" s="586"/>
      <c r="C100" s="842"/>
      <c r="D100" s="856"/>
      <c r="E100" s="856"/>
      <c r="F100" s="856"/>
    </row>
    <row r="101" spans="1:6" x14ac:dyDescent="0.2">
      <c r="A101" s="623"/>
      <c r="B101" s="586"/>
      <c r="C101" s="842"/>
      <c r="D101" s="856"/>
      <c r="E101" s="856"/>
      <c r="F101" s="856"/>
    </row>
    <row r="102" spans="1:6" x14ac:dyDescent="0.2">
      <c r="A102" s="603"/>
      <c r="B102" s="593"/>
      <c r="C102" s="842"/>
      <c r="D102" s="857">
        <v>2006</v>
      </c>
      <c r="E102" s="858">
        <v>2007</v>
      </c>
      <c r="F102" s="859">
        <v>2008</v>
      </c>
    </row>
    <row r="103" spans="1:6" x14ac:dyDescent="0.2">
      <c r="A103" s="589" t="s">
        <v>1</v>
      </c>
      <c r="B103" s="589"/>
      <c r="C103" s="842"/>
      <c r="D103" s="959" t="s">
        <v>73</v>
      </c>
      <c r="E103" s="960"/>
      <c r="F103" s="961"/>
    </row>
    <row r="104" spans="1:6" x14ac:dyDescent="0.2">
      <c r="A104" s="603"/>
      <c r="B104" s="593"/>
      <c r="C104" s="842"/>
      <c r="D104" s="846"/>
      <c r="E104" s="842"/>
      <c r="F104" s="847"/>
    </row>
    <row r="105" spans="1:6" x14ac:dyDescent="0.2">
      <c r="A105" s="623" t="s">
        <v>65</v>
      </c>
      <c r="B105" s="586"/>
      <c r="C105" s="842"/>
      <c r="D105" s="751">
        <v>0</v>
      </c>
      <c r="E105" s="752">
        <v>0</v>
      </c>
      <c r="F105" s="753">
        <v>0</v>
      </c>
    </row>
    <row r="106" spans="1:6" x14ac:dyDescent="0.2">
      <c r="A106" s="623" t="s">
        <v>66</v>
      </c>
      <c r="B106" s="586"/>
      <c r="C106" s="869"/>
      <c r="D106" s="751">
        <v>0</v>
      </c>
      <c r="E106" s="752">
        <v>499385.93479999999</v>
      </c>
      <c r="F106" s="753">
        <v>1535317.135</v>
      </c>
    </row>
    <row r="107" spans="1:6" x14ac:dyDescent="0.2">
      <c r="A107" s="623" t="s">
        <v>67</v>
      </c>
      <c r="B107" s="586"/>
      <c r="C107" s="869"/>
      <c r="D107" s="751">
        <v>60639.99</v>
      </c>
      <c r="E107" s="752">
        <v>1664894.4995230739</v>
      </c>
      <c r="F107" s="753">
        <v>2447.6852999999956</v>
      </c>
    </row>
    <row r="108" spans="1:6" x14ac:dyDescent="0.2">
      <c r="A108" s="623" t="s">
        <v>68</v>
      </c>
      <c r="B108" s="586"/>
      <c r="C108" s="869"/>
      <c r="D108" s="751">
        <v>0</v>
      </c>
      <c r="E108" s="752">
        <v>0</v>
      </c>
      <c r="F108" s="753">
        <v>0</v>
      </c>
    </row>
    <row r="109" spans="1:6" x14ac:dyDescent="0.2">
      <c r="A109" s="623" t="s">
        <v>69</v>
      </c>
      <c r="B109" s="586"/>
      <c r="C109" s="869"/>
      <c r="D109" s="751">
        <v>1213000</v>
      </c>
      <c r="E109" s="752">
        <v>3501090.9819832309</v>
      </c>
      <c r="F109" s="753">
        <v>7560461.2647709977</v>
      </c>
    </row>
    <row r="110" spans="1:6" x14ac:dyDescent="0.2">
      <c r="A110" s="623" t="s">
        <v>70</v>
      </c>
      <c r="B110" s="586"/>
      <c r="C110" s="869"/>
      <c r="D110" s="751">
        <v>0</v>
      </c>
      <c r="E110" s="752">
        <v>0</v>
      </c>
      <c r="F110" s="753">
        <v>0</v>
      </c>
    </row>
    <row r="111" spans="1:6" x14ac:dyDescent="0.2">
      <c r="A111" s="623" t="s">
        <v>71</v>
      </c>
      <c r="B111" s="586"/>
      <c r="C111" s="869"/>
      <c r="D111" s="751">
        <v>255024.31979254476</v>
      </c>
      <c r="E111" s="752">
        <v>192338.65197024439</v>
      </c>
      <c r="F111" s="753">
        <v>472803.03936028399</v>
      </c>
    </row>
    <row r="112" spans="1:6" x14ac:dyDescent="0.2">
      <c r="A112" s="623" t="s">
        <v>72</v>
      </c>
      <c r="B112" s="586"/>
      <c r="C112" s="869"/>
      <c r="D112" s="751">
        <v>0</v>
      </c>
      <c r="E112" s="752">
        <v>0</v>
      </c>
      <c r="F112" s="753">
        <v>0</v>
      </c>
    </row>
    <row r="113" spans="1:14" x14ac:dyDescent="0.2">
      <c r="A113" s="623" t="s">
        <v>279</v>
      </c>
      <c r="B113" s="586"/>
      <c r="C113" s="869"/>
      <c r="D113" s="751">
        <v>0</v>
      </c>
      <c r="E113" s="752">
        <v>0</v>
      </c>
      <c r="F113" s="753">
        <v>0</v>
      </c>
    </row>
    <row r="114" spans="1:14" x14ac:dyDescent="0.2">
      <c r="A114" s="623" t="s">
        <v>280</v>
      </c>
      <c r="B114" s="586"/>
      <c r="C114" s="842"/>
      <c r="D114" s="751">
        <v>0</v>
      </c>
      <c r="E114" s="752">
        <v>0</v>
      </c>
      <c r="F114" s="753">
        <v>0</v>
      </c>
    </row>
    <row r="115" spans="1:14" x14ac:dyDescent="0.2">
      <c r="A115" s="591" t="s">
        <v>45</v>
      </c>
      <c r="C115" s="869"/>
      <c r="D115" s="853">
        <f>SUM(D105:D114)</f>
        <v>1528664.3097925447</v>
      </c>
      <c r="E115" s="854">
        <f>SUM(E105:E114)</f>
        <v>5857710.0682765488</v>
      </c>
      <c r="F115" s="855">
        <f>SUM(F105:F112)</f>
        <v>9571029.1244312823</v>
      </c>
    </row>
    <row r="116" spans="1:14" s="455" customFormat="1" x14ac:dyDescent="0.2">
      <c r="A116" s="586"/>
      <c r="B116" s="586"/>
      <c r="C116" s="593"/>
      <c r="D116" s="620"/>
      <c r="E116" s="620"/>
      <c r="F116" s="620"/>
    </row>
    <row r="117" spans="1:14" s="455" customFormat="1" x14ac:dyDescent="0.2">
      <c r="A117" s="586"/>
      <c r="B117" s="586"/>
      <c r="C117" s="593"/>
      <c r="D117" s="620"/>
      <c r="E117" s="620"/>
      <c r="F117" s="620"/>
    </row>
    <row r="118" spans="1:14" s="455" customFormat="1" ht="13.5" thickBot="1" x14ac:dyDescent="0.25">
      <c r="A118" s="586" t="s">
        <v>111</v>
      </c>
      <c r="B118" s="586"/>
      <c r="C118" s="593"/>
      <c r="D118" s="624">
        <f>SUM(D88,D115)</f>
        <v>1861263.4597925446</v>
      </c>
      <c r="E118" s="624">
        <f>SUM(E88,E115)</f>
        <v>8749247.3725752421</v>
      </c>
      <c r="F118" s="624">
        <f>SUM(F88,F115)</f>
        <v>20925491.612279341</v>
      </c>
    </row>
    <row r="119" spans="1:14" s="455" customFormat="1" ht="13.5" thickTop="1" x14ac:dyDescent="0.2">
      <c r="A119" s="586"/>
      <c r="B119" s="586"/>
      <c r="C119" s="593"/>
      <c r="D119" s="620"/>
      <c r="E119" s="620"/>
      <c r="F119" s="620"/>
    </row>
    <row r="120" spans="1:14" s="455" customFormat="1" x14ac:dyDescent="0.2">
      <c r="A120" s="586"/>
      <c r="B120" s="586"/>
      <c r="C120" s="593"/>
      <c r="D120" s="620"/>
      <c r="E120" s="620"/>
      <c r="F120" s="620"/>
    </row>
    <row r="121" spans="1:14" ht="13.5" thickBot="1" x14ac:dyDescent="0.25">
      <c r="A121" s="625"/>
      <c r="B121" s="626"/>
      <c r="C121" s="625"/>
      <c r="D121" s="625"/>
      <c r="E121" s="625"/>
      <c r="F121" s="625"/>
      <c r="G121" s="625"/>
      <c r="H121" s="625"/>
      <c r="I121" s="625"/>
      <c r="J121" s="625"/>
      <c r="K121" s="625"/>
      <c r="L121" s="625"/>
      <c r="M121" s="625"/>
      <c r="N121" s="625"/>
    </row>
    <row r="124" spans="1:14" ht="15.75" x14ac:dyDescent="0.25">
      <c r="A124" s="627" t="s">
        <v>39</v>
      </c>
      <c r="B124" s="628"/>
    </row>
    <row r="126" spans="1:14" x14ac:dyDescent="0.2">
      <c r="A126" s="446" t="s">
        <v>78</v>
      </c>
      <c r="B126" s="446"/>
      <c r="C126" s="629"/>
    </row>
    <row r="127" spans="1:14" x14ac:dyDescent="0.2">
      <c r="A127" s="446"/>
      <c r="B127" s="446"/>
      <c r="C127" s="629"/>
    </row>
    <row r="128" spans="1:14" x14ac:dyDescent="0.2">
      <c r="A128" s="454" t="s">
        <v>79</v>
      </c>
      <c r="C128" s="630">
        <v>2.64E-2</v>
      </c>
    </row>
    <row r="129" spans="1:6" x14ac:dyDescent="0.2">
      <c r="A129" s="454" t="s">
        <v>80</v>
      </c>
      <c r="C129" s="631">
        <v>1.4250000000000001E-2</v>
      </c>
    </row>
    <row r="130" spans="1:6" x14ac:dyDescent="0.2">
      <c r="A130" s="454" t="s">
        <v>13</v>
      </c>
      <c r="C130" s="632">
        <v>0.06</v>
      </c>
    </row>
    <row r="131" spans="1:6" x14ac:dyDescent="0.2">
      <c r="A131" s="454" t="s">
        <v>14</v>
      </c>
      <c r="C131" s="633">
        <v>1</v>
      </c>
    </row>
    <row r="132" spans="1:6" x14ac:dyDescent="0.2">
      <c r="A132" s="454" t="s">
        <v>17</v>
      </c>
      <c r="C132" s="633">
        <v>0.5</v>
      </c>
    </row>
    <row r="133" spans="1:6" x14ac:dyDescent="0.2">
      <c r="A133" s="454" t="s">
        <v>15</v>
      </c>
      <c r="C133" s="634">
        <v>0.6</v>
      </c>
    </row>
    <row r="134" spans="1:6" x14ac:dyDescent="0.2">
      <c r="A134" s="454" t="s">
        <v>16</v>
      </c>
      <c r="C134" s="635">
        <v>2.5600000000000001E-2</v>
      </c>
    </row>
    <row r="135" spans="1:6" x14ac:dyDescent="0.2">
      <c r="C135" s="636"/>
    </row>
    <row r="136" spans="1:6" x14ac:dyDescent="0.2">
      <c r="A136" s="454" t="s">
        <v>81</v>
      </c>
      <c r="C136" s="637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38">
        <f>C128+C129</f>
        <v>4.0649999999999999E-2</v>
      </c>
    </row>
    <row r="139" spans="1:6" x14ac:dyDescent="0.2">
      <c r="A139" s="454" t="s">
        <v>84</v>
      </c>
      <c r="C139" s="639">
        <f>(1+C138)*(1+C134)-1</f>
        <v>6.7290640000000179E-2</v>
      </c>
    </row>
    <row r="140" spans="1:6" x14ac:dyDescent="0.2">
      <c r="C140" s="601"/>
    </row>
    <row r="141" spans="1:6" x14ac:dyDescent="0.2">
      <c r="A141" s="454" t="s">
        <v>85</v>
      </c>
      <c r="C141" s="640">
        <f>ROUND((C136*(1-C133))+(C138*C133),3)</f>
        <v>5.8999999999999997E-2</v>
      </c>
    </row>
    <row r="144" spans="1:6" x14ac:dyDescent="0.2">
      <c r="A144" s="446" t="s">
        <v>263</v>
      </c>
      <c r="B144" s="446"/>
      <c r="C144" s="966" t="s">
        <v>36</v>
      </c>
      <c r="D144" s="967"/>
      <c r="F144" s="641" t="s">
        <v>75</v>
      </c>
    </row>
    <row r="145" spans="1:9" x14ac:dyDescent="0.2">
      <c r="A145" s="446"/>
      <c r="B145" s="446"/>
      <c r="C145" s="642">
        <v>37529</v>
      </c>
      <c r="D145" s="643">
        <v>138.5</v>
      </c>
      <c r="F145" s="644"/>
    </row>
    <row r="146" spans="1:9" x14ac:dyDescent="0.2">
      <c r="C146" s="645">
        <v>37894</v>
      </c>
      <c r="D146" s="646">
        <v>142.1</v>
      </c>
      <c r="F146" s="647">
        <f t="shared" ref="F146:F151" si="2">D146/D145-1</f>
        <v>2.5992779783393427E-2</v>
      </c>
    </row>
    <row r="147" spans="1:9" x14ac:dyDescent="0.2">
      <c r="C147" s="645">
        <v>38260</v>
      </c>
      <c r="D147" s="646">
        <v>145.4</v>
      </c>
      <c r="F147" s="647">
        <f t="shared" si="2"/>
        <v>2.3223082336382816E-2</v>
      </c>
      <c r="I147" s="648"/>
    </row>
    <row r="148" spans="1:9" x14ac:dyDescent="0.2">
      <c r="C148" s="645">
        <v>38625</v>
      </c>
      <c r="D148" s="646">
        <v>149.80000000000001</v>
      </c>
      <c r="F148" s="647">
        <f t="shared" si="2"/>
        <v>3.0261348005502064E-2</v>
      </c>
    </row>
    <row r="149" spans="1:9" x14ac:dyDescent="0.2">
      <c r="C149" s="645">
        <v>38990</v>
      </c>
      <c r="D149" s="646">
        <v>155.69999999999999</v>
      </c>
      <c r="F149" s="647">
        <f t="shared" si="2"/>
        <v>3.9385847797062556E-2</v>
      </c>
    </row>
    <row r="150" spans="1:9" x14ac:dyDescent="0.2">
      <c r="C150" s="645">
        <v>39355</v>
      </c>
      <c r="D150" s="646">
        <v>158.6</v>
      </c>
      <c r="F150" s="647">
        <f t="shared" si="2"/>
        <v>1.862556197816323E-2</v>
      </c>
    </row>
    <row r="151" spans="1:9" x14ac:dyDescent="0.2">
      <c r="C151" s="649">
        <v>39721</v>
      </c>
      <c r="D151" s="650">
        <v>166.5</v>
      </c>
      <c r="F151" s="647">
        <f t="shared" si="2"/>
        <v>4.9810844892812067E-2</v>
      </c>
    </row>
    <row r="152" spans="1:9" x14ac:dyDescent="0.2">
      <c r="A152" s="651"/>
      <c r="B152" s="651"/>
    </row>
    <row r="153" spans="1:9" x14ac:dyDescent="0.2">
      <c r="A153" s="651"/>
      <c r="B153" s="588">
        <v>2004</v>
      </c>
      <c r="C153" s="588">
        <f>B153+1</f>
        <v>2005</v>
      </c>
      <c r="D153" s="588">
        <f>C153+1</f>
        <v>2006</v>
      </c>
      <c r="E153" s="588">
        <f>D153+1</f>
        <v>2007</v>
      </c>
      <c r="F153" s="588">
        <f>E153+1</f>
        <v>2008</v>
      </c>
    </row>
    <row r="154" spans="1:9" x14ac:dyDescent="0.2">
      <c r="A154" s="651"/>
      <c r="B154" s="652"/>
      <c r="C154" s="652"/>
      <c r="D154" s="652"/>
      <c r="E154" s="652"/>
    </row>
    <row r="155" spans="1:9" x14ac:dyDescent="0.2">
      <c r="A155" s="653" t="s">
        <v>76</v>
      </c>
      <c r="B155" s="654">
        <f>F146</f>
        <v>2.5992779783393427E-2</v>
      </c>
      <c r="C155" s="654">
        <f>F147</f>
        <v>2.3223082336382816E-2</v>
      </c>
      <c r="D155" s="654">
        <f>F148</f>
        <v>3.0261348005502064E-2</v>
      </c>
      <c r="E155" s="654">
        <f>F149</f>
        <v>3.9385847797062556E-2</v>
      </c>
      <c r="F155" s="654">
        <f>F150</f>
        <v>1.862556197816323E-2</v>
      </c>
    </row>
    <row r="156" spans="1:9" x14ac:dyDescent="0.2">
      <c r="A156" s="454" t="s">
        <v>77</v>
      </c>
      <c r="B156" s="655">
        <f>C156*(1+C155)</f>
        <v>1.1161154116819139</v>
      </c>
      <c r="C156" s="656">
        <f>D156*(1+D155)</f>
        <v>1.090784044016506</v>
      </c>
      <c r="D156" s="656">
        <f>E156*(1+E155)</f>
        <v>1.0587449933244324</v>
      </c>
      <c r="E156" s="656">
        <f>F156*(1+F155)</f>
        <v>1.0186255619781632</v>
      </c>
      <c r="F156" s="656">
        <v>1</v>
      </c>
    </row>
    <row r="159" spans="1:9" x14ac:dyDescent="0.2">
      <c r="A159" s="597" t="s">
        <v>282</v>
      </c>
      <c r="B159" s="598"/>
      <c r="C159" s="587" t="s">
        <v>7</v>
      </c>
    </row>
    <row r="160" spans="1:9" x14ac:dyDescent="0.2">
      <c r="A160" s="615"/>
      <c r="B160" s="616"/>
      <c r="C160" s="617" t="s">
        <v>8</v>
      </c>
    </row>
    <row r="161" spans="1:3" x14ac:dyDescent="0.2">
      <c r="A161" s="458" t="s">
        <v>42</v>
      </c>
      <c r="C161" s="657">
        <f>'IMRO Decision 2006-10'!D190</f>
        <v>15</v>
      </c>
    </row>
    <row r="162" spans="1:3" x14ac:dyDescent="0.2">
      <c r="A162" s="454" t="s">
        <v>267</v>
      </c>
      <c r="C162" s="658">
        <f>'IMRO Decision 2006-10'!D191</f>
        <v>10</v>
      </c>
    </row>
    <row r="163" spans="1:3" x14ac:dyDescent="0.2">
      <c r="A163" s="458" t="s">
        <v>43</v>
      </c>
      <c r="C163" s="658">
        <f>'IMRO Decision 2006-10'!D192</f>
        <v>5</v>
      </c>
    </row>
    <row r="164" spans="1:3" x14ac:dyDescent="0.2">
      <c r="A164" s="458" t="s">
        <v>44</v>
      </c>
      <c r="C164" s="659">
        <f>'IMRO Decision 2006-10'!D193</f>
        <v>5</v>
      </c>
    </row>
    <row r="167" spans="1:3" x14ac:dyDescent="0.2">
      <c r="A167" s="597" t="s">
        <v>92</v>
      </c>
      <c r="B167" s="598"/>
      <c r="C167" s="660"/>
    </row>
    <row r="168" spans="1:3" x14ac:dyDescent="0.2">
      <c r="A168" s="598"/>
      <c r="B168" s="598"/>
      <c r="C168" s="660"/>
    </row>
    <row r="169" spans="1:3" x14ac:dyDescent="0.2">
      <c r="A169" s="660" t="s">
        <v>88</v>
      </c>
      <c r="B169" s="661"/>
      <c r="C169" s="662">
        <v>0.3</v>
      </c>
    </row>
    <row r="170" spans="1:3" x14ac:dyDescent="0.2">
      <c r="A170" s="661" t="s">
        <v>17</v>
      </c>
      <c r="B170" s="661"/>
      <c r="C170" s="663">
        <f>C132</f>
        <v>0.5</v>
      </c>
    </row>
    <row r="171" spans="1:3" x14ac:dyDescent="0.2">
      <c r="A171" s="660" t="s">
        <v>15</v>
      </c>
      <c r="B171" s="661"/>
      <c r="C171" s="664">
        <f>C133</f>
        <v>0.6</v>
      </c>
    </row>
    <row r="174" spans="1:3" x14ac:dyDescent="0.2">
      <c r="A174" s="594" t="s">
        <v>89</v>
      </c>
      <c r="B174" s="595"/>
    </row>
    <row r="175" spans="1:3" x14ac:dyDescent="0.2">
      <c r="A175" s="653" t="s">
        <v>283</v>
      </c>
      <c r="B175" s="665"/>
    </row>
    <row r="176" spans="1:3" x14ac:dyDescent="0.2">
      <c r="A176" s="454" t="s">
        <v>360</v>
      </c>
      <c r="C176" s="666">
        <v>0.375</v>
      </c>
    </row>
    <row r="177" spans="1:8" x14ac:dyDescent="0.2">
      <c r="A177" s="454" t="s">
        <v>359</v>
      </c>
      <c r="C177" s="667">
        <v>0.06</v>
      </c>
    </row>
    <row r="178" spans="1:8" x14ac:dyDescent="0.2">
      <c r="A178" s="454" t="s">
        <v>284</v>
      </c>
      <c r="C178" s="667">
        <v>0.4</v>
      </c>
    </row>
    <row r="179" spans="1:8" x14ac:dyDescent="0.2">
      <c r="A179" s="590" t="s">
        <v>285</v>
      </c>
      <c r="B179" s="622"/>
      <c r="C179" s="668">
        <v>0.1764705882352941</v>
      </c>
    </row>
    <row r="182" spans="1:8" x14ac:dyDescent="0.2">
      <c r="A182" s="597" t="s">
        <v>93</v>
      </c>
      <c r="B182" s="598"/>
    </row>
    <row r="183" spans="1:8" x14ac:dyDescent="0.2">
      <c r="D183" s="588">
        <v>2006</v>
      </c>
      <c r="E183" s="588">
        <v>2007</v>
      </c>
      <c r="F183" s="588">
        <v>2008</v>
      </c>
      <c r="G183" s="588">
        <v>2009</v>
      </c>
      <c r="H183" s="588">
        <v>2010</v>
      </c>
    </row>
    <row r="184" spans="1:8" x14ac:dyDescent="0.2">
      <c r="A184" s="458" t="s">
        <v>362</v>
      </c>
      <c r="D184" s="669">
        <f>'IMRO Decision 2006-10'!D41*10^6</f>
        <v>190095.21696142427</v>
      </c>
      <c r="E184" s="669">
        <f>'IMRO Decision 2006-10'!E41*10^6</f>
        <v>-4638810.1375992047</v>
      </c>
      <c r="F184" s="669">
        <f>'IMRO Decision 2006-10'!F41*10^6</f>
        <v>-10768217.460581301</v>
      </c>
      <c r="G184" s="669">
        <f>'IMRO Decision 2006-10'!G41*10^6</f>
        <v>-13630869.502886569</v>
      </c>
      <c r="H184" s="669">
        <f>'IMRO Decision 2006-10'!H41*10^6</f>
        <v>-12452968.501429787</v>
      </c>
    </row>
    <row r="185" spans="1:8" x14ac:dyDescent="0.2">
      <c r="A185" s="454" t="s">
        <v>148</v>
      </c>
      <c r="D185" s="670">
        <f>'IMRO Decision 2006-10'!D71</f>
        <v>1.0510983425414364</v>
      </c>
      <c r="E185" s="670">
        <f>'IMRO Decision 2006-10'!E71</f>
        <v>1.0780064601104973</v>
      </c>
      <c r="F185" s="670">
        <f>'IMRO Decision 2006-10'!F71</f>
        <v>1.1056034254893261</v>
      </c>
      <c r="G185" s="670">
        <f>'IMRO Decision 2006-10'!G71</f>
        <v>1.1339068731818529</v>
      </c>
      <c r="H185" s="670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6" t="s">
        <v>98</v>
      </c>
      <c r="B188" s="607"/>
      <c r="D188" s="588">
        <v>2006</v>
      </c>
      <c r="E188" s="588">
        <v>2007</v>
      </c>
      <c r="F188" s="588">
        <v>2008</v>
      </c>
    </row>
    <row r="189" spans="1:8" x14ac:dyDescent="0.2">
      <c r="A189" s="608" t="s">
        <v>271</v>
      </c>
      <c r="B189" s="609"/>
      <c r="D189" s="671"/>
      <c r="E189" s="671"/>
      <c r="F189" s="671"/>
    </row>
    <row r="190" spans="1:8" x14ac:dyDescent="0.2">
      <c r="A190" s="611" t="s">
        <v>274</v>
      </c>
      <c r="B190" s="591"/>
      <c r="D190" s="622">
        <f>D205*D218</f>
        <v>1307368.72</v>
      </c>
      <c r="E190" s="622">
        <f>E205*E218</f>
        <v>1318907.04</v>
      </c>
      <c r="F190" s="622">
        <f>F205*F218</f>
        <v>1296321.3600000001</v>
      </c>
    </row>
    <row r="191" spans="1:8" x14ac:dyDescent="0.2">
      <c r="A191" s="611" t="s">
        <v>273</v>
      </c>
      <c r="B191" s="591"/>
      <c r="D191" s="622">
        <f>((D208*12+D210)*D222+(D208*4+D210)*D223)+((D209*12+D211)*D224+(D209*4+D211)*D225)</f>
        <v>9300467.8000000007</v>
      </c>
      <c r="E191" s="622">
        <f>((E208*12+E210)*E222+(E208*4+E210)*E223)+((E209*12+E211)*E224+(E209*4+E211)*E225)</f>
        <v>9700727</v>
      </c>
      <c r="F191" s="622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2">
        <f>D213*D228</f>
        <v>106311.8563265306</v>
      </c>
      <c r="E192" s="622">
        <f>E213*E228</f>
        <v>402889.25632653059</v>
      </c>
      <c r="F192" s="622">
        <f>F213*F228</f>
        <v>756342.0163265306</v>
      </c>
    </row>
    <row r="193" spans="1:6" x14ac:dyDescent="0.2">
      <c r="A193" s="611" t="s">
        <v>104</v>
      </c>
      <c r="B193" s="591"/>
      <c r="D193" s="672">
        <f>SUM(D190:D192)</f>
        <v>10714148.376326531</v>
      </c>
      <c r="E193" s="672">
        <f>SUM(E190:E192)</f>
        <v>11422523.296326529</v>
      </c>
      <c r="F193" s="672">
        <f>SUM(F190:F192)</f>
        <v>12105291.376326529</v>
      </c>
    </row>
    <row r="194" spans="1:6" x14ac:dyDescent="0.2">
      <c r="A194" s="611"/>
      <c r="B194" s="591"/>
      <c r="D194" s="590"/>
      <c r="E194" s="590"/>
      <c r="F194" s="590"/>
    </row>
    <row r="195" spans="1:6" x14ac:dyDescent="0.2">
      <c r="A195" s="608" t="s">
        <v>105</v>
      </c>
      <c r="B195" s="609"/>
      <c r="D195" s="590"/>
      <c r="E195" s="590"/>
      <c r="F195" s="590"/>
    </row>
    <row r="196" spans="1:6" x14ac:dyDescent="0.2">
      <c r="A196" s="454" t="s">
        <v>109</v>
      </c>
      <c r="D196" s="669">
        <f>'IMRO Decision 2006-10'!D105*10^3</f>
        <v>420000</v>
      </c>
      <c r="E196" s="669">
        <f>'IMRO Decision 2006-10'!E105*10^3</f>
        <v>420000</v>
      </c>
      <c r="F196" s="669">
        <f>'IMRO Decision 2006-10'!F105*10^3</f>
        <v>420000</v>
      </c>
    </row>
    <row r="197" spans="1:6" s="458" customFormat="1" x14ac:dyDescent="0.2">
      <c r="A197" s="611" t="s">
        <v>108</v>
      </c>
      <c r="B197" s="591"/>
      <c r="D197" s="669">
        <f>'IMRO Decision 2006-10'!D111*10^3</f>
        <v>1949305.4129536522</v>
      </c>
      <c r="E197" s="669">
        <f>'IMRO Decision 2006-10'!E111*10^3</f>
        <v>1975569.4544452247</v>
      </c>
      <c r="F197" s="669">
        <f>'IMRO Decision 2006-10'!F111*10^3</f>
        <v>2002187.3655104858</v>
      </c>
    </row>
    <row r="198" spans="1:6" s="458" customFormat="1" x14ac:dyDescent="0.2">
      <c r="A198" s="611" t="s">
        <v>106</v>
      </c>
      <c r="B198" s="591"/>
      <c r="D198" s="602">
        <f>SUM(D196:D197)</f>
        <v>2369305.4129536524</v>
      </c>
      <c r="E198" s="602">
        <f>SUM(E196:E197)</f>
        <v>2395569.4544452247</v>
      </c>
      <c r="F198" s="602">
        <f>SUM(F196:F197)</f>
        <v>2422187.3655104861</v>
      </c>
    </row>
    <row r="199" spans="1:6" s="458" customFormat="1" x14ac:dyDescent="0.2">
      <c r="A199" s="591"/>
      <c r="B199" s="591"/>
      <c r="D199" s="622"/>
      <c r="E199" s="622"/>
      <c r="F199" s="622"/>
    </row>
    <row r="200" spans="1:6" s="458" customFormat="1" ht="13.5" thickBot="1" x14ac:dyDescent="0.25">
      <c r="A200" s="611" t="s">
        <v>107</v>
      </c>
      <c r="B200" s="591"/>
      <c r="C200" s="454"/>
      <c r="D200" s="592">
        <f>SUM(D193,D198)</f>
        <v>13083453.789280184</v>
      </c>
      <c r="E200" s="592">
        <f>SUM(E193,E198)</f>
        <v>13818092.750771753</v>
      </c>
      <c r="F200" s="592">
        <f>SUM(F193,F198)</f>
        <v>14527478.741837015</v>
      </c>
    </row>
    <row r="201" spans="1:6" s="458" customFormat="1" ht="13.5" thickTop="1" x14ac:dyDescent="0.2">
      <c r="A201" s="673" t="s">
        <v>0</v>
      </c>
      <c r="B201" s="674"/>
      <c r="C201" s="675">
        <f>SUM(D201:F201)</f>
        <v>0</v>
      </c>
      <c r="D201" s="675">
        <f>IF(ABS('IMRO Decision 2006-10'!D114*10^3-D200)&lt;0.001,0,ABS('IMRO Decision 2006-10'!D114*10^3-D200))</f>
        <v>0</v>
      </c>
      <c r="E201" s="675">
        <f>IF(ABS('IMRO Decision 2006-10'!E114*10^3-E200)&lt;0.001,0,ABS('IMRO Decision 2006-10'!E114*10^3-E200))</f>
        <v>0</v>
      </c>
      <c r="F201" s="675">
        <f>IF(ABS('IMRO Decision 2006-10'!F114*10^3-F200)&lt;0.001,0,ABS('IMRO Decision 2006-10'!F114*10^3-F200))</f>
        <v>0</v>
      </c>
    </row>
    <row r="202" spans="1:6" s="458" customFormat="1" x14ac:dyDescent="0.2">
      <c r="A202" s="591"/>
      <c r="B202" s="591"/>
      <c r="D202" s="622"/>
      <c r="E202" s="622"/>
      <c r="F202" s="622"/>
    </row>
    <row r="203" spans="1:6" s="458" customFormat="1" x14ac:dyDescent="0.2">
      <c r="A203" s="591"/>
      <c r="B203" s="591"/>
      <c r="D203" s="622"/>
      <c r="E203" s="622"/>
      <c r="F203" s="622"/>
    </row>
    <row r="204" spans="1:6" x14ac:dyDescent="0.2">
      <c r="A204" s="594" t="s">
        <v>96</v>
      </c>
      <c r="B204" s="595"/>
      <c r="D204" s="588">
        <v>2006</v>
      </c>
      <c r="E204" s="588">
        <v>2007</v>
      </c>
      <c r="F204" s="588">
        <v>2008</v>
      </c>
    </row>
    <row r="205" spans="1:6" x14ac:dyDescent="0.2">
      <c r="A205" s="611" t="s">
        <v>97</v>
      </c>
      <c r="B205" s="591"/>
      <c r="D205" s="676">
        <f>'IMRO Decision 2006-10'!D349</f>
        <v>1.52</v>
      </c>
      <c r="E205" s="676">
        <f>'IMRO Decision 2006-10'!E349</f>
        <v>1.52</v>
      </c>
      <c r="F205" s="676">
        <f>'IMRO Decision 2006-10'!F349</f>
        <v>1.52</v>
      </c>
    </row>
    <row r="206" spans="1:6" s="458" customFormat="1" x14ac:dyDescent="0.2">
      <c r="A206" s="611"/>
      <c r="B206" s="591"/>
      <c r="D206" s="677"/>
      <c r="E206" s="677"/>
      <c r="F206" s="677"/>
    </row>
    <row r="207" spans="1:6" x14ac:dyDescent="0.2">
      <c r="A207" s="608" t="s">
        <v>99</v>
      </c>
      <c r="B207" s="609"/>
      <c r="D207" s="677"/>
      <c r="E207" s="677"/>
      <c r="F207" s="677"/>
    </row>
    <row r="208" spans="1:6" x14ac:dyDescent="0.2">
      <c r="A208" s="611" t="s">
        <v>100</v>
      </c>
      <c r="B208" s="591"/>
      <c r="D208" s="676">
        <f>'IMRO Decision 2006-10'!D365</f>
        <v>1.5</v>
      </c>
      <c r="E208" s="676">
        <f>'IMRO Decision 2006-10'!E365</f>
        <v>1.5</v>
      </c>
      <c r="F208" s="676">
        <f>'IMRO Decision 2006-10'!F365</f>
        <v>1.5</v>
      </c>
    </row>
    <row r="209" spans="1:6" x14ac:dyDescent="0.2">
      <c r="A209" s="611" t="s">
        <v>101</v>
      </c>
      <c r="B209" s="591"/>
      <c r="D209" s="676">
        <f>'IMRO Decision 2006-10'!D366</f>
        <v>2.5</v>
      </c>
      <c r="E209" s="676">
        <f>'IMRO Decision 2006-10'!E366</f>
        <v>2.5</v>
      </c>
      <c r="F209" s="676">
        <f>'IMRO Decision 2006-10'!F366</f>
        <v>2.5</v>
      </c>
    </row>
    <row r="210" spans="1:6" x14ac:dyDescent="0.2">
      <c r="A210" s="611" t="s">
        <v>102</v>
      </c>
      <c r="B210" s="591"/>
      <c r="D210" s="676">
        <f>'IMRO Decision 2006-10'!D367</f>
        <v>4.5</v>
      </c>
      <c r="E210" s="676">
        <f>'IMRO Decision 2006-10'!E367</f>
        <v>4.5</v>
      </c>
      <c r="F210" s="676">
        <f>'IMRO Decision 2006-10'!F367</f>
        <v>4.5</v>
      </c>
    </row>
    <row r="211" spans="1:6" x14ac:dyDescent="0.2">
      <c r="A211" s="611" t="s">
        <v>103</v>
      </c>
      <c r="B211" s="591"/>
      <c r="D211" s="676">
        <f>'IMRO Decision 2006-10'!D368</f>
        <v>6.2</v>
      </c>
      <c r="E211" s="676">
        <f>'IMRO Decision 2006-10'!E368</f>
        <v>6.2</v>
      </c>
      <c r="F211" s="676">
        <f>'IMRO Decision 2006-10'!F368</f>
        <v>6.2</v>
      </c>
    </row>
    <row r="212" spans="1:6" x14ac:dyDescent="0.2">
      <c r="A212" s="611"/>
      <c r="B212" s="591"/>
      <c r="D212" s="677"/>
      <c r="E212" s="677"/>
      <c r="F212" s="677"/>
    </row>
    <row r="213" spans="1:6" x14ac:dyDescent="0.2">
      <c r="A213" s="611" t="s">
        <v>53</v>
      </c>
      <c r="B213" s="591"/>
      <c r="D213" s="676">
        <f>'IMRO Decision 2006-10'!D356</f>
        <v>10.6</v>
      </c>
      <c r="E213" s="676">
        <f>'IMRO Decision 2006-10'!E356</f>
        <v>10.6</v>
      </c>
      <c r="F213" s="676">
        <f>'IMRO Decision 2006-10'!F356</f>
        <v>10.6</v>
      </c>
    </row>
    <row r="216" spans="1:6" x14ac:dyDescent="0.2">
      <c r="A216" s="606" t="s">
        <v>95</v>
      </c>
      <c r="B216" s="607"/>
      <c r="C216" s="455"/>
      <c r="D216" s="588">
        <v>2006</v>
      </c>
      <c r="E216" s="588">
        <v>2007</v>
      </c>
      <c r="F216" s="588">
        <v>2008</v>
      </c>
    </row>
    <row r="217" spans="1:6" x14ac:dyDescent="0.2">
      <c r="A217" s="608" t="s">
        <v>52</v>
      </c>
      <c r="B217" s="609"/>
      <c r="C217" s="455"/>
      <c r="D217" s="610"/>
      <c r="E217" s="610"/>
      <c r="F217" s="596"/>
    </row>
    <row r="218" spans="1:6" x14ac:dyDescent="0.2">
      <c r="A218" s="611" t="s">
        <v>55</v>
      </c>
      <c r="B218" s="591"/>
      <c r="C218" s="455"/>
      <c r="D218" s="669">
        <f>'IMRO Decision 2006-10'!J349</f>
        <v>860111</v>
      </c>
      <c r="E218" s="669">
        <f>'IMRO Decision 2006-10'!K349</f>
        <v>867702</v>
      </c>
      <c r="F218" s="669">
        <f>'IMRO Decision 2006-10'!L349</f>
        <v>852843</v>
      </c>
    </row>
    <row r="219" spans="1:6" x14ac:dyDescent="0.2">
      <c r="A219" s="606"/>
      <c r="B219" s="607"/>
      <c r="C219" s="455"/>
      <c r="D219" s="610"/>
      <c r="E219" s="610"/>
      <c r="F219" s="596"/>
    </row>
    <row r="220" spans="1:6" x14ac:dyDescent="0.2">
      <c r="A220" s="608" t="s">
        <v>24</v>
      </c>
      <c r="B220" s="609"/>
      <c r="D220" s="455"/>
      <c r="E220" s="455"/>
      <c r="F220" s="455"/>
    </row>
    <row r="221" spans="1:6" x14ac:dyDescent="0.2">
      <c r="A221" s="611" t="s">
        <v>270</v>
      </c>
      <c r="B221" s="591"/>
      <c r="D221" s="455"/>
      <c r="E221" s="455"/>
      <c r="F221" s="455"/>
    </row>
    <row r="222" spans="1:6" x14ac:dyDescent="0.2">
      <c r="A222" s="611" t="s">
        <v>56</v>
      </c>
      <c r="B222" s="591"/>
      <c r="D222" s="669">
        <f>'IMRO Decision 2006-10'!J370</f>
        <v>5055</v>
      </c>
      <c r="E222" s="669">
        <f>'IMRO Decision 2006-10'!K370</f>
        <v>3571</v>
      </c>
      <c r="F222" s="669">
        <f>'IMRO Decision 2006-10'!L370</f>
        <v>2185</v>
      </c>
    </row>
    <row r="223" spans="1:6" x14ac:dyDescent="0.2">
      <c r="A223" s="611" t="s">
        <v>57</v>
      </c>
      <c r="B223" s="591"/>
      <c r="D223" s="669">
        <f>'IMRO Decision 2006-10'!J371</f>
        <v>823351</v>
      </c>
      <c r="E223" s="669">
        <f>'IMRO Decision 2006-10'!K371</f>
        <v>778943</v>
      </c>
      <c r="F223" s="669">
        <f>'IMRO Decision 2006-10'!L371</f>
        <v>678947</v>
      </c>
    </row>
    <row r="224" spans="1:6" x14ac:dyDescent="0.2">
      <c r="A224" s="611" t="s">
        <v>58</v>
      </c>
      <c r="B224" s="591"/>
      <c r="D224" s="669">
        <f>'IMRO Decision 2006-10'!J372</f>
        <v>1397</v>
      </c>
      <c r="E224" s="669">
        <f>'IMRO Decision 2006-10'!K372</f>
        <v>3070</v>
      </c>
      <c r="F224" s="669">
        <f>'IMRO Decision 2006-10'!L372</f>
        <v>4641</v>
      </c>
    </row>
    <row r="225" spans="1:14" x14ac:dyDescent="0.2">
      <c r="A225" s="611" t="s">
        <v>59</v>
      </c>
      <c r="B225" s="591"/>
      <c r="D225" s="669">
        <f>'IMRO Decision 2006-10'!J373</f>
        <v>30307</v>
      </c>
      <c r="E225" s="669">
        <f>'IMRO Decision 2006-10'!K373</f>
        <v>82120</v>
      </c>
      <c r="F225" s="669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08" t="s">
        <v>53</v>
      </c>
      <c r="B227" s="609"/>
      <c r="C227" s="455"/>
      <c r="D227" s="610"/>
      <c r="E227" s="610"/>
      <c r="F227" s="596"/>
    </row>
    <row r="228" spans="1:14" x14ac:dyDescent="0.2">
      <c r="A228" s="611" t="s">
        <v>60</v>
      </c>
      <c r="B228" s="591"/>
      <c r="C228" s="455"/>
      <c r="D228" s="669">
        <f>SUM('IMRO Decision 2006-10'!J356,'IMRO Decision 2006-10'!J358:J362)</f>
        <v>10029.420408163265</v>
      </c>
      <c r="E228" s="669">
        <f>SUM('IMRO Decision 2006-10'!K356,'IMRO Decision 2006-10'!K358:K362)</f>
        <v>38008.420408163263</v>
      </c>
      <c r="F228" s="669">
        <f>SUM('IMRO Decision 2006-10'!L356,'IMRO Decision 2006-10'!L358:L362)</f>
        <v>71353.020408163269</v>
      </c>
    </row>
    <row r="231" spans="1:14" ht="13.5" thickBot="1" x14ac:dyDescent="0.25">
      <c r="A231" s="625"/>
      <c r="B231" s="626"/>
      <c r="C231" s="625"/>
      <c r="D231" s="625"/>
      <c r="E231" s="625"/>
      <c r="F231" s="625"/>
      <c r="G231" s="625"/>
      <c r="H231" s="625"/>
      <c r="I231" s="625"/>
      <c r="J231" s="625"/>
      <c r="K231" s="625"/>
      <c r="L231" s="625"/>
      <c r="M231" s="625"/>
      <c r="N231" s="625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407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07" t="s">
        <v>396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0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1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0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51">
        <v>4532473.805165709</v>
      </c>
      <c r="E10" s="752">
        <v>3901457.2776575359</v>
      </c>
      <c r="F10" s="752">
        <v>1584273.64</v>
      </c>
      <c r="G10" s="752">
        <v>949291.2300000001</v>
      </c>
      <c r="H10" s="752"/>
      <c r="I10" s="752"/>
      <c r="J10" s="753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51">
        <v>4149037.5409553209</v>
      </c>
      <c r="E11" s="752">
        <v>4817824.8053511195</v>
      </c>
      <c r="F11" s="752">
        <v>760748.95</v>
      </c>
      <c r="G11" s="752">
        <v>160108.47999999998</v>
      </c>
      <c r="H11" s="752"/>
      <c r="I11" s="752"/>
      <c r="J11" s="753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51">
        <v>2210814.54</v>
      </c>
      <c r="E12" s="752">
        <v>66062251.949999988</v>
      </c>
      <c r="F12" s="752">
        <v>92857134.000426456</v>
      </c>
      <c r="G12" s="752">
        <v>97462298.309903547</v>
      </c>
      <c r="H12" s="752"/>
      <c r="I12" s="752"/>
      <c r="J12" s="753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51">
        <v>24047547.66</v>
      </c>
      <c r="E13" s="752">
        <v>21118048.699999999</v>
      </c>
      <c r="F13" s="752">
        <v>11333414.250000002</v>
      </c>
      <c r="G13" s="752">
        <v>9257594.75</v>
      </c>
      <c r="H13" s="752"/>
      <c r="I13" s="752"/>
      <c r="J13" s="753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51">
        <v>945747.1</v>
      </c>
      <c r="E14" s="752">
        <v>3326145.38</v>
      </c>
      <c r="F14" s="752">
        <v>16172606.329999998</v>
      </c>
      <c r="G14" s="752">
        <v>11529042.254151428</v>
      </c>
      <c r="H14" s="752"/>
      <c r="I14" s="752"/>
      <c r="J14" s="753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51">
        <v>527728.94999999995</v>
      </c>
      <c r="E15" s="752">
        <v>627653.81999999995</v>
      </c>
      <c r="F15" s="752">
        <v>349105.82</v>
      </c>
      <c r="G15" s="752">
        <v>174723.79</v>
      </c>
      <c r="H15" s="752"/>
      <c r="I15" s="752"/>
      <c r="J15" s="753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119533058.81405498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0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95202156.59042646</v>
      </c>
      <c r="G22" s="19">
        <f t="shared" si="7"/>
        <v>98571698.019903541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51">
        <v>0</v>
      </c>
      <c r="E23" s="752">
        <v>0</v>
      </c>
      <c r="F23" s="752">
        <v>0</v>
      </c>
      <c r="G23" s="752">
        <v>0</v>
      </c>
      <c r="H23" s="752"/>
      <c r="I23" s="752"/>
      <c r="J23" s="753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11333414.250000002</v>
      </c>
      <c r="G24" s="19">
        <f t="shared" ref="G24:J26" si="9">G13</f>
        <v>9257594.75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16172606.329999998</v>
      </c>
      <c r="G25" s="19">
        <f t="shared" si="9"/>
        <v>11529042.254151428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349105.82</v>
      </c>
      <c r="G26" s="19">
        <f t="shared" si="9"/>
        <v>174723.79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119533058.81405498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0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51">
        <v>0</v>
      </c>
      <c r="E34" s="752">
        <v>0</v>
      </c>
      <c r="F34" s="752">
        <v>0</v>
      </c>
      <c r="G34" s="752">
        <v>0</v>
      </c>
      <c r="H34" s="752"/>
      <c r="I34" s="752"/>
      <c r="J34" s="753"/>
      <c r="K34" s="36"/>
    </row>
    <row r="35" spans="1:11" x14ac:dyDescent="0.2">
      <c r="A35" s="83" t="s">
        <v>267</v>
      </c>
      <c r="C35" s="20"/>
      <c r="D35" s="751">
        <v>0</v>
      </c>
      <c r="E35" s="752">
        <v>0</v>
      </c>
      <c r="F35" s="752">
        <v>0</v>
      </c>
      <c r="G35" s="752">
        <v>0</v>
      </c>
      <c r="H35" s="752"/>
      <c r="I35" s="752"/>
      <c r="J35" s="753"/>
      <c r="K35" s="36"/>
    </row>
    <row r="36" spans="1:11" x14ac:dyDescent="0.2">
      <c r="A36" s="83" t="s">
        <v>363</v>
      </c>
      <c r="C36" s="20"/>
      <c r="D36" s="751">
        <v>0</v>
      </c>
      <c r="E36" s="752">
        <v>0</v>
      </c>
      <c r="F36" s="752">
        <v>0</v>
      </c>
      <c r="G36" s="752">
        <v>0</v>
      </c>
      <c r="H36" s="752"/>
      <c r="I36" s="752"/>
      <c r="J36" s="753"/>
      <c r="K36" s="36"/>
    </row>
    <row r="37" spans="1:11" x14ac:dyDescent="0.2">
      <c r="A37" s="83" t="s">
        <v>284</v>
      </c>
      <c r="C37" s="20"/>
      <c r="D37" s="751">
        <v>0</v>
      </c>
      <c r="E37" s="752">
        <v>0</v>
      </c>
      <c r="F37" s="752">
        <v>0</v>
      </c>
      <c r="G37" s="752">
        <v>0</v>
      </c>
      <c r="H37" s="752"/>
      <c r="I37" s="752"/>
      <c r="J37" s="753"/>
      <c r="K37" s="36"/>
    </row>
    <row r="38" spans="1:11" x14ac:dyDescent="0.2">
      <c r="A38" s="83" t="s">
        <v>286</v>
      </c>
      <c r="B38" s="446"/>
      <c r="C38" s="20"/>
      <c r="D38" s="751">
        <v>0</v>
      </c>
      <c r="E38" s="752">
        <v>0</v>
      </c>
      <c r="F38" s="752">
        <v>0</v>
      </c>
      <c r="G38" s="752">
        <v>0</v>
      </c>
      <c r="H38" s="752"/>
      <c r="I38" s="752"/>
      <c r="J38" s="753"/>
      <c r="K38" s="36"/>
    </row>
    <row r="39" spans="1:11" x14ac:dyDescent="0.2">
      <c r="A39" s="83" t="s">
        <v>285</v>
      </c>
      <c r="B39" s="447"/>
      <c r="C39" s="20"/>
      <c r="D39" s="751">
        <v>0</v>
      </c>
      <c r="E39" s="752">
        <v>0</v>
      </c>
      <c r="F39" s="752">
        <v>0</v>
      </c>
      <c r="G39" s="752">
        <v>0</v>
      </c>
      <c r="H39" s="752"/>
      <c r="I39" s="752"/>
      <c r="J39" s="753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ref="G40" si="15">SUM(G34:G39)</f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1"/>
      <c r="K42" s="2"/>
    </row>
    <row r="43" spans="1:11" x14ac:dyDescent="0.2">
      <c r="A43" s="83" t="s">
        <v>42</v>
      </c>
      <c r="C43" s="20"/>
      <c r="D43" s="751">
        <v>0</v>
      </c>
      <c r="E43" s="752">
        <v>0</v>
      </c>
      <c r="F43" s="752">
        <v>0</v>
      </c>
      <c r="G43" s="752">
        <v>0</v>
      </c>
      <c r="H43" s="752"/>
      <c r="I43" s="752"/>
      <c r="J43" s="753"/>
      <c r="K43" s="36"/>
    </row>
    <row r="44" spans="1:11" x14ac:dyDescent="0.2">
      <c r="A44" s="83" t="s">
        <v>267</v>
      </c>
      <c r="B44" s="447"/>
      <c r="C44" s="20"/>
      <c r="D44" s="751">
        <v>0</v>
      </c>
      <c r="E44" s="752">
        <v>0</v>
      </c>
      <c r="F44" s="752">
        <v>0</v>
      </c>
      <c r="G44" s="752">
        <v>0</v>
      </c>
      <c r="H44" s="752"/>
      <c r="I44" s="752"/>
      <c r="J44" s="753"/>
      <c r="K44" s="36"/>
    </row>
    <row r="45" spans="1:11" x14ac:dyDescent="0.2">
      <c r="A45" s="83" t="s">
        <v>363</v>
      </c>
      <c r="C45" s="20"/>
      <c r="D45" s="751">
        <v>0</v>
      </c>
      <c r="E45" s="752">
        <v>0</v>
      </c>
      <c r="F45" s="752">
        <v>0</v>
      </c>
      <c r="G45" s="752">
        <v>0</v>
      </c>
      <c r="H45" s="752"/>
      <c r="I45" s="752"/>
      <c r="J45" s="753"/>
      <c r="K45" s="36"/>
    </row>
    <row r="46" spans="1:11" x14ac:dyDescent="0.2">
      <c r="A46" s="83" t="s">
        <v>284</v>
      </c>
      <c r="C46" s="20"/>
      <c r="D46" s="751">
        <v>0</v>
      </c>
      <c r="E46" s="752">
        <v>0</v>
      </c>
      <c r="F46" s="752">
        <v>0</v>
      </c>
      <c r="G46" s="752">
        <v>0</v>
      </c>
      <c r="H46" s="752"/>
      <c r="I46" s="752"/>
      <c r="J46" s="753"/>
      <c r="K46" s="36"/>
    </row>
    <row r="47" spans="1:11" x14ac:dyDescent="0.2">
      <c r="A47" s="83" t="s">
        <v>286</v>
      </c>
      <c r="B47" s="89"/>
      <c r="C47" s="20"/>
      <c r="D47" s="751">
        <v>0</v>
      </c>
      <c r="E47" s="752">
        <v>0</v>
      </c>
      <c r="F47" s="752">
        <v>0</v>
      </c>
      <c r="G47" s="752">
        <v>0</v>
      </c>
      <c r="H47" s="752"/>
      <c r="I47" s="752"/>
      <c r="J47" s="753"/>
      <c r="K47" s="36"/>
    </row>
    <row r="48" spans="1:11" x14ac:dyDescent="0.2">
      <c r="A48" s="83" t="s">
        <v>285</v>
      </c>
      <c r="C48" s="20"/>
      <c r="D48" s="751">
        <v>0</v>
      </c>
      <c r="E48" s="752">
        <v>0</v>
      </c>
      <c r="F48" s="752">
        <v>0</v>
      </c>
      <c r="G48" s="752">
        <v>0</v>
      </c>
      <c r="H48" s="752"/>
      <c r="I48" s="752"/>
      <c r="J48" s="753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7">D$1</f>
        <v>2009</v>
      </c>
      <c r="E52" s="45">
        <f t="shared" si="17"/>
        <v>2010</v>
      </c>
      <c r="F52" s="45">
        <f t="shared" si="17"/>
        <v>2011</v>
      </c>
      <c r="G52" s="45">
        <f t="shared" si="17"/>
        <v>2012</v>
      </c>
      <c r="H52" s="45">
        <f t="shared" si="17"/>
        <v>2013</v>
      </c>
      <c r="I52" s="45">
        <f t="shared" si="17"/>
        <v>2014</v>
      </c>
      <c r="J52" s="46">
        <f t="shared" si="17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8">D$2</f>
        <v>Nominal $</v>
      </c>
      <c r="E53" s="48" t="str">
        <f t="shared" si="18"/>
        <v>Nominal $</v>
      </c>
      <c r="F53" s="48" t="str">
        <f t="shared" si="18"/>
        <v>Nominal $</v>
      </c>
      <c r="G53" s="48" t="str">
        <f t="shared" si="18"/>
        <v>Nominal $</v>
      </c>
      <c r="H53" s="48" t="str">
        <f t="shared" si="18"/>
        <v>Nominal $</v>
      </c>
      <c r="I53" s="48" t="str">
        <f t="shared" si="18"/>
        <v>Nominal $</v>
      </c>
      <c r="J53" s="49" t="str">
        <f t="shared" si="18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9">D$3</f>
        <v>Actual</v>
      </c>
      <c r="E54" s="51" t="str">
        <f t="shared" si="19"/>
        <v>Actual</v>
      </c>
      <c r="F54" s="51" t="str">
        <f t="shared" si="19"/>
        <v>Actual</v>
      </c>
      <c r="G54" s="51" t="str">
        <f t="shared" si="19"/>
        <v>Actual</v>
      </c>
      <c r="H54" s="51" t="str">
        <f t="shared" si="19"/>
        <v>Actual</v>
      </c>
      <c r="I54" s="51" t="str">
        <f t="shared" si="19"/>
        <v>Actual</v>
      </c>
      <c r="J54" s="720" t="str">
        <f t="shared" si="19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54">
        <v>24814068.844235312</v>
      </c>
      <c r="E55" s="755">
        <v>19953460.2551184</v>
      </c>
      <c r="F55" s="755">
        <v>26822517.64150586</v>
      </c>
      <c r="G55" s="755">
        <v>22519258.547136702</v>
      </c>
      <c r="H55" s="755"/>
      <c r="I55" s="755"/>
      <c r="J55" s="756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20">D$1</f>
        <v>2009</v>
      </c>
      <c r="E58" s="45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6">
        <f t="shared" si="20"/>
        <v>2015</v>
      </c>
      <c r="K58" s="19"/>
    </row>
    <row r="59" spans="1:11" s="1" customFormat="1" x14ac:dyDescent="0.2">
      <c r="B59" s="86"/>
      <c r="D59" s="718" t="s">
        <v>22</v>
      </c>
      <c r="E59" s="722" t="s">
        <v>22</v>
      </c>
      <c r="F59" s="722" t="s">
        <v>22</v>
      </c>
      <c r="G59" s="722" t="s">
        <v>22</v>
      </c>
      <c r="H59" s="722" t="s">
        <v>22</v>
      </c>
      <c r="I59" s="722" t="s">
        <v>22</v>
      </c>
      <c r="J59" s="719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57">
        <v>33138971.770000003</v>
      </c>
      <c r="E60" s="755">
        <v>71092652.63000001</v>
      </c>
      <c r="F60" s="755">
        <v>72026210.274123311</v>
      </c>
      <c r="G60" s="755">
        <v>79301450.791750014</v>
      </c>
      <c r="H60" s="755"/>
      <c r="I60" s="755"/>
      <c r="J60" s="756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21"/>
      <c r="O2" s="792"/>
      <c r="P2" s="2"/>
      <c r="Q2" s="723"/>
    </row>
    <row r="3" spans="1:17" s="1" customFormat="1" ht="15.75" x14ac:dyDescent="0.25">
      <c r="A3" s="70" t="s">
        <v>388</v>
      </c>
      <c r="B3" s="445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700" t="s">
        <v>20</v>
      </c>
      <c r="I3" s="61" t="s">
        <v>18</v>
      </c>
      <c r="J3" s="62" t="s">
        <v>18</v>
      </c>
      <c r="K3" s="108"/>
      <c r="L3" s="21"/>
      <c r="M3" s="21"/>
      <c r="N3" s="21"/>
      <c r="O3" s="793" t="str">
        <f>H3</f>
        <v>Actual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395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Actual</v>
      </c>
      <c r="H9" s="51" t="str">
        <f t="shared" si="1"/>
        <v>Actual</v>
      </c>
      <c r="I9" s="51" t="str">
        <f t="shared" si="1"/>
        <v>Forecast</v>
      </c>
      <c r="J9" s="720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58">
        <f>'Data 2009-12'!D10/D$145</f>
        <v>4317419.4924881766</v>
      </c>
      <c r="E10" s="759">
        <f>'Data 2009-12'!E10/E$145</f>
        <v>3670054.1176541243</v>
      </c>
      <c r="F10" s="759">
        <f>'Data 2009-12'!F10/F$145</f>
        <v>1449889.2054472012</v>
      </c>
      <c r="G10" s="759">
        <f>'Data 2009-12'!G10/G$145</f>
        <v>839228.47869565233</v>
      </c>
      <c r="H10" s="759">
        <f>'DNSP Data Inputs 2013-15'!H10/$H$145</f>
        <v>81803.211291250249</v>
      </c>
      <c r="I10" s="759">
        <f>'DNSP Data Inputs 2013-15'!I10/$I$145</f>
        <v>0</v>
      </c>
      <c r="J10" s="760">
        <f>'DNSP Data Inputs 2013-15'!J10/$I$145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58">
        <f>'Data 2009-12'!D11/D$145</f>
        <v>3952176.300273357</v>
      </c>
      <c r="E11" s="759">
        <f>'Data 2009-12'!E11/E$145</f>
        <v>4532070.0719376495</v>
      </c>
      <c r="F11" s="759">
        <f>'Data 2009-12'!F11/F$145</f>
        <v>696219.1775533756</v>
      </c>
      <c r="G11" s="759">
        <f>'Data 2009-12'!G11/G$145</f>
        <v>141545.17797101449</v>
      </c>
      <c r="H11" s="759">
        <f>'DNSP Data Inputs 2013-15'!H11/$H$145</f>
        <v>103663.9531701831</v>
      </c>
      <c r="I11" s="759">
        <f>'DNSP Data Inputs 2013-15'!I11/$I$145</f>
        <v>0</v>
      </c>
      <c r="J11" s="760">
        <f>'DNSP Data Inputs 2013-15'!J11/$I$145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58">
        <f>'Data 2009-12'!D12/D$145</f>
        <v>2105917.0332972975</v>
      </c>
      <c r="E12" s="759">
        <f>'Data 2009-12'!E12/E$145</f>
        <v>62143968.916192174</v>
      </c>
      <c r="F12" s="759">
        <f>'Data 2009-12'!F12/F$145</f>
        <v>84980620.03732045</v>
      </c>
      <c r="G12" s="759">
        <f>'Data 2009-12'!G12/G$145</f>
        <v>86162321.694262564</v>
      </c>
      <c r="H12" s="759">
        <f>'DNSP Data Inputs 2013-15'!H12/$H$145</f>
        <v>63106264.726613119</v>
      </c>
      <c r="I12" s="759">
        <f>'DNSP Data Inputs 2013-15'!I12/$I$145</f>
        <v>6247090.3848163961</v>
      </c>
      <c r="J12" s="760">
        <f>'DNSP Data Inputs 2013-15'!J12/$I$145</f>
        <v>6224205.5387159772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58">
        <f>'Data 2009-12'!D13/D$145</f>
        <v>22906552.906162161</v>
      </c>
      <c r="E13" s="759">
        <f>'Data 2009-12'!E13/E$145</f>
        <v>19865495.39632266</v>
      </c>
      <c r="F13" s="759">
        <f>'Data 2009-12'!F13/F$145</f>
        <v>10372068.667339874</v>
      </c>
      <c r="G13" s="759">
        <f>'Data 2009-12'!G13/G$145</f>
        <v>8184250.4311594209</v>
      </c>
      <c r="H13" s="759">
        <f>'DNSP Data Inputs 2013-15'!H13/$H$145</f>
        <v>5535941.224674412</v>
      </c>
      <c r="I13" s="759">
        <f>'DNSP Data Inputs 2013-15'!I13/$I$145</f>
        <v>6166349.8576883422</v>
      </c>
      <c r="J13" s="760">
        <f>'DNSP Data Inputs 2013-15'!J13/$I$145</f>
        <v>4594699.8172959602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58">
        <f>'Data 2009-12'!D14/D$145</f>
        <v>900873.81417417421</v>
      </c>
      <c r="E14" s="759">
        <f>'Data 2009-12'!E14/E$145</f>
        <v>3128865.1083511272</v>
      </c>
      <c r="F14" s="759">
        <f>'Data 2009-12'!F14/F$145</f>
        <v>14800781.096006922</v>
      </c>
      <c r="G14" s="759">
        <f>'Data 2009-12'!G14/G$145</f>
        <v>10192341.702945465</v>
      </c>
      <c r="H14" s="759">
        <f>'DNSP Data Inputs 2013-15'!H14/$H$145</f>
        <v>3566270.9641136019</v>
      </c>
      <c r="I14" s="759">
        <f>'DNSP Data Inputs 2013-15'!I14/$I$145</f>
        <v>1993455.3734855996</v>
      </c>
      <c r="J14" s="760">
        <f>'DNSP Data Inputs 2013-15'!J14/$I$145</f>
        <v>940886.73833913868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58">
        <f>'Data 2009-12'!D15/D$145</f>
        <v>502689.55837837834</v>
      </c>
      <c r="E15" s="759">
        <f>'Data 2009-12'!E15/E$145</f>
        <v>590426.42854092538</v>
      </c>
      <c r="F15" s="759">
        <f>'Data 2009-12'!F15/F$145</f>
        <v>319493.26631275244</v>
      </c>
      <c r="G15" s="759">
        <f>'Data 2009-12'!G15/G$145</f>
        <v>154465.95927536234</v>
      </c>
      <c r="H15" s="759">
        <f>'DNSP Data Inputs 2013-15'!H15/$H$145</f>
        <v>32701.787470744006</v>
      </c>
      <c r="I15" s="759">
        <f>'DNSP Data Inputs 2013-15'!I15/$I$145</f>
        <v>106793.71725331793</v>
      </c>
      <c r="J15" s="760">
        <f>'DNSP Data Inputs 2013-15'!J15/$I$145</f>
        <v>115134.63127524524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72426645.867333323</v>
      </c>
      <c r="I16" s="12">
        <f t="shared" si="2"/>
        <v>14513689.333243655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Actual</v>
      </c>
      <c r="H21" s="51" t="str">
        <f t="shared" si="4"/>
        <v>Actual</v>
      </c>
      <c r="I21" s="51" t="str">
        <f t="shared" si="4"/>
        <v>Forecast</v>
      </c>
      <c r="J21" s="720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70346093.105783954</v>
      </c>
      <c r="F22" s="19">
        <f t="shared" si="5"/>
        <v>87126728.420321032</v>
      </c>
      <c r="G22" s="19">
        <f t="shared" si="5"/>
        <v>87143095.35092923</v>
      </c>
      <c r="H22" s="19">
        <f t="shared" si="5"/>
        <v>63291731.891074553</v>
      </c>
      <c r="I22" s="19">
        <f t="shared" si="5"/>
        <v>6247090.3848163961</v>
      </c>
      <c r="J22" s="325">
        <f t="shared" si="5"/>
        <v>6224205.5387159772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58">
        <f>'Data 2009-12'!D23/D$145</f>
        <v>0</v>
      </c>
      <c r="E23" s="759">
        <f>'Data 2009-12'!E23/E$145</f>
        <v>0</v>
      </c>
      <c r="F23" s="759">
        <f>'Data 2009-12'!F23/F$145</f>
        <v>0</v>
      </c>
      <c r="G23" s="759">
        <f>'Data 2009-12'!G23/G$145</f>
        <v>0</v>
      </c>
      <c r="H23" s="759">
        <f>'DNSP Data Inputs 2013-15'!H23/$H$145</f>
        <v>0</v>
      </c>
      <c r="I23" s="759">
        <f>'DNSP Data Inputs 2013-15'!I23/$I$145</f>
        <v>0</v>
      </c>
      <c r="J23" s="760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19865495.39632266</v>
      </c>
      <c r="F24" s="19">
        <f t="shared" si="6"/>
        <v>10372068.667339874</v>
      </c>
      <c r="G24" s="19">
        <f t="shared" ref="G24:J26" si="7">G13</f>
        <v>8184250.4311594209</v>
      </c>
      <c r="H24" s="19">
        <f t="shared" si="7"/>
        <v>5535941.224674412</v>
      </c>
      <c r="I24" s="19">
        <f t="shared" si="7"/>
        <v>6166349.8576883422</v>
      </c>
      <c r="J24" s="325">
        <f t="shared" si="7"/>
        <v>4594699.8172959602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3128865.1083511272</v>
      </c>
      <c r="F25" s="19">
        <f t="shared" si="6"/>
        <v>14800781.096006922</v>
      </c>
      <c r="G25" s="19">
        <f t="shared" si="7"/>
        <v>10192341.702945465</v>
      </c>
      <c r="H25" s="19">
        <f t="shared" si="7"/>
        <v>3566270.9641136019</v>
      </c>
      <c r="I25" s="19">
        <f t="shared" si="7"/>
        <v>1993455.3734855996</v>
      </c>
      <c r="J25" s="325">
        <f t="shared" si="7"/>
        <v>940886.73833913868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590426.42854092538</v>
      </c>
      <c r="F26" s="19">
        <f t="shared" si="6"/>
        <v>319493.26631275244</v>
      </c>
      <c r="G26" s="19">
        <f t="shared" si="7"/>
        <v>154465.95927536234</v>
      </c>
      <c r="H26" s="19">
        <f t="shared" si="7"/>
        <v>32701.787470744006</v>
      </c>
      <c r="I26" s="19">
        <f t="shared" si="7"/>
        <v>106793.71725331793</v>
      </c>
      <c r="J26" s="325">
        <f t="shared" si="7"/>
        <v>115134.63127524524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72426645.867333323</v>
      </c>
      <c r="I27" s="12">
        <f t="shared" si="8"/>
        <v>14513689.333243655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Actual</v>
      </c>
      <c r="H32" s="51" t="str">
        <f t="shared" si="10"/>
        <v>Actual</v>
      </c>
      <c r="I32" s="51" t="str">
        <f t="shared" si="10"/>
        <v>Forecast</v>
      </c>
      <c r="J32" s="720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63">
        <f>'Data 2009-12'!D34/D$145</f>
        <v>0</v>
      </c>
      <c r="E34" s="764">
        <f>'Data 2009-12'!E34/E$145</f>
        <v>0</v>
      </c>
      <c r="F34" s="764">
        <f>'Data 2009-12'!F34/F$145</f>
        <v>0</v>
      </c>
      <c r="G34" s="764">
        <f>'Data 2009-12'!G34/G$145</f>
        <v>0</v>
      </c>
      <c r="H34" s="759">
        <f>'DNSP Data Inputs 2013-15'!H34/$H$145</f>
        <v>0</v>
      </c>
      <c r="I34" s="759">
        <f>'DNSP Data Inputs 2013-15'!I34/$I$145</f>
        <v>0</v>
      </c>
      <c r="J34" s="760">
        <f>'DNSP Data Inputs 2013-15'!J34/$I$145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63">
        <f>'Data 2009-12'!D35/D$145</f>
        <v>0</v>
      </c>
      <c r="E35" s="764">
        <f>'Data 2009-12'!E35/E$145</f>
        <v>0</v>
      </c>
      <c r="F35" s="764">
        <f>'Data 2009-12'!F35/F$145</f>
        <v>0</v>
      </c>
      <c r="G35" s="764">
        <f>'Data 2009-12'!G35/G$145</f>
        <v>0</v>
      </c>
      <c r="H35" s="759">
        <f>'DNSP Data Inputs 2013-15'!H35/$H$145</f>
        <v>0</v>
      </c>
      <c r="I35" s="759">
        <f>'DNSP Data Inputs 2013-15'!I35/$I$145</f>
        <v>0</v>
      </c>
      <c r="J35" s="760">
        <f>'DNSP Data Inputs 2013-15'!J35/$I$145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63">
        <f>'Data 2009-12'!D36/D$145</f>
        <v>0</v>
      </c>
      <c r="E36" s="764">
        <f>'Data 2009-12'!E36/E$145</f>
        <v>0</v>
      </c>
      <c r="F36" s="764">
        <f>'Data 2009-12'!F36/F$145</f>
        <v>0</v>
      </c>
      <c r="G36" s="764">
        <f>'Data 2009-12'!G36/G$145</f>
        <v>0</v>
      </c>
      <c r="H36" s="759">
        <f>'DNSP Data Inputs 2013-15'!H36/$H$145</f>
        <v>0</v>
      </c>
      <c r="I36" s="759">
        <f>'DNSP Data Inputs 2013-15'!I36/$I$145</f>
        <v>0</v>
      </c>
      <c r="J36" s="760">
        <f>'DNSP Data Inputs 2013-15'!J36/$I$145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63">
        <f>'Data 2009-12'!D37/D$145</f>
        <v>0</v>
      </c>
      <c r="E37" s="764">
        <f>'Data 2009-12'!E37/E$145</f>
        <v>0</v>
      </c>
      <c r="F37" s="764">
        <f>'Data 2009-12'!F37/F$145</f>
        <v>0</v>
      </c>
      <c r="G37" s="764">
        <f>'Data 2009-12'!G37/G$145</f>
        <v>0</v>
      </c>
      <c r="H37" s="759">
        <f>'DNSP Data Inputs 2013-15'!H37/$H$145</f>
        <v>0</v>
      </c>
      <c r="I37" s="759">
        <f>'DNSP Data Inputs 2013-15'!I37/$I$145</f>
        <v>0</v>
      </c>
      <c r="J37" s="760">
        <f>'DNSP Data Inputs 2013-15'!J37/$I$145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63">
        <f>'Data 2009-12'!D38/D$145</f>
        <v>0</v>
      </c>
      <c r="E38" s="764">
        <f>'Data 2009-12'!E38/E$145</f>
        <v>0</v>
      </c>
      <c r="F38" s="764">
        <f>'Data 2009-12'!F38/F$145</f>
        <v>0</v>
      </c>
      <c r="G38" s="764">
        <f>'Data 2009-12'!G38/G$145</f>
        <v>0</v>
      </c>
      <c r="H38" s="759">
        <f>'DNSP Data Inputs 2013-15'!H38/$H$145</f>
        <v>0</v>
      </c>
      <c r="I38" s="759">
        <f>'DNSP Data Inputs 2013-15'!I38/$I$145</f>
        <v>0</v>
      </c>
      <c r="J38" s="760">
        <f>'DNSP Data Inputs 2013-15'!J38/$I$145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63">
        <f>'Data 2009-12'!D39/D$145</f>
        <v>0</v>
      </c>
      <c r="E39" s="764">
        <f>'Data 2009-12'!E39/E$145</f>
        <v>0</v>
      </c>
      <c r="F39" s="764">
        <f>'Data 2009-12'!F39/F$145</f>
        <v>0</v>
      </c>
      <c r="G39" s="764">
        <f>'Data 2009-12'!G39/G$145</f>
        <v>0</v>
      </c>
      <c r="H39" s="759">
        <f>'DNSP Data Inputs 2013-15'!H39/$H$145</f>
        <v>0</v>
      </c>
      <c r="I39" s="759">
        <f>'DNSP Data Inputs 2013-15'!I39/$I$145</f>
        <v>0</v>
      </c>
      <c r="J39" s="760">
        <f>'DNSP Data Inputs 2013-15'!J39/$I$145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ref="G40" si="14">SUM(G34:G39)</f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1"/>
      <c r="K42" s="2"/>
      <c r="M42" s="2"/>
      <c r="N42" s="2"/>
      <c r="O42" s="2"/>
    </row>
    <row r="43" spans="1:15" x14ac:dyDescent="0.2">
      <c r="A43" s="83" t="str">
        <f t="shared" ref="A43:A48" si="15">A10</f>
        <v>Accumulation Meters</v>
      </c>
      <c r="C43" s="20"/>
      <c r="D43" s="763">
        <f>'Data 2009-12'!D43/D$145</f>
        <v>0</v>
      </c>
      <c r="E43" s="764">
        <f>'Data 2009-12'!E43/E$145</f>
        <v>0</v>
      </c>
      <c r="F43" s="764">
        <f>'Data 2009-12'!F43/F$145</f>
        <v>0</v>
      </c>
      <c r="G43" s="764">
        <f>'Data 2009-12'!G43/G$145</f>
        <v>0</v>
      </c>
      <c r="H43" s="759">
        <f>'DNSP Data Inputs 2013-15'!H43/$H$145</f>
        <v>0</v>
      </c>
      <c r="I43" s="759">
        <f>'DNSP Data Inputs 2013-15'!I43/$I$145</f>
        <v>0</v>
      </c>
      <c r="J43" s="760">
        <f>'DNSP Data Inputs 2013-15'!J43/$I$145</f>
        <v>0</v>
      </c>
      <c r="K43" s="36"/>
      <c r="M43" s="2"/>
      <c r="N43" s="2"/>
      <c r="O43" s="2"/>
    </row>
    <row r="44" spans="1:15" x14ac:dyDescent="0.2">
      <c r="A44" s="83" t="str">
        <f t="shared" si="15"/>
        <v>Manually read interval meters</v>
      </c>
      <c r="B44" s="447"/>
      <c r="C44" s="20"/>
      <c r="D44" s="763">
        <f>'Data 2009-12'!D44/D$145</f>
        <v>0</v>
      </c>
      <c r="E44" s="764">
        <f>'Data 2009-12'!E44/E$145</f>
        <v>0</v>
      </c>
      <c r="F44" s="764">
        <f>'Data 2009-12'!F44/F$145</f>
        <v>0</v>
      </c>
      <c r="G44" s="764">
        <f>'Data 2009-12'!G44/G$145</f>
        <v>0</v>
      </c>
      <c r="H44" s="759">
        <f>'DNSP Data Inputs 2013-15'!H44/$H$145</f>
        <v>0</v>
      </c>
      <c r="I44" s="759">
        <f>'DNSP Data Inputs 2013-15'!I44/$I$145</f>
        <v>0</v>
      </c>
      <c r="J44" s="760">
        <f>'DNSP Data Inputs 2013-15'!J44/$I$145</f>
        <v>0</v>
      </c>
      <c r="K44" s="36"/>
      <c r="M44" s="2"/>
      <c r="N44" s="2"/>
      <c r="O44" s="2"/>
    </row>
    <row r="45" spans="1:15" x14ac:dyDescent="0.2">
      <c r="A45" s="83" t="str">
        <f t="shared" si="15"/>
        <v>Remotely read interval meters &amp; transformers</v>
      </c>
      <c r="C45" s="20"/>
      <c r="D45" s="763">
        <f>'Data 2009-12'!D45/D$145</f>
        <v>0</v>
      </c>
      <c r="E45" s="764">
        <f>'Data 2009-12'!E45/E$145</f>
        <v>0</v>
      </c>
      <c r="F45" s="764">
        <f>'Data 2009-12'!F45/F$145</f>
        <v>0</v>
      </c>
      <c r="G45" s="764">
        <f>'Data 2009-12'!G45/G$145</f>
        <v>0</v>
      </c>
      <c r="H45" s="759">
        <f>'DNSP Data Inputs 2013-15'!H45/$H$145</f>
        <v>0</v>
      </c>
      <c r="I45" s="759">
        <f>'DNSP Data Inputs 2013-15'!I45/$I$145</f>
        <v>0</v>
      </c>
      <c r="J45" s="760">
        <f>'DNSP Data Inputs 2013-15'!J45/$I$145</f>
        <v>0</v>
      </c>
      <c r="K45" s="36"/>
      <c r="M45" s="2"/>
      <c r="N45" s="2"/>
      <c r="O45" s="2"/>
    </row>
    <row r="46" spans="1:15" x14ac:dyDescent="0.2">
      <c r="A46" s="83" t="str">
        <f t="shared" si="15"/>
        <v>IT</v>
      </c>
      <c r="C46" s="20"/>
      <c r="D46" s="763">
        <f>'Data 2009-12'!D46/D$145</f>
        <v>0</v>
      </c>
      <c r="E46" s="764">
        <f>'Data 2009-12'!E46/E$145</f>
        <v>0</v>
      </c>
      <c r="F46" s="764">
        <f>'Data 2009-12'!F46/F$145</f>
        <v>0</v>
      </c>
      <c r="G46" s="764">
        <f>'Data 2009-12'!G46/G$145</f>
        <v>0</v>
      </c>
      <c r="H46" s="759">
        <f>'DNSP Data Inputs 2013-15'!H46/$H$145</f>
        <v>0</v>
      </c>
      <c r="I46" s="759">
        <f>'DNSP Data Inputs 2013-15'!I46/$I$145</f>
        <v>0</v>
      </c>
      <c r="J46" s="760">
        <f>'DNSP Data Inputs 2013-15'!J46/$I$145</f>
        <v>0</v>
      </c>
      <c r="K46" s="36"/>
      <c r="M46" s="2"/>
      <c r="N46" s="2"/>
      <c r="O46" s="2"/>
    </row>
    <row r="47" spans="1:15" x14ac:dyDescent="0.2">
      <c r="A47" s="83" t="str">
        <f t="shared" si="15"/>
        <v>Communications</v>
      </c>
      <c r="B47" s="89"/>
      <c r="C47" s="20"/>
      <c r="D47" s="763">
        <f>'Data 2009-12'!D47/D$145</f>
        <v>0</v>
      </c>
      <c r="E47" s="764">
        <f>'Data 2009-12'!E47/E$145</f>
        <v>0</v>
      </c>
      <c r="F47" s="764">
        <f>'Data 2009-12'!F47/F$145</f>
        <v>0</v>
      </c>
      <c r="G47" s="764">
        <f>'Data 2009-12'!G47/G$145</f>
        <v>0</v>
      </c>
      <c r="H47" s="759">
        <f>'DNSP Data Inputs 2013-15'!H47/$H$145</f>
        <v>0</v>
      </c>
      <c r="I47" s="759">
        <f>'DNSP Data Inputs 2013-15'!I47/$I$145</f>
        <v>0</v>
      </c>
      <c r="J47" s="760">
        <f>'DNSP Data Inputs 2013-15'!J47/$I$145</f>
        <v>0</v>
      </c>
      <c r="K47" s="36"/>
      <c r="M47" s="2"/>
      <c r="N47" s="2"/>
      <c r="O47" s="2"/>
    </row>
    <row r="48" spans="1:15" x14ac:dyDescent="0.2">
      <c r="A48" s="83" t="str">
        <f t="shared" si="15"/>
        <v>Other</v>
      </c>
      <c r="C48" s="20"/>
      <c r="D48" s="763">
        <f>'Data 2009-12'!D48/D$145</f>
        <v>0</v>
      </c>
      <c r="E48" s="764">
        <f>'Data 2009-12'!E48/E$145</f>
        <v>0</v>
      </c>
      <c r="F48" s="764">
        <f>'Data 2009-12'!F48/F$145</f>
        <v>0</v>
      </c>
      <c r="G48" s="764">
        <f>'Data 2009-12'!G48/G$145</f>
        <v>0</v>
      </c>
      <c r="H48" s="759">
        <f>'DNSP Data Inputs 2013-15'!H48/$H$145</f>
        <v>0</v>
      </c>
      <c r="I48" s="759">
        <f>'DNSP Data Inputs 2013-15'!I48/$I$145</f>
        <v>0</v>
      </c>
      <c r="J48" s="760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7">D$2</f>
        <v>Real 2008 $</v>
      </c>
      <c r="E53" s="48" t="str">
        <f t="shared" si="17"/>
        <v>Real 2008 $</v>
      </c>
      <c r="F53" s="48" t="str">
        <f t="shared" si="17"/>
        <v>Real 2008 $</v>
      </c>
      <c r="G53" s="48" t="str">
        <f t="shared" si="17"/>
        <v>Real 2008 $</v>
      </c>
      <c r="H53" s="48" t="str">
        <f t="shared" si="17"/>
        <v>Real 2008 $</v>
      </c>
      <c r="I53" s="48" t="str">
        <f t="shared" si="17"/>
        <v>Real 2008 $</v>
      </c>
      <c r="J53" s="49" t="str">
        <f t="shared" si="17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Forecast</v>
      </c>
      <c r="J54" s="720" t="str">
        <f t="shared" si="18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398</v>
      </c>
      <c r="B55" s="83"/>
      <c r="C55" s="2"/>
      <c r="D55" s="761">
        <f>'Data 2009-12'!D55/D$145</f>
        <v>23636704.616791114</v>
      </c>
      <c r="E55" s="762">
        <f>'Data 2009-12'!E55/E$145</f>
        <v>18769980.999180183</v>
      </c>
      <c r="F55" s="762">
        <f>'Data 2009-12'!F55/F$145</f>
        <v>24547324.281262718</v>
      </c>
      <c r="G55" s="762">
        <f>'Data 2009-12'!G55/G$145</f>
        <v>19908330.019932449</v>
      </c>
      <c r="H55" s="762">
        <f>'DNSP Data Inputs 2013-15'!H55/$H$145</f>
        <v>19016391.546282612</v>
      </c>
      <c r="I55" s="780">
        <f>'DNSP Data Inputs 2013-15'!I55/$I$145+I56</f>
        <v>19789114.33993965</v>
      </c>
      <c r="J55" s="781">
        <f>'DNSP Data Inputs 2013-15'!J55/$I$145+J56</f>
        <v>19232385.668599289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393</v>
      </c>
      <c r="B56" s="446"/>
      <c r="C56" s="785"/>
      <c r="D56" s="778"/>
      <c r="E56" s="778"/>
      <c r="F56" s="778"/>
      <c r="G56" s="778"/>
      <c r="H56" s="778"/>
      <c r="I56" s="779">
        <f>'AMI RAB 2009-15'!I12*10^3*$I$133*I57</f>
        <v>200894.17022308099</v>
      </c>
      <c r="J56" s="779">
        <f>'AMI RAB 2009-15'!J12*10^3*$I$133*J57</f>
        <v>185251.74590112059</v>
      </c>
      <c r="K56" s="19"/>
      <c r="L56" s="2"/>
      <c r="M56" s="21"/>
      <c r="N56" s="21"/>
      <c r="O56" s="21"/>
    </row>
    <row r="57" spans="1:15" s="1" customFormat="1" x14ac:dyDescent="0.2">
      <c r="A57" s="777" t="s">
        <v>394</v>
      </c>
      <c r="B57" s="442"/>
      <c r="C57" s="785"/>
      <c r="D57" s="778"/>
      <c r="E57" s="778"/>
      <c r="F57" s="778"/>
      <c r="G57" s="778"/>
      <c r="H57" s="778"/>
      <c r="I57" s="786">
        <v>1.08E-3</v>
      </c>
      <c r="J57" s="786">
        <v>1.08E-3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45">
        <f t="shared" si="19"/>
        <v>2011</v>
      </c>
      <c r="G58" s="45">
        <f t="shared" si="19"/>
        <v>2012</v>
      </c>
      <c r="H58" s="45">
        <f t="shared" si="19"/>
        <v>2013</v>
      </c>
      <c r="I58" s="45">
        <f t="shared" si="19"/>
        <v>2014</v>
      </c>
      <c r="J58" s="46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18" t="s">
        <v>22</v>
      </c>
      <c r="E59" s="722" t="s">
        <v>22</v>
      </c>
      <c r="F59" s="788" t="s">
        <v>22</v>
      </c>
      <c r="G59" s="722" t="s">
        <v>22</v>
      </c>
      <c r="H59" s="722" t="s">
        <v>22</v>
      </c>
      <c r="I59" s="722" t="s">
        <v>22</v>
      </c>
      <c r="J59" s="719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789">
        <f>'Data 2009-12'!D60</f>
        <v>33138971.770000003</v>
      </c>
      <c r="E60" s="874">
        <f>'Data 2009-12'!E60</f>
        <v>71092652.63000001</v>
      </c>
      <c r="F60" s="874">
        <f>'Data 2009-12'!F60</f>
        <v>72026210.274123311</v>
      </c>
      <c r="G60" s="874">
        <f>'Data 2009-12'!G60</f>
        <v>79301450.791750014</v>
      </c>
      <c r="H60" s="877">
        <f>'DNSP Data Inputs 2013-15'!H60</f>
        <v>99912045.450000003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952" t="s">
        <v>380</v>
      </c>
      <c r="F65" s="969"/>
      <c r="G65" s="969"/>
      <c r="H65" s="969"/>
      <c r="I65" s="969"/>
      <c r="J65" s="953"/>
      <c r="K65" s="32"/>
      <c r="L65" s="2"/>
      <c r="N65" s="2"/>
      <c r="O65" s="952" t="s">
        <v>23</v>
      </c>
      <c r="P65" s="970"/>
      <c r="Q65" s="954"/>
    </row>
    <row r="66" spans="1:17" x14ac:dyDescent="0.2">
      <c r="L66" s="2"/>
    </row>
    <row r="67" spans="1:17" x14ac:dyDescent="0.2">
      <c r="D67" s="54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4" t="s">
        <v>20</v>
      </c>
      <c r="F68" s="725" t="s">
        <v>20</v>
      </c>
      <c r="G68" s="725" t="s">
        <v>20</v>
      </c>
      <c r="H68" s="725" t="s">
        <v>20</v>
      </c>
      <c r="I68" s="725" t="s">
        <v>20</v>
      </c>
      <c r="J68" s="726" t="s">
        <v>21</v>
      </c>
      <c r="K68" s="108"/>
      <c r="L68" s="2"/>
      <c r="M68" s="21"/>
      <c r="N68" s="2"/>
      <c r="O68" s="683" t="str">
        <f>O$3</f>
        <v>Actual</v>
      </c>
      <c r="P68" s="727" t="str">
        <f>P$3</f>
        <v>Forecast</v>
      </c>
      <c r="Q68" s="728" t="str">
        <f>Q$3</f>
        <v>Forecast</v>
      </c>
    </row>
    <row r="69" spans="1:17" x14ac:dyDescent="0.2">
      <c r="B69" s="1"/>
      <c r="D69" s="308"/>
      <c r="E69" s="729" t="s">
        <v>22</v>
      </c>
      <c r="F69" s="713" t="s">
        <v>22</v>
      </c>
      <c r="G69" s="720" t="s">
        <v>22</v>
      </c>
      <c r="H69" s="720" t="s">
        <v>22</v>
      </c>
      <c r="I69" s="720" t="s">
        <v>22</v>
      </c>
      <c r="J69" s="720" t="s">
        <v>22</v>
      </c>
      <c r="K69" s="108"/>
      <c r="L69" s="2"/>
      <c r="M69" s="21"/>
      <c r="N69" s="2"/>
      <c r="O69" s="729"/>
      <c r="P69" s="730"/>
      <c r="Q69" s="731"/>
    </row>
    <row r="70" spans="1:17" x14ac:dyDescent="0.2">
      <c r="B70" s="89"/>
      <c r="D70" s="20"/>
      <c r="E70" s="732"/>
      <c r="F70" s="734"/>
      <c r="G70" s="734"/>
      <c r="H70" s="20"/>
      <c r="I70" s="20"/>
      <c r="J70" s="733"/>
      <c r="K70" s="2"/>
      <c r="L70" s="2"/>
      <c r="M70" s="21"/>
      <c r="N70" s="2"/>
      <c r="O70" s="732"/>
      <c r="P70" s="734"/>
      <c r="Q70" s="733"/>
    </row>
    <row r="71" spans="1:17" x14ac:dyDescent="0.2">
      <c r="A71" s="88" t="s">
        <v>24</v>
      </c>
      <c r="B71" s="89"/>
      <c r="D71" s="332"/>
      <c r="E71" s="339" t="s">
        <v>25</v>
      </c>
      <c r="F71" s="697"/>
      <c r="G71" s="697"/>
      <c r="H71" s="697"/>
      <c r="I71" s="697"/>
      <c r="J71" s="121"/>
      <c r="K71" s="118"/>
      <c r="L71" s="2"/>
      <c r="M71" s="21"/>
      <c r="N71" s="2"/>
      <c r="O71" s="23"/>
      <c r="P71" s="20"/>
      <c r="Q71" s="721"/>
    </row>
    <row r="72" spans="1:17" x14ac:dyDescent="0.2">
      <c r="A72" s="82" t="s">
        <v>26</v>
      </c>
      <c r="B72" s="53"/>
      <c r="D72" s="337"/>
      <c r="E72" s="684">
        <v>0</v>
      </c>
      <c r="F72" s="716">
        <v>0</v>
      </c>
      <c r="G72" s="716">
        <v>0</v>
      </c>
      <c r="H72" s="716">
        <v>0</v>
      </c>
      <c r="I72" s="716">
        <v>0</v>
      </c>
      <c r="J72" s="690">
        <f>'DNSP Data Inputs 2013-15'!J72</f>
        <v>0</v>
      </c>
      <c r="K72" s="119"/>
      <c r="L72" s="2"/>
      <c r="M72" s="21"/>
      <c r="N72" s="2"/>
      <c r="O72" s="686">
        <f>'DNSP Data Inputs 2013-15'!O72</f>
        <v>0</v>
      </c>
      <c r="P72" s="735">
        <f>'DNSP Data Inputs 2013-15'!P72</f>
        <v>0</v>
      </c>
      <c r="Q72" s="687">
        <f>'DNSP Data Inputs 2013-15'!Q72</f>
        <v>0</v>
      </c>
    </row>
    <row r="73" spans="1:17" x14ac:dyDescent="0.2">
      <c r="A73" s="82" t="s">
        <v>27</v>
      </c>
      <c r="B73" s="444"/>
      <c r="D73" s="337"/>
      <c r="E73" s="684">
        <v>0</v>
      </c>
      <c r="F73" s="716">
        <v>0</v>
      </c>
      <c r="G73" s="716">
        <v>0</v>
      </c>
      <c r="H73" s="716">
        <v>0</v>
      </c>
      <c r="I73" s="716">
        <v>0</v>
      </c>
      <c r="J73" s="690">
        <f>'DNSP Data Inputs 2013-15'!J73</f>
        <v>0</v>
      </c>
      <c r="K73" s="119"/>
      <c r="L73" s="2"/>
      <c r="M73" s="21"/>
      <c r="N73" s="2"/>
      <c r="O73" s="686">
        <f>'DNSP Data Inputs 2013-15'!O73</f>
        <v>0</v>
      </c>
      <c r="P73" s="735">
        <f>'DNSP Data Inputs 2013-15'!P73</f>
        <v>0</v>
      </c>
      <c r="Q73" s="687">
        <f>'DNSP Data Inputs 2013-15'!Q73</f>
        <v>0</v>
      </c>
    </row>
    <row r="74" spans="1:17" x14ac:dyDescent="0.2">
      <c r="A74" s="551" t="s">
        <v>370</v>
      </c>
      <c r="B74" s="2"/>
      <c r="D74" s="337"/>
      <c r="E74" s="684">
        <v>0</v>
      </c>
      <c r="F74" s="716">
        <v>0</v>
      </c>
      <c r="G74" s="716">
        <v>0</v>
      </c>
      <c r="H74" s="716">
        <v>0</v>
      </c>
      <c r="I74" s="716">
        <v>0</v>
      </c>
      <c r="J74" s="690">
        <f>'DNSP Data Inputs 2013-15'!J74</f>
        <v>0</v>
      </c>
      <c r="K74" s="119"/>
      <c r="L74" s="2"/>
      <c r="M74" s="21"/>
      <c r="N74" s="2"/>
      <c r="O74" s="686">
        <f>'DNSP Data Inputs 2013-15'!O74</f>
        <v>0</v>
      </c>
      <c r="P74" s="735">
        <f>'DNSP Data Inputs 2013-15'!P74</f>
        <v>0</v>
      </c>
      <c r="Q74" s="687">
        <f>'DNSP Data Inputs 2013-15'!Q74</f>
        <v>0</v>
      </c>
    </row>
    <row r="75" spans="1:17" x14ac:dyDescent="0.2">
      <c r="A75" s="551" t="s">
        <v>371</v>
      </c>
      <c r="D75" s="337"/>
      <c r="E75" s="684">
        <v>0</v>
      </c>
      <c r="F75" s="716">
        <v>0</v>
      </c>
      <c r="G75" s="716">
        <v>0</v>
      </c>
      <c r="H75" s="716">
        <v>0</v>
      </c>
      <c r="I75" s="716">
        <v>0</v>
      </c>
      <c r="J75" s="690">
        <f>'DNSP Data Inputs 2013-15'!J75</f>
        <v>0</v>
      </c>
      <c r="K75" s="119"/>
      <c r="L75" s="2"/>
      <c r="M75" s="21"/>
      <c r="N75" s="2"/>
      <c r="O75" s="686">
        <f>'DNSP Data Inputs 2013-15'!O75</f>
        <v>0</v>
      </c>
      <c r="P75" s="735">
        <f>'DNSP Data Inputs 2013-15'!P75</f>
        <v>0</v>
      </c>
      <c r="Q75" s="687">
        <f>'DNSP Data Inputs 2013-15'!Q75</f>
        <v>0</v>
      </c>
    </row>
    <row r="76" spans="1:17" x14ac:dyDescent="0.2">
      <c r="A76" s="551" t="s">
        <v>372</v>
      </c>
      <c r="D76" s="337"/>
      <c r="E76" s="684">
        <v>0</v>
      </c>
      <c r="F76" s="716">
        <v>0</v>
      </c>
      <c r="G76" s="716">
        <v>0</v>
      </c>
      <c r="H76" s="716">
        <v>0</v>
      </c>
      <c r="I76" s="716">
        <v>0</v>
      </c>
      <c r="J76" s="690">
        <f>'DNSP Data Inputs 2013-15'!J76</f>
        <v>0</v>
      </c>
      <c r="K76" s="119"/>
      <c r="L76" s="2"/>
      <c r="M76" s="21"/>
      <c r="N76" s="2"/>
      <c r="O76" s="686">
        <f>'DNSP Data Inputs 2013-15'!O76</f>
        <v>0</v>
      </c>
      <c r="P76" s="735">
        <f>'DNSP Data Inputs 2013-15'!P76</f>
        <v>0</v>
      </c>
      <c r="Q76" s="687">
        <f>'DNSP Data Inputs 2013-15'!Q76</f>
        <v>0</v>
      </c>
    </row>
    <row r="77" spans="1:17" x14ac:dyDescent="0.2">
      <c r="A77" s="551" t="s">
        <v>373</v>
      </c>
      <c r="B77" s="2"/>
      <c r="D77" s="337"/>
      <c r="E77" s="684">
        <v>0</v>
      </c>
      <c r="F77" s="716">
        <v>0</v>
      </c>
      <c r="G77" s="716">
        <v>0</v>
      </c>
      <c r="H77" s="716">
        <v>0</v>
      </c>
      <c r="I77" s="716">
        <v>0</v>
      </c>
      <c r="J77" s="690">
        <f>'DNSP Data Inputs 2013-15'!J77</f>
        <v>0</v>
      </c>
      <c r="K77" s="119"/>
      <c r="L77" s="2"/>
      <c r="M77" s="21"/>
      <c r="N77" s="2"/>
      <c r="O77" s="686">
        <f>'DNSP Data Inputs 2013-15'!O77</f>
        <v>0</v>
      </c>
      <c r="P77" s="735">
        <f>'DNSP Data Inputs 2013-15'!P77</f>
        <v>0</v>
      </c>
      <c r="Q77" s="687">
        <f>'DNSP Data Inputs 2013-15'!Q77</f>
        <v>0</v>
      </c>
    </row>
    <row r="78" spans="1:17" x14ac:dyDescent="0.2">
      <c r="A78" s="551" t="s">
        <v>374</v>
      </c>
      <c r="B78" s="86"/>
      <c r="D78" s="337"/>
      <c r="E78" s="684">
        <v>0</v>
      </c>
      <c r="F78" s="716">
        <v>0</v>
      </c>
      <c r="G78" s="716">
        <v>0</v>
      </c>
      <c r="H78" s="716">
        <v>0</v>
      </c>
      <c r="I78" s="716">
        <v>0</v>
      </c>
      <c r="J78" s="690">
        <f>'DNSP Data Inputs 2013-15'!J78</f>
        <v>0</v>
      </c>
      <c r="K78" s="119"/>
      <c r="L78" s="2"/>
      <c r="M78" s="21"/>
      <c r="N78" s="2"/>
      <c r="O78" s="686">
        <f>'DNSP Data Inputs 2013-15'!O78</f>
        <v>0</v>
      </c>
      <c r="P78" s="735">
        <f>'DNSP Data Inputs 2013-15'!P78</f>
        <v>0</v>
      </c>
      <c r="Q78" s="687">
        <f>'DNSP Data Inputs 2013-15'!Q78</f>
        <v>0</v>
      </c>
    </row>
    <row r="79" spans="1:17" x14ac:dyDescent="0.2">
      <c r="A79" s="82"/>
      <c r="D79" s="338"/>
      <c r="E79" s="736"/>
      <c r="F79" s="334"/>
      <c r="G79" s="334"/>
      <c r="H79" s="334"/>
      <c r="I79" s="334"/>
      <c r="J79" s="737"/>
      <c r="K79" s="2"/>
      <c r="L79" s="2"/>
      <c r="M79" s="21"/>
      <c r="N79" s="2"/>
      <c r="O79" s="23"/>
      <c r="P79" s="20"/>
      <c r="Q79" s="721"/>
    </row>
    <row r="80" spans="1:17" x14ac:dyDescent="0.2">
      <c r="A80" s="82"/>
      <c r="D80" s="338"/>
      <c r="E80" s="736"/>
      <c r="F80" s="334"/>
      <c r="G80" s="334"/>
      <c r="H80" s="334"/>
      <c r="I80" s="334"/>
      <c r="J80" s="737"/>
      <c r="K80" s="2"/>
      <c r="L80" s="2"/>
      <c r="M80" s="21"/>
      <c r="N80" s="2"/>
      <c r="O80" s="23"/>
      <c r="P80" s="20"/>
      <c r="Q80" s="721"/>
    </row>
    <row r="81" spans="1:17" x14ac:dyDescent="0.2">
      <c r="A81" s="88" t="s">
        <v>24</v>
      </c>
      <c r="B81" s="319"/>
      <c r="D81" s="332"/>
      <c r="E81" s="511" t="s">
        <v>28</v>
      </c>
      <c r="F81" s="698"/>
      <c r="G81" s="698"/>
      <c r="H81" s="698"/>
      <c r="I81" s="698"/>
      <c r="J81" s="335"/>
      <c r="K81" s="118"/>
      <c r="L81" s="2"/>
      <c r="M81" s="21"/>
      <c r="N81" s="2"/>
      <c r="O81" s="23"/>
      <c r="P81" s="20"/>
      <c r="Q81" s="721"/>
    </row>
    <row r="82" spans="1:17" x14ac:dyDescent="0.2">
      <c r="A82" s="82" t="s">
        <v>26</v>
      </c>
      <c r="B82" s="319"/>
      <c r="D82" s="334"/>
      <c r="E82" s="684">
        <v>0</v>
      </c>
      <c r="F82" s="716">
        <v>0</v>
      </c>
      <c r="G82" s="716">
        <v>0</v>
      </c>
      <c r="H82" s="716">
        <v>0</v>
      </c>
      <c r="I82" s="716">
        <v>0</v>
      </c>
      <c r="J82" s="690">
        <f>'DNSP Data Inputs 2013-15'!J82</f>
        <v>0</v>
      </c>
      <c r="K82" s="119"/>
      <c r="L82" s="2"/>
      <c r="M82" s="21"/>
      <c r="N82" s="2"/>
      <c r="O82" s="686">
        <f>'DNSP Data Inputs 2013-15'!O82</f>
        <v>0</v>
      </c>
      <c r="P82" s="735">
        <f>'DNSP Data Inputs 2013-15'!P82</f>
        <v>0</v>
      </c>
      <c r="Q82" s="687">
        <f>'DNSP Data Inputs 2013-15'!Q82</f>
        <v>0</v>
      </c>
    </row>
    <row r="83" spans="1:17" x14ac:dyDescent="0.2">
      <c r="A83" s="82" t="s">
        <v>27</v>
      </c>
      <c r="B83" s="431"/>
      <c r="D83" s="334"/>
      <c r="E83" s="684">
        <v>0</v>
      </c>
      <c r="F83" s="716">
        <v>0</v>
      </c>
      <c r="G83" s="716">
        <v>0</v>
      </c>
      <c r="H83" s="716">
        <v>0</v>
      </c>
      <c r="I83" s="716">
        <v>0</v>
      </c>
      <c r="J83" s="690">
        <f>'DNSP Data Inputs 2013-15'!J83</f>
        <v>0</v>
      </c>
      <c r="K83" s="119"/>
      <c r="L83" s="2"/>
      <c r="M83" s="21"/>
      <c r="N83" s="2"/>
      <c r="O83" s="686">
        <f>'DNSP Data Inputs 2013-15'!O83</f>
        <v>0</v>
      </c>
      <c r="P83" s="735">
        <f>'DNSP Data Inputs 2013-15'!P83</f>
        <v>0</v>
      </c>
      <c r="Q83" s="687">
        <f>'DNSP Data Inputs 2013-15'!Q83</f>
        <v>0</v>
      </c>
    </row>
    <row r="84" spans="1:17" x14ac:dyDescent="0.2">
      <c r="A84" s="551" t="s">
        <v>370</v>
      </c>
      <c r="D84" s="337"/>
      <c r="E84" s="684">
        <v>0</v>
      </c>
      <c r="F84" s="716">
        <v>0</v>
      </c>
      <c r="G84" s="716">
        <v>0</v>
      </c>
      <c r="H84" s="716">
        <v>0</v>
      </c>
      <c r="I84" s="716">
        <v>0</v>
      </c>
      <c r="J84" s="690">
        <f>'DNSP Data Inputs 2013-15'!J84</f>
        <v>0</v>
      </c>
      <c r="K84" s="119"/>
      <c r="L84" s="2"/>
      <c r="M84" s="21"/>
      <c r="N84" s="2"/>
      <c r="O84" s="686">
        <f>'DNSP Data Inputs 2013-15'!O84</f>
        <v>0</v>
      </c>
      <c r="P84" s="735">
        <f>'DNSP Data Inputs 2013-15'!P84</f>
        <v>0</v>
      </c>
      <c r="Q84" s="687">
        <f>'DNSP Data Inputs 2013-15'!Q84</f>
        <v>0</v>
      </c>
    </row>
    <row r="85" spans="1:17" x14ac:dyDescent="0.2">
      <c r="A85" s="551" t="s">
        <v>371</v>
      </c>
      <c r="D85" s="337"/>
      <c r="E85" s="684">
        <v>0</v>
      </c>
      <c r="F85" s="716">
        <v>0</v>
      </c>
      <c r="G85" s="716">
        <v>0</v>
      </c>
      <c r="H85" s="716">
        <v>0</v>
      </c>
      <c r="I85" s="716">
        <v>0</v>
      </c>
      <c r="J85" s="690">
        <f>'DNSP Data Inputs 2013-15'!J85</f>
        <v>0</v>
      </c>
      <c r="K85" s="119"/>
      <c r="L85" s="2"/>
      <c r="M85" s="21"/>
      <c r="N85" s="2"/>
      <c r="O85" s="686">
        <f>'DNSP Data Inputs 2013-15'!O85</f>
        <v>0</v>
      </c>
      <c r="P85" s="735">
        <f>'DNSP Data Inputs 2013-15'!P85</f>
        <v>0</v>
      </c>
      <c r="Q85" s="687">
        <f>'DNSP Data Inputs 2013-15'!Q85</f>
        <v>0</v>
      </c>
    </row>
    <row r="86" spans="1:17" x14ac:dyDescent="0.2">
      <c r="A86" s="551" t="s">
        <v>372</v>
      </c>
      <c r="D86" s="337"/>
      <c r="E86" s="684">
        <v>0</v>
      </c>
      <c r="F86" s="716">
        <v>0</v>
      </c>
      <c r="G86" s="716">
        <v>0</v>
      </c>
      <c r="H86" s="716">
        <v>0</v>
      </c>
      <c r="I86" s="716">
        <v>0</v>
      </c>
      <c r="J86" s="690">
        <f>'DNSP Data Inputs 2013-15'!J86</f>
        <v>0</v>
      </c>
      <c r="K86" s="119"/>
      <c r="L86" s="2"/>
      <c r="M86" s="21"/>
      <c r="N86" s="2"/>
      <c r="O86" s="686">
        <f>'DNSP Data Inputs 2013-15'!O86</f>
        <v>0</v>
      </c>
      <c r="P86" s="735">
        <f>'DNSP Data Inputs 2013-15'!P86</f>
        <v>0</v>
      </c>
      <c r="Q86" s="687">
        <f>'DNSP Data Inputs 2013-15'!Q86</f>
        <v>0</v>
      </c>
    </row>
    <row r="87" spans="1:17" x14ac:dyDescent="0.2">
      <c r="A87" s="551" t="s">
        <v>373</v>
      </c>
      <c r="D87" s="337"/>
      <c r="E87" s="684">
        <v>0</v>
      </c>
      <c r="F87" s="716">
        <v>0</v>
      </c>
      <c r="G87" s="716">
        <v>0</v>
      </c>
      <c r="H87" s="716">
        <v>0</v>
      </c>
      <c r="I87" s="716">
        <v>0</v>
      </c>
      <c r="J87" s="690">
        <f>'DNSP Data Inputs 2013-15'!J87</f>
        <v>0</v>
      </c>
      <c r="K87" s="119"/>
      <c r="L87" s="2"/>
      <c r="M87" s="21"/>
      <c r="N87" s="2"/>
      <c r="O87" s="686">
        <f>'DNSP Data Inputs 2013-15'!O87</f>
        <v>0</v>
      </c>
      <c r="P87" s="735">
        <f>'DNSP Data Inputs 2013-15'!P87</f>
        <v>0</v>
      </c>
      <c r="Q87" s="687">
        <f>'DNSP Data Inputs 2013-15'!Q87</f>
        <v>0</v>
      </c>
    </row>
    <row r="88" spans="1:17" x14ac:dyDescent="0.2">
      <c r="A88" s="551" t="s">
        <v>374</v>
      </c>
      <c r="B88" s="106"/>
      <c r="D88" s="337"/>
      <c r="E88" s="684">
        <v>0</v>
      </c>
      <c r="F88" s="716">
        <v>0</v>
      </c>
      <c r="G88" s="716">
        <v>0</v>
      </c>
      <c r="H88" s="716">
        <v>0</v>
      </c>
      <c r="I88" s="716">
        <v>0</v>
      </c>
      <c r="J88" s="690">
        <f>'DNSP Data Inputs 2013-15'!J88</f>
        <v>0</v>
      </c>
      <c r="K88" s="119"/>
      <c r="L88" s="2"/>
      <c r="M88" s="21"/>
      <c r="N88" s="2"/>
      <c r="O88" s="686">
        <f>'DNSP Data Inputs 2013-15'!O88</f>
        <v>0</v>
      </c>
      <c r="P88" s="735">
        <f>'DNSP Data Inputs 2013-15'!P88</f>
        <v>0</v>
      </c>
      <c r="Q88" s="687">
        <f>'DNSP Data Inputs 2013-15'!Q88</f>
        <v>0</v>
      </c>
    </row>
    <row r="89" spans="1:17" x14ac:dyDescent="0.2">
      <c r="A89" s="82"/>
      <c r="B89" s="86"/>
      <c r="D89" s="338"/>
      <c r="E89" s="736"/>
      <c r="F89" s="334"/>
      <c r="G89" s="334"/>
      <c r="H89" s="334"/>
      <c r="I89" s="334"/>
      <c r="J89" s="737"/>
      <c r="K89" s="2"/>
      <c r="L89" s="2"/>
      <c r="M89" s="21"/>
      <c r="N89" s="2"/>
      <c r="O89" s="23"/>
      <c r="P89" s="20"/>
      <c r="Q89" s="721"/>
    </row>
    <row r="90" spans="1:17" x14ac:dyDescent="0.2">
      <c r="A90" s="82"/>
      <c r="B90" s="91"/>
      <c r="D90" s="338"/>
      <c r="E90" s="736"/>
      <c r="F90" s="334"/>
      <c r="G90" s="334"/>
      <c r="H90" s="334"/>
      <c r="I90" s="334"/>
      <c r="J90" s="737"/>
      <c r="K90" s="2"/>
      <c r="L90" s="2"/>
      <c r="M90" s="21"/>
      <c r="N90" s="2"/>
      <c r="O90" s="23"/>
      <c r="P90" s="20"/>
      <c r="Q90" s="721"/>
    </row>
    <row r="91" spans="1:17" x14ac:dyDescent="0.2">
      <c r="A91" s="88" t="s">
        <v>29</v>
      </c>
      <c r="B91" s="91"/>
      <c r="D91" s="332"/>
      <c r="E91" s="339" t="s">
        <v>25</v>
      </c>
      <c r="F91" s="698"/>
      <c r="G91" s="698"/>
      <c r="H91" s="698"/>
      <c r="I91" s="698"/>
      <c r="J91" s="335"/>
      <c r="K91" s="118"/>
      <c r="L91" s="2"/>
      <c r="M91" s="21"/>
      <c r="N91" s="2"/>
      <c r="O91" s="23"/>
      <c r="P91" s="20"/>
      <c r="Q91" s="721"/>
    </row>
    <row r="92" spans="1:17" x14ac:dyDescent="0.2">
      <c r="A92" s="82" t="s">
        <v>30</v>
      </c>
      <c r="B92" s="89"/>
      <c r="D92" s="337"/>
      <c r="E92" s="684">
        <v>0</v>
      </c>
      <c r="F92" s="716">
        <v>0</v>
      </c>
      <c r="G92" s="716">
        <v>0</v>
      </c>
      <c r="H92" s="716">
        <v>0</v>
      </c>
      <c r="I92" s="716">
        <v>0</v>
      </c>
      <c r="J92" s="690">
        <f>'DNSP Data Inputs 2013-15'!J92</f>
        <v>0</v>
      </c>
      <c r="K92" s="119"/>
      <c r="L92" s="2"/>
      <c r="M92" s="21"/>
      <c r="N92" s="2"/>
      <c r="O92" s="686">
        <f>'DNSP Data Inputs 2013-15'!O92</f>
        <v>0</v>
      </c>
      <c r="P92" s="735">
        <f>'DNSP Data Inputs 2013-15'!P92</f>
        <v>0</v>
      </c>
      <c r="Q92" s="687">
        <f>'DNSP Data Inputs 2013-15'!Q92</f>
        <v>0</v>
      </c>
    </row>
    <row r="93" spans="1:17" x14ac:dyDescent="0.2">
      <c r="A93" s="82" t="s">
        <v>31</v>
      </c>
      <c r="B93" s="84"/>
      <c r="D93" s="337"/>
      <c r="E93" s="684">
        <v>0</v>
      </c>
      <c r="F93" s="716">
        <v>0</v>
      </c>
      <c r="G93" s="716">
        <v>0</v>
      </c>
      <c r="H93" s="716">
        <v>0</v>
      </c>
      <c r="I93" s="716">
        <v>0</v>
      </c>
      <c r="J93" s="690">
        <f>'DNSP Data Inputs 2013-15'!J93</f>
        <v>0</v>
      </c>
      <c r="K93" s="119"/>
      <c r="L93" s="2"/>
      <c r="M93" s="21"/>
      <c r="N93" s="2"/>
      <c r="O93" s="686">
        <f>'DNSP Data Inputs 2013-15'!O93</f>
        <v>0</v>
      </c>
      <c r="P93" s="735">
        <f>'DNSP Data Inputs 2013-15'!P93</f>
        <v>0</v>
      </c>
      <c r="Q93" s="687">
        <f>'DNSP Data Inputs 2013-15'!Q93</f>
        <v>0</v>
      </c>
    </row>
    <row r="94" spans="1:17" x14ac:dyDescent="0.2">
      <c r="A94" s="82" t="s">
        <v>32</v>
      </c>
      <c r="B94" s="89"/>
      <c r="D94" s="337"/>
      <c r="E94" s="684">
        <v>0</v>
      </c>
      <c r="F94" s="716">
        <v>0</v>
      </c>
      <c r="G94" s="716">
        <v>0</v>
      </c>
      <c r="H94" s="716">
        <v>0</v>
      </c>
      <c r="I94" s="716">
        <v>0</v>
      </c>
      <c r="J94" s="690">
        <f>'DNSP Data Inputs 2013-15'!J94</f>
        <v>0</v>
      </c>
      <c r="K94" s="119"/>
      <c r="L94" s="2"/>
      <c r="M94" s="21"/>
      <c r="N94" s="2"/>
      <c r="O94" s="686">
        <f>'DNSP Data Inputs 2013-15'!O94</f>
        <v>0</v>
      </c>
      <c r="P94" s="735">
        <f>'DNSP Data Inputs 2013-15'!P94</f>
        <v>0</v>
      </c>
      <c r="Q94" s="687">
        <f>'DNSP Data Inputs 2013-15'!Q94</f>
        <v>0</v>
      </c>
    </row>
    <row r="95" spans="1:17" x14ac:dyDescent="0.2">
      <c r="A95" s="82" t="s">
        <v>33</v>
      </c>
      <c r="B95" s="91"/>
      <c r="D95" s="337"/>
      <c r="E95" s="684">
        <v>0</v>
      </c>
      <c r="F95" s="716">
        <v>0</v>
      </c>
      <c r="G95" s="716">
        <v>0</v>
      </c>
      <c r="H95" s="716">
        <v>0</v>
      </c>
      <c r="I95" s="716">
        <v>0</v>
      </c>
      <c r="J95" s="690">
        <f>'DNSP Data Inputs 2013-15'!J95</f>
        <v>0</v>
      </c>
      <c r="K95" s="119"/>
      <c r="L95" s="2"/>
      <c r="M95" s="21"/>
      <c r="N95" s="2"/>
      <c r="O95" s="686">
        <f>'DNSP Data Inputs 2013-15'!O95</f>
        <v>0</v>
      </c>
      <c r="P95" s="735">
        <f>'DNSP Data Inputs 2013-15'!P95</f>
        <v>0</v>
      </c>
      <c r="Q95" s="687">
        <f>'DNSP Data Inputs 2013-15'!Q95</f>
        <v>0</v>
      </c>
    </row>
    <row r="96" spans="1:17" x14ac:dyDescent="0.2">
      <c r="A96" s="82" t="s">
        <v>34</v>
      </c>
      <c r="B96" s="91"/>
      <c r="D96" s="337"/>
      <c r="E96" s="684">
        <v>0</v>
      </c>
      <c r="F96" s="716">
        <v>0</v>
      </c>
      <c r="G96" s="716">
        <v>0</v>
      </c>
      <c r="H96" s="716">
        <v>0</v>
      </c>
      <c r="I96" s="716">
        <v>0</v>
      </c>
      <c r="J96" s="690">
        <f>'DNSP Data Inputs 2013-15'!J96</f>
        <v>0</v>
      </c>
      <c r="K96" s="119"/>
      <c r="L96" s="2"/>
      <c r="M96" s="21"/>
      <c r="N96" s="2"/>
      <c r="O96" s="686">
        <f>'DNSP Data Inputs 2013-15'!O96</f>
        <v>0</v>
      </c>
      <c r="P96" s="735">
        <f>'DNSP Data Inputs 2013-15'!P96</f>
        <v>0</v>
      </c>
      <c r="Q96" s="687">
        <f>'DNSP Data Inputs 2013-15'!Q96</f>
        <v>0</v>
      </c>
    </row>
    <row r="97" spans="1:17" x14ac:dyDescent="0.2">
      <c r="A97" s="82" t="s">
        <v>35</v>
      </c>
      <c r="B97" s="91"/>
      <c r="D97" s="337"/>
      <c r="E97" s="684">
        <v>0</v>
      </c>
      <c r="F97" s="716">
        <v>0</v>
      </c>
      <c r="G97" s="716">
        <v>0</v>
      </c>
      <c r="H97" s="716">
        <v>0</v>
      </c>
      <c r="I97" s="716">
        <v>0</v>
      </c>
      <c r="J97" s="690">
        <f>'DNSP Data Inputs 2013-15'!J97</f>
        <v>0</v>
      </c>
      <c r="K97" s="119"/>
      <c r="L97" s="2"/>
      <c r="M97" s="21"/>
      <c r="N97" s="2"/>
      <c r="O97" s="686">
        <f>'DNSP Data Inputs 2013-15'!O97</f>
        <v>0</v>
      </c>
      <c r="P97" s="735">
        <f>'DNSP Data Inputs 2013-15'!P97</f>
        <v>0</v>
      </c>
      <c r="Q97" s="687">
        <f>'DNSP Data Inputs 2013-15'!Q97</f>
        <v>0</v>
      </c>
    </row>
    <row r="98" spans="1:17" x14ac:dyDescent="0.2">
      <c r="A98" s="551" t="s">
        <v>370</v>
      </c>
      <c r="B98" s="91"/>
      <c r="D98" s="337"/>
      <c r="E98" s="684">
        <v>0</v>
      </c>
      <c r="F98" s="716">
        <v>0</v>
      </c>
      <c r="G98" s="716">
        <v>0</v>
      </c>
      <c r="H98" s="716">
        <v>0</v>
      </c>
      <c r="I98" s="716">
        <v>0</v>
      </c>
      <c r="J98" s="690">
        <f>'DNSP Data Inputs 2013-15'!J98</f>
        <v>0</v>
      </c>
      <c r="K98" s="119"/>
      <c r="L98" s="2"/>
      <c r="M98" s="21"/>
      <c r="N98" s="2"/>
      <c r="O98" s="686">
        <f>'DNSP Data Inputs 2013-15'!O98</f>
        <v>0</v>
      </c>
      <c r="P98" s="735">
        <f>'DNSP Data Inputs 2013-15'!P98</f>
        <v>0</v>
      </c>
      <c r="Q98" s="687">
        <f>'DNSP Data Inputs 2013-15'!Q98</f>
        <v>0</v>
      </c>
    </row>
    <row r="99" spans="1:17" x14ac:dyDescent="0.2">
      <c r="A99" s="551" t="s">
        <v>371</v>
      </c>
      <c r="B99" s="91"/>
      <c r="D99" s="337"/>
      <c r="E99" s="684">
        <v>0</v>
      </c>
      <c r="F99" s="716">
        <v>0</v>
      </c>
      <c r="G99" s="716">
        <v>0</v>
      </c>
      <c r="H99" s="716">
        <v>0</v>
      </c>
      <c r="I99" s="716">
        <v>0</v>
      </c>
      <c r="J99" s="690">
        <f>'DNSP Data Inputs 2013-15'!J99</f>
        <v>0</v>
      </c>
      <c r="K99" s="119"/>
      <c r="L99" s="2"/>
      <c r="M99" s="21"/>
      <c r="N99" s="2"/>
      <c r="O99" s="686">
        <f>'DNSP Data Inputs 2013-15'!O99</f>
        <v>0</v>
      </c>
      <c r="P99" s="735">
        <f>'DNSP Data Inputs 2013-15'!P99</f>
        <v>0</v>
      </c>
      <c r="Q99" s="687">
        <f>'DNSP Data Inputs 2013-15'!Q99</f>
        <v>0</v>
      </c>
    </row>
    <row r="100" spans="1:17" x14ac:dyDescent="0.2">
      <c r="A100" s="551" t="s">
        <v>372</v>
      </c>
      <c r="B100" s="91"/>
      <c r="D100" s="337"/>
      <c r="E100" s="684">
        <v>0</v>
      </c>
      <c r="F100" s="716">
        <v>0</v>
      </c>
      <c r="G100" s="716">
        <v>0</v>
      </c>
      <c r="H100" s="716">
        <v>0</v>
      </c>
      <c r="I100" s="716">
        <v>0</v>
      </c>
      <c r="J100" s="690">
        <f>'DNSP Data Inputs 2013-15'!J100</f>
        <v>0</v>
      </c>
      <c r="K100" s="119"/>
      <c r="L100" s="2"/>
      <c r="M100" s="21"/>
      <c r="N100" s="2"/>
      <c r="O100" s="686">
        <f>'DNSP Data Inputs 2013-15'!O100</f>
        <v>0</v>
      </c>
      <c r="P100" s="735">
        <f>'DNSP Data Inputs 2013-15'!P100</f>
        <v>0</v>
      </c>
      <c r="Q100" s="687">
        <f>'DNSP Data Inputs 2013-15'!Q100</f>
        <v>0</v>
      </c>
    </row>
    <row r="101" spans="1:17" x14ac:dyDescent="0.2">
      <c r="A101" s="551" t="s">
        <v>373</v>
      </c>
      <c r="B101" s="91"/>
      <c r="D101" s="337"/>
      <c r="E101" s="684">
        <v>0</v>
      </c>
      <c r="F101" s="716">
        <v>0</v>
      </c>
      <c r="G101" s="716">
        <v>0</v>
      </c>
      <c r="H101" s="716">
        <v>0</v>
      </c>
      <c r="I101" s="716">
        <v>0</v>
      </c>
      <c r="J101" s="690">
        <f>'DNSP Data Inputs 2013-15'!J101</f>
        <v>0</v>
      </c>
      <c r="K101" s="119"/>
      <c r="L101" s="2"/>
      <c r="M101" s="21"/>
      <c r="N101" s="2"/>
      <c r="O101" s="686">
        <f>'DNSP Data Inputs 2013-15'!O101</f>
        <v>0</v>
      </c>
      <c r="P101" s="735">
        <f>'DNSP Data Inputs 2013-15'!P101</f>
        <v>0</v>
      </c>
      <c r="Q101" s="687">
        <f>'DNSP Data Inputs 2013-15'!Q101</f>
        <v>0</v>
      </c>
    </row>
    <row r="102" spans="1:17" x14ac:dyDescent="0.2">
      <c r="A102" s="551" t="s">
        <v>374</v>
      </c>
      <c r="B102" s="91"/>
      <c r="D102" s="337"/>
      <c r="E102" s="684">
        <v>0</v>
      </c>
      <c r="F102" s="716">
        <v>0</v>
      </c>
      <c r="G102" s="716">
        <v>0</v>
      </c>
      <c r="H102" s="716">
        <v>0</v>
      </c>
      <c r="I102" s="716">
        <v>0</v>
      </c>
      <c r="J102" s="690">
        <f>'DNSP Data Inputs 2013-15'!J102</f>
        <v>0</v>
      </c>
      <c r="K102" s="119"/>
      <c r="L102" s="2"/>
      <c r="M102" s="21"/>
      <c r="N102" s="2"/>
      <c r="O102" s="686">
        <f>'DNSP Data Inputs 2013-15'!O102</f>
        <v>0</v>
      </c>
      <c r="P102" s="735">
        <f>'DNSP Data Inputs 2013-15'!P102</f>
        <v>0</v>
      </c>
      <c r="Q102" s="687">
        <f>'DNSP Data Inputs 2013-15'!Q102</f>
        <v>0</v>
      </c>
    </row>
    <row r="103" spans="1:17" x14ac:dyDescent="0.2">
      <c r="A103" s="82"/>
      <c r="B103" s="91"/>
      <c r="D103" s="338"/>
      <c r="E103" s="736"/>
      <c r="F103" s="334"/>
      <c r="G103" s="334"/>
      <c r="H103" s="334"/>
      <c r="I103" s="334"/>
      <c r="J103" s="737"/>
      <c r="K103" s="2"/>
      <c r="L103" s="2"/>
      <c r="M103" s="21"/>
      <c r="N103" s="2"/>
      <c r="O103" s="23"/>
      <c r="P103" s="20"/>
      <c r="Q103" s="721"/>
    </row>
    <row r="104" spans="1:17" x14ac:dyDescent="0.2">
      <c r="A104" s="82"/>
      <c r="B104" s="91"/>
      <c r="D104" s="338"/>
      <c r="E104" s="736"/>
      <c r="F104" s="334"/>
      <c r="G104" s="334"/>
      <c r="H104" s="334"/>
      <c r="I104" s="334"/>
      <c r="J104" s="737"/>
      <c r="K104" s="2"/>
      <c r="L104" s="2"/>
      <c r="M104" s="21"/>
      <c r="N104" s="2"/>
      <c r="O104" s="23"/>
      <c r="P104" s="20"/>
      <c r="Q104" s="721"/>
    </row>
    <row r="105" spans="1:17" x14ac:dyDescent="0.2">
      <c r="A105" s="88" t="s">
        <v>29</v>
      </c>
      <c r="D105" s="332"/>
      <c r="E105" s="511" t="s">
        <v>28</v>
      </c>
      <c r="F105" s="698"/>
      <c r="G105" s="698"/>
      <c r="H105" s="698"/>
      <c r="I105" s="698"/>
      <c r="J105" s="335"/>
      <c r="K105" s="118"/>
      <c r="L105" s="2"/>
      <c r="M105" s="21"/>
      <c r="N105" s="2"/>
      <c r="O105" s="23"/>
      <c r="P105" s="20"/>
      <c r="Q105" s="721"/>
    </row>
    <row r="106" spans="1:17" x14ac:dyDescent="0.2">
      <c r="A106" s="82" t="s">
        <v>30</v>
      </c>
      <c r="B106" s="91"/>
      <c r="D106" s="334"/>
      <c r="E106" s="684">
        <v>0</v>
      </c>
      <c r="F106" s="716">
        <v>0</v>
      </c>
      <c r="G106" s="716">
        <v>0</v>
      </c>
      <c r="H106" s="716">
        <v>0</v>
      </c>
      <c r="I106" s="716">
        <v>0</v>
      </c>
      <c r="J106" s="690">
        <f>'DNSP Data Inputs 2013-15'!J106</f>
        <v>0</v>
      </c>
      <c r="K106" s="119"/>
      <c r="L106" s="2"/>
      <c r="M106" s="21"/>
      <c r="N106" s="2"/>
      <c r="O106" s="686">
        <f>'DNSP Data Inputs 2013-15'!O106</f>
        <v>0</v>
      </c>
      <c r="P106" s="735">
        <f>'DNSP Data Inputs 2013-15'!P106</f>
        <v>0</v>
      </c>
      <c r="Q106" s="687">
        <f>'DNSP Data Inputs 2013-15'!Q106</f>
        <v>0</v>
      </c>
    </row>
    <row r="107" spans="1:17" x14ac:dyDescent="0.2">
      <c r="A107" s="82" t="s">
        <v>31</v>
      </c>
      <c r="B107" s="91"/>
      <c r="D107" s="337"/>
      <c r="E107" s="684">
        <v>0</v>
      </c>
      <c r="F107" s="716">
        <v>0</v>
      </c>
      <c r="G107" s="716">
        <v>0</v>
      </c>
      <c r="H107" s="716">
        <v>0</v>
      </c>
      <c r="I107" s="716">
        <v>0</v>
      </c>
      <c r="J107" s="690">
        <f>'DNSP Data Inputs 2013-15'!J107</f>
        <v>0</v>
      </c>
      <c r="K107" s="119"/>
      <c r="L107" s="2"/>
      <c r="M107" s="21"/>
      <c r="N107" s="2"/>
      <c r="O107" s="686">
        <f>'DNSP Data Inputs 2013-15'!O107</f>
        <v>0</v>
      </c>
      <c r="P107" s="735">
        <f>'DNSP Data Inputs 2013-15'!P107</f>
        <v>0</v>
      </c>
      <c r="Q107" s="687">
        <f>'DNSP Data Inputs 2013-15'!Q107</f>
        <v>0</v>
      </c>
    </row>
    <row r="108" spans="1:17" x14ac:dyDescent="0.2">
      <c r="A108" s="82" t="s">
        <v>32</v>
      </c>
      <c r="B108" s="91"/>
      <c r="D108" s="334"/>
      <c r="E108" s="684">
        <v>0</v>
      </c>
      <c r="F108" s="716">
        <v>0</v>
      </c>
      <c r="G108" s="716">
        <v>0</v>
      </c>
      <c r="H108" s="716">
        <v>0</v>
      </c>
      <c r="I108" s="716">
        <v>0</v>
      </c>
      <c r="J108" s="690">
        <f>'DNSP Data Inputs 2013-15'!J108</f>
        <v>0</v>
      </c>
      <c r="K108" s="119"/>
      <c r="L108" s="2"/>
      <c r="M108" s="21"/>
      <c r="N108" s="2"/>
      <c r="O108" s="686">
        <f>'DNSP Data Inputs 2013-15'!O108</f>
        <v>0</v>
      </c>
      <c r="P108" s="735">
        <f>'DNSP Data Inputs 2013-15'!P108</f>
        <v>0</v>
      </c>
      <c r="Q108" s="687">
        <f>'DNSP Data Inputs 2013-15'!Q108</f>
        <v>0</v>
      </c>
    </row>
    <row r="109" spans="1:17" x14ac:dyDescent="0.2">
      <c r="A109" s="82" t="s">
        <v>33</v>
      </c>
      <c r="B109" s="91"/>
      <c r="D109" s="334"/>
      <c r="E109" s="684">
        <v>0</v>
      </c>
      <c r="F109" s="716">
        <v>0</v>
      </c>
      <c r="G109" s="716">
        <v>0</v>
      </c>
      <c r="H109" s="716">
        <v>0</v>
      </c>
      <c r="I109" s="716">
        <v>0</v>
      </c>
      <c r="J109" s="690">
        <f>'DNSP Data Inputs 2013-15'!J109</f>
        <v>0</v>
      </c>
      <c r="K109" s="119"/>
      <c r="L109" s="2"/>
      <c r="M109" s="21"/>
      <c r="N109" s="2"/>
      <c r="O109" s="686">
        <f>'DNSP Data Inputs 2013-15'!O109</f>
        <v>0</v>
      </c>
      <c r="P109" s="735">
        <f>'DNSP Data Inputs 2013-15'!P109</f>
        <v>0</v>
      </c>
      <c r="Q109" s="687">
        <f>'DNSP Data Inputs 2013-15'!Q109</f>
        <v>0</v>
      </c>
    </row>
    <row r="110" spans="1:17" x14ac:dyDescent="0.2">
      <c r="A110" s="82" t="s">
        <v>34</v>
      </c>
      <c r="B110" s="91"/>
      <c r="D110" s="337"/>
      <c r="E110" s="684">
        <v>0</v>
      </c>
      <c r="F110" s="716">
        <v>0</v>
      </c>
      <c r="G110" s="716">
        <v>0</v>
      </c>
      <c r="H110" s="716">
        <v>0</v>
      </c>
      <c r="I110" s="716">
        <v>0</v>
      </c>
      <c r="J110" s="690">
        <f>'DNSP Data Inputs 2013-15'!J110</f>
        <v>0</v>
      </c>
      <c r="K110" s="119"/>
      <c r="L110" s="2"/>
      <c r="M110" s="21"/>
      <c r="N110" s="2"/>
      <c r="O110" s="686">
        <f>'DNSP Data Inputs 2013-15'!O110</f>
        <v>0</v>
      </c>
      <c r="P110" s="735">
        <f>'DNSP Data Inputs 2013-15'!P110</f>
        <v>0</v>
      </c>
      <c r="Q110" s="687">
        <f>'DNSP Data Inputs 2013-15'!Q110</f>
        <v>0</v>
      </c>
    </row>
    <row r="111" spans="1:17" x14ac:dyDescent="0.2">
      <c r="A111" s="82" t="s">
        <v>35</v>
      </c>
      <c r="B111" s="89"/>
      <c r="D111" s="334"/>
      <c r="E111" s="684">
        <v>0</v>
      </c>
      <c r="F111" s="716">
        <v>0</v>
      </c>
      <c r="G111" s="716">
        <v>0</v>
      </c>
      <c r="H111" s="716">
        <v>0</v>
      </c>
      <c r="I111" s="716">
        <v>0</v>
      </c>
      <c r="J111" s="690">
        <f>'DNSP Data Inputs 2013-15'!J111</f>
        <v>0</v>
      </c>
      <c r="K111" s="119"/>
      <c r="L111" s="2"/>
      <c r="M111" s="21"/>
      <c r="N111" s="2"/>
      <c r="O111" s="686">
        <f>'DNSP Data Inputs 2013-15'!O111</f>
        <v>0</v>
      </c>
      <c r="P111" s="735">
        <f>'DNSP Data Inputs 2013-15'!P111</f>
        <v>0</v>
      </c>
      <c r="Q111" s="687">
        <f>'DNSP Data Inputs 2013-15'!Q111</f>
        <v>0</v>
      </c>
    </row>
    <row r="112" spans="1:17" x14ac:dyDescent="0.2">
      <c r="A112" s="551" t="s">
        <v>375</v>
      </c>
      <c r="B112" s="89"/>
      <c r="D112" s="337"/>
      <c r="E112" s="576">
        <f t="shared" ref="E112:F114" si="21">E185</f>
        <v>96.67</v>
      </c>
      <c r="F112" s="738">
        <f t="shared" si="21"/>
        <v>95.01</v>
      </c>
      <c r="G112" s="738">
        <f t="shared" ref="G112:H112" si="22">G185</f>
        <v>102.96</v>
      </c>
      <c r="H112" s="738">
        <f t="shared" si="22"/>
        <v>127.75</v>
      </c>
      <c r="I112" s="738">
        <f t="shared" ref="I112" si="23">I185</f>
        <v>115.27</v>
      </c>
      <c r="J112" s="690">
        <f>'DNSP Data Inputs 2013-15'!J112</f>
        <v>109.4</v>
      </c>
      <c r="K112" s="119"/>
      <c r="L112" s="2"/>
      <c r="M112" s="21"/>
      <c r="N112" s="2"/>
      <c r="O112" s="686">
        <f>'DNSP Data Inputs 2013-15'!O112</f>
        <v>0</v>
      </c>
      <c r="P112" s="735">
        <f>'DNSP Data Inputs 2013-15'!P112</f>
        <v>627651.41215236764</v>
      </c>
      <c r="Q112" s="687">
        <f>'DNSP Data Inputs 2013-15'!Q112</f>
        <v>637222.32996039581</v>
      </c>
    </row>
    <row r="113" spans="1:17" x14ac:dyDescent="0.2">
      <c r="A113" s="551" t="s">
        <v>290</v>
      </c>
      <c r="B113" s="89"/>
      <c r="D113" s="337"/>
      <c r="E113" s="576">
        <f t="shared" si="21"/>
        <v>127.5</v>
      </c>
      <c r="F113" s="738">
        <f t="shared" si="21"/>
        <v>125.32</v>
      </c>
      <c r="G113" s="738">
        <f t="shared" ref="G113:H113" si="24">G186</f>
        <v>135.80000000000001</v>
      </c>
      <c r="H113" s="738">
        <f t="shared" si="24"/>
        <v>168.5</v>
      </c>
      <c r="I113" s="738">
        <f t="shared" ref="I113" si="25">I186</f>
        <v>152.04</v>
      </c>
      <c r="J113" s="690">
        <f>'DNSP Data Inputs 2013-15'!J113</f>
        <v>144.30000000000001</v>
      </c>
      <c r="K113" s="119"/>
      <c r="L113" s="2"/>
      <c r="M113" s="21"/>
      <c r="N113" s="2"/>
      <c r="O113" s="686">
        <f>'DNSP Data Inputs 2013-15'!O113</f>
        <v>0</v>
      </c>
      <c r="P113" s="735">
        <f>'DNSP Data Inputs 2013-15'!P113</f>
        <v>119645.55101336956</v>
      </c>
      <c r="Q113" s="687">
        <f>'DNSP Data Inputs 2013-15'!Q113</f>
        <v>121090.9262866326</v>
      </c>
    </row>
    <row r="114" spans="1:17" x14ac:dyDescent="0.2">
      <c r="A114" s="551" t="s">
        <v>291</v>
      </c>
      <c r="B114" s="89"/>
      <c r="D114" s="337"/>
      <c r="E114" s="576">
        <f t="shared" si="21"/>
        <v>168.94</v>
      </c>
      <c r="F114" s="738">
        <f t="shared" si="21"/>
        <v>166.05</v>
      </c>
      <c r="G114" s="738">
        <f t="shared" ref="G114:H114" si="26">G187</f>
        <v>179.94</v>
      </c>
      <c r="H114" s="738">
        <f t="shared" si="26"/>
        <v>223.27</v>
      </c>
      <c r="I114" s="738">
        <f t="shared" ref="I114" si="27">I187</f>
        <v>201.47</v>
      </c>
      <c r="J114" s="690">
        <f>'DNSP Data Inputs 2013-15'!J114</f>
        <v>191.55</v>
      </c>
      <c r="K114" s="119"/>
      <c r="L114" s="2"/>
      <c r="M114" s="21"/>
      <c r="N114" s="2"/>
      <c r="O114" s="686">
        <f>'DNSP Data Inputs 2013-15'!O114</f>
        <v>0</v>
      </c>
      <c r="P114" s="735">
        <f>'DNSP Data Inputs 2013-15'!P114</f>
        <v>4485.4476854641198</v>
      </c>
      <c r="Q114" s="687">
        <f>'DNSP Data Inputs 2013-15'!Q114</f>
        <v>4585.1865444224395</v>
      </c>
    </row>
    <row r="115" spans="1:17" x14ac:dyDescent="0.2">
      <c r="A115" s="551" t="s">
        <v>373</v>
      </c>
      <c r="D115" s="337"/>
      <c r="E115" s="684">
        <v>0</v>
      </c>
      <c r="F115" s="716">
        <v>0</v>
      </c>
      <c r="G115" s="716">
        <v>0</v>
      </c>
      <c r="H115" s="716">
        <v>0</v>
      </c>
      <c r="I115" s="716">
        <v>0</v>
      </c>
      <c r="J115" s="690">
        <f>'DNSP Data Inputs 2013-15'!J115</f>
        <v>0</v>
      </c>
      <c r="K115" s="119"/>
      <c r="L115" s="2"/>
      <c r="M115" s="21"/>
      <c r="N115" s="2"/>
      <c r="O115" s="686">
        <f>'DNSP Data Inputs 2013-15'!O115</f>
        <v>0</v>
      </c>
      <c r="P115" s="735">
        <f>'DNSP Data Inputs 2013-15'!P115</f>
        <v>0</v>
      </c>
      <c r="Q115" s="687">
        <f>'DNSP Data Inputs 2013-15'!Q115</f>
        <v>0</v>
      </c>
    </row>
    <row r="116" spans="1:17" x14ac:dyDescent="0.2">
      <c r="A116" s="551" t="s">
        <v>374</v>
      </c>
      <c r="B116" s="58"/>
      <c r="D116" s="337"/>
      <c r="E116" s="685">
        <v>0</v>
      </c>
      <c r="F116" s="717">
        <v>0</v>
      </c>
      <c r="G116" s="717">
        <v>0</v>
      </c>
      <c r="H116" s="717">
        <v>0</v>
      </c>
      <c r="I116" s="717">
        <v>0</v>
      </c>
      <c r="J116" s="691">
        <f>'DNSP Data Inputs 2013-15'!J116</f>
        <v>0</v>
      </c>
      <c r="K116" s="119"/>
      <c r="L116" s="2"/>
      <c r="M116" s="21"/>
      <c r="N116" s="2"/>
      <c r="O116" s="688">
        <f>'DNSP Data Inputs 2013-15'!O116</f>
        <v>0</v>
      </c>
      <c r="P116" s="739">
        <f>'DNSP Data Inputs 2013-15'!P116</f>
        <v>0</v>
      </c>
      <c r="Q116" s="689">
        <f>'DNSP Data Inputs 2013-15'!Q116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5" t="s">
        <v>382</v>
      </c>
      <c r="D124" s="19"/>
      <c r="E124" s="19"/>
      <c r="F124" s="19"/>
      <c r="G124" s="19"/>
      <c r="H124" s="19"/>
      <c r="I124" s="695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6" t="s">
        <v>383</v>
      </c>
      <c r="D125" s="2"/>
      <c r="E125" s="2"/>
      <c r="F125" s="2"/>
      <c r="G125" s="2"/>
      <c r="H125" s="2"/>
      <c r="I125" s="696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v>2.53E-2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06">
        <v>6.5000000000000002E-2</v>
      </c>
    </row>
    <row r="132" spans="1:16" x14ac:dyDescent="0.2">
      <c r="A132" s="21" t="s">
        <v>14</v>
      </c>
      <c r="C132" s="101">
        <f>'Data 2006-08'!C131</f>
        <v>1</v>
      </c>
      <c r="I132" s="707"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08"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09">
        <v>2.47E-2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07"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878">
        <f>D$1</f>
        <v>2009</v>
      </c>
      <c r="E142" s="879">
        <f t="shared" ref="E142:J142" si="28">E$1</f>
        <v>2010</v>
      </c>
      <c r="F142" s="879">
        <f t="shared" si="28"/>
        <v>2011</v>
      </c>
      <c r="G142" s="879">
        <f t="shared" si="28"/>
        <v>2012</v>
      </c>
      <c r="H142" s="879">
        <f t="shared" si="28"/>
        <v>2013</v>
      </c>
      <c r="I142" s="879">
        <f t="shared" si="28"/>
        <v>2014</v>
      </c>
      <c r="J142" s="880">
        <f t="shared" si="28"/>
        <v>2015</v>
      </c>
      <c r="K142" s="54"/>
      <c r="L142" s="968" t="s">
        <v>36</v>
      </c>
      <c r="M142" s="953"/>
      <c r="N142" s="518" t="s">
        <v>75</v>
      </c>
    </row>
    <row r="143" spans="1:16" x14ac:dyDescent="0.2">
      <c r="A143" s="41" t="s">
        <v>86</v>
      </c>
      <c r="D143" s="704" t="s">
        <v>20</v>
      </c>
      <c r="E143" s="678" t="s">
        <v>20</v>
      </c>
      <c r="F143" s="678" t="s">
        <v>20</v>
      </c>
      <c r="G143" s="678" t="s">
        <v>20</v>
      </c>
      <c r="H143" s="678" t="s">
        <v>20</v>
      </c>
      <c r="I143" s="678" t="s">
        <v>20</v>
      </c>
      <c r="J143" s="944" t="s">
        <v>20</v>
      </c>
      <c r="K143" s="108"/>
      <c r="L143" s="312">
        <v>39355</v>
      </c>
      <c r="M143" s="679">
        <f>'Data 2006-08'!D150</f>
        <v>158.6</v>
      </c>
    </row>
    <row r="144" spans="1:16" x14ac:dyDescent="0.2">
      <c r="A144" s="21" t="s">
        <v>87</v>
      </c>
      <c r="D144" s="705">
        <f>'Data 2006-08'!F151</f>
        <v>4.9810844892812067E-2</v>
      </c>
      <c r="E144" s="705">
        <f>N145</f>
        <v>1.2612612612612484E-2</v>
      </c>
      <c r="F144" s="705">
        <f>N146</f>
        <v>2.7876631079478242E-2</v>
      </c>
      <c r="G144" s="791">
        <f>N147</f>
        <v>3.5199076745527913E-2</v>
      </c>
      <c r="H144" s="791">
        <f>N151</f>
        <v>2.0040080160320661E-2</v>
      </c>
      <c r="I144" s="791">
        <f>N152</f>
        <v>2.16110019646365E-2</v>
      </c>
      <c r="J144" s="791">
        <f>N153</f>
        <v>2.3076923076923217E-2</v>
      </c>
      <c r="K144" s="113"/>
      <c r="L144" s="313">
        <v>39721</v>
      </c>
      <c r="M144" s="680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9">D145*(1+E144)</f>
        <v>1.0630517023959645</v>
      </c>
      <c r="F145" s="59">
        <f t="shared" si="29"/>
        <v>1.0926860025220682</v>
      </c>
      <c r="G145" s="59">
        <f t="shared" si="29"/>
        <v>1.1311475409836065</v>
      </c>
      <c r="H145" s="59">
        <f t="shared" si="29"/>
        <v>1.1538158283780675</v>
      </c>
      <c r="I145" s="59">
        <f t="shared" si="29"/>
        <v>1.1787509445119746</v>
      </c>
      <c r="J145" s="59">
        <f t="shared" si="29"/>
        <v>1.205952889385328</v>
      </c>
      <c r="K145" s="59"/>
      <c r="L145" s="701">
        <v>40086</v>
      </c>
      <c r="M145" s="681">
        <v>168.6</v>
      </c>
      <c r="N145" s="314">
        <f>M145/M144-1</f>
        <v>1.2612612612612484E-2</v>
      </c>
    </row>
    <row r="146" spans="1:15" x14ac:dyDescent="0.2">
      <c r="B146" s="98"/>
      <c r="L146" s="701">
        <v>40451</v>
      </c>
      <c r="M146" s="681">
        <v>173.3</v>
      </c>
      <c r="N146" s="314">
        <f>M146/M145-1</f>
        <v>2.7876631079478242E-2</v>
      </c>
    </row>
    <row r="147" spans="1:15" x14ac:dyDescent="0.2">
      <c r="B147" s="98"/>
      <c r="L147" s="703">
        <v>40816</v>
      </c>
      <c r="M147" s="870">
        <v>179.4</v>
      </c>
      <c r="N147" s="314">
        <f>M147/M146-1</f>
        <v>3.5199076745527913E-2</v>
      </c>
    </row>
    <row r="148" spans="1:15" x14ac:dyDescent="0.2">
      <c r="B148" s="98"/>
      <c r="N148" s="2"/>
    </row>
    <row r="149" spans="1:15" x14ac:dyDescent="0.2">
      <c r="B149" s="98"/>
      <c r="L149" s="871" t="s">
        <v>397</v>
      </c>
      <c r="M149" s="21"/>
      <c r="N149" s="2"/>
    </row>
    <row r="150" spans="1:15" x14ac:dyDescent="0.2">
      <c r="B150" s="98"/>
      <c r="L150" s="872">
        <v>40816</v>
      </c>
      <c r="M150" s="873">
        <v>99.8</v>
      </c>
    </row>
    <row r="151" spans="1:15" x14ac:dyDescent="0.2">
      <c r="B151" s="98"/>
      <c r="L151" s="701">
        <v>41182</v>
      </c>
      <c r="M151" s="702">
        <v>101.8</v>
      </c>
      <c r="N151" s="314">
        <f>M151/M150-1</f>
        <v>2.0040080160320661E-2</v>
      </c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701">
        <v>41547</v>
      </c>
      <c r="M152" s="681">
        <v>104</v>
      </c>
      <c r="N152" s="314">
        <f>M152/M151-1</f>
        <v>2.16110019646365E-2</v>
      </c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703">
        <v>41912</v>
      </c>
      <c r="M153" s="682">
        <v>106.4</v>
      </c>
      <c r="N153" s="314">
        <f>M153/M152-1</f>
        <v>2.3076923076923217E-2</v>
      </c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30">D$1</f>
        <v>2009</v>
      </c>
      <c r="E169" s="330">
        <f t="shared" si="30"/>
        <v>2010</v>
      </c>
      <c r="F169" s="330">
        <f t="shared" si="30"/>
        <v>2011</v>
      </c>
      <c r="G169" s="330">
        <f t="shared" si="30"/>
        <v>2012</v>
      </c>
      <c r="H169" s="330">
        <f t="shared" si="30"/>
        <v>2013</v>
      </c>
      <c r="I169" s="330">
        <f t="shared" si="30"/>
        <v>2014</v>
      </c>
      <c r="J169" s="330">
        <f t="shared" si="30"/>
        <v>2015</v>
      </c>
    </row>
    <row r="170" spans="1:10" x14ac:dyDescent="0.2">
      <c r="A170" s="30"/>
      <c r="D170" s="712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">
      <c r="A171" s="30"/>
      <c r="D171" s="713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">
      <c r="A172" s="30"/>
      <c r="B172" s="53"/>
      <c r="D172" s="331"/>
      <c r="E172" s="714"/>
      <c r="F172" s="714"/>
      <c r="G172" s="714"/>
      <c r="H172" s="714"/>
      <c r="I172" s="714"/>
      <c r="J172" s="733"/>
    </row>
    <row r="173" spans="1:10" x14ac:dyDescent="0.2">
      <c r="A173" s="88" t="s">
        <v>24</v>
      </c>
      <c r="D173" s="710" t="s">
        <v>28</v>
      </c>
      <c r="E173" s="714"/>
      <c r="F173" s="714"/>
      <c r="G173" s="714"/>
      <c r="H173" s="714"/>
      <c r="I173" s="714"/>
      <c r="J173" s="721"/>
    </row>
    <row r="174" spans="1:10" x14ac:dyDescent="0.2">
      <c r="A174" s="82" t="s">
        <v>26</v>
      </c>
      <c r="D174" s="548">
        <v>74.754999999999995</v>
      </c>
      <c r="E174" s="714"/>
      <c r="F174" s="714"/>
      <c r="G174" s="714"/>
      <c r="H174" s="714"/>
      <c r="I174" s="714"/>
      <c r="J174" s="721"/>
    </row>
    <row r="175" spans="1:10" x14ac:dyDescent="0.2">
      <c r="A175" s="82" t="s">
        <v>27</v>
      </c>
      <c r="D175" s="548">
        <v>26.5</v>
      </c>
      <c r="E175" s="714"/>
      <c r="F175" s="714"/>
      <c r="G175" s="714"/>
      <c r="H175" s="714"/>
      <c r="I175" s="714"/>
      <c r="J175" s="721"/>
    </row>
    <row r="176" spans="1:10" x14ac:dyDescent="0.2">
      <c r="A176" s="30"/>
      <c r="D176" s="549"/>
      <c r="E176" s="714"/>
      <c r="F176" s="714"/>
      <c r="G176" s="714"/>
      <c r="H176" s="714"/>
      <c r="I176" s="714"/>
      <c r="J176" s="721"/>
    </row>
    <row r="177" spans="1:17" x14ac:dyDescent="0.2">
      <c r="A177" s="88" t="s">
        <v>29</v>
      </c>
      <c r="B177" s="446"/>
      <c r="D177" s="711" t="s">
        <v>28</v>
      </c>
      <c r="E177" s="714"/>
      <c r="F177" s="714"/>
      <c r="G177" s="714"/>
      <c r="H177" s="714"/>
      <c r="I177" s="714"/>
      <c r="J177" s="721"/>
    </row>
    <row r="178" spans="1:17" x14ac:dyDescent="0.2">
      <c r="A178" s="55" t="s">
        <v>288</v>
      </c>
      <c r="B178" s="442"/>
      <c r="D178" s="548">
        <v>8.4499999999999993</v>
      </c>
      <c r="E178" s="714"/>
      <c r="F178" s="714"/>
      <c r="G178" s="714"/>
      <c r="H178" s="714"/>
      <c r="I178" s="714"/>
      <c r="J178" s="721"/>
    </row>
    <row r="179" spans="1:17" x14ac:dyDescent="0.2">
      <c r="A179" s="55" t="s">
        <v>289</v>
      </c>
      <c r="B179" s="443"/>
      <c r="D179" s="548">
        <v>21.736000000000001</v>
      </c>
      <c r="E179" s="714"/>
      <c r="F179" s="714"/>
      <c r="G179" s="714"/>
      <c r="H179" s="714"/>
      <c r="I179" s="714"/>
      <c r="J179" s="721"/>
    </row>
    <row r="180" spans="1:17" x14ac:dyDescent="0.2">
      <c r="A180" s="55" t="s">
        <v>290</v>
      </c>
      <c r="B180" s="86"/>
      <c r="D180" s="548">
        <v>64.293999999999997</v>
      </c>
      <c r="E180" s="714"/>
      <c r="F180" s="714"/>
      <c r="G180" s="714"/>
      <c r="H180" s="714"/>
      <c r="I180" s="714"/>
      <c r="J180" s="721"/>
    </row>
    <row r="181" spans="1:17" x14ac:dyDescent="0.2">
      <c r="A181" s="55" t="s">
        <v>291</v>
      </c>
      <c r="B181" s="86"/>
      <c r="D181" s="550">
        <v>102.741</v>
      </c>
      <c r="E181" s="714"/>
      <c r="F181" s="714"/>
      <c r="G181" s="714"/>
      <c r="H181" s="714"/>
      <c r="I181" s="714"/>
      <c r="J181" s="721"/>
    </row>
    <row r="182" spans="1:17" x14ac:dyDescent="0.2">
      <c r="E182" s="714"/>
      <c r="F182" s="714"/>
      <c r="G182" s="714"/>
      <c r="H182" s="714"/>
      <c r="I182" s="714"/>
      <c r="J182" s="721"/>
    </row>
    <row r="183" spans="1:17" x14ac:dyDescent="0.2">
      <c r="E183" s="714"/>
      <c r="F183" s="714"/>
      <c r="G183" s="714"/>
      <c r="H183" s="714"/>
      <c r="I183" s="714"/>
      <c r="J183" s="721"/>
    </row>
    <row r="184" spans="1:17" x14ac:dyDescent="0.2">
      <c r="A184" s="88" t="s">
        <v>29</v>
      </c>
      <c r="E184" s="715" t="s">
        <v>28</v>
      </c>
      <c r="F184" s="714"/>
      <c r="G184" s="714"/>
      <c r="H184" s="714"/>
      <c r="I184" s="714"/>
      <c r="J184" s="721"/>
    </row>
    <row r="185" spans="1:17" x14ac:dyDescent="0.2">
      <c r="A185" s="83" t="s">
        <v>375</v>
      </c>
      <c r="E185" s="716">
        <v>96.67</v>
      </c>
      <c r="F185" s="716">
        <v>95.01</v>
      </c>
      <c r="G185" s="716">
        <v>102.96</v>
      </c>
      <c r="H185" s="716">
        <v>127.75</v>
      </c>
      <c r="I185" s="716">
        <v>115.27</v>
      </c>
      <c r="J185" s="721"/>
    </row>
    <row r="186" spans="1:17" x14ac:dyDescent="0.2">
      <c r="A186" s="83" t="s">
        <v>290</v>
      </c>
      <c r="E186" s="716">
        <v>127.5</v>
      </c>
      <c r="F186" s="716">
        <v>125.32</v>
      </c>
      <c r="G186" s="716">
        <v>135.80000000000001</v>
      </c>
      <c r="H186" s="716">
        <v>168.5</v>
      </c>
      <c r="I186" s="716">
        <v>152.04</v>
      </c>
      <c r="J186" s="721"/>
    </row>
    <row r="187" spans="1:17" x14ac:dyDescent="0.2">
      <c r="A187" s="83" t="s">
        <v>291</v>
      </c>
      <c r="E187" s="717">
        <v>168.94</v>
      </c>
      <c r="F187" s="717">
        <v>166.05</v>
      </c>
      <c r="G187" s="717">
        <v>179.94</v>
      </c>
      <c r="H187" s="717">
        <v>223.27</v>
      </c>
      <c r="I187" s="717">
        <v>201.47</v>
      </c>
      <c r="J187" s="731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5" sqref="J65"/>
    </sheetView>
  </sheetViews>
  <sheetFormatPr defaultRowHeight="12.75" x14ac:dyDescent="0.2"/>
  <cols>
    <col min="1" max="1" width="33.5703125" style="55" customWidth="1"/>
    <col min="2" max="3" width="9.140625" style="55"/>
    <col min="4" max="7" width="15" style="55" customWidth="1"/>
    <col min="8" max="8" width="16.5703125" style="55" customWidth="1"/>
    <col min="9" max="10" width="15" style="55" customWidth="1"/>
    <col min="11" max="11" width="9.140625" style="55"/>
    <col min="12" max="12" width="9.140625" style="55" customWidth="1"/>
    <col min="13" max="16384" width="9.140625" style="55"/>
  </cols>
  <sheetData>
    <row r="1" spans="1:10" x14ac:dyDescent="0.2">
      <c r="A1" s="542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83067.050283840756</v>
      </c>
      <c r="H4" s="345">
        <f>'AMI Building Blocks 2009-15'!H34</f>
        <v>96111.580553610838</v>
      </c>
      <c r="I4" s="345">
        <f>'AMI Building Blocks 2009-15'!I34</f>
        <v>85563.873060184633</v>
      </c>
      <c r="J4" s="345">
        <f>'AMI Building Blocks 2009-15'!J34</f>
        <v>85668.83948839987</v>
      </c>
    </row>
    <row r="5" spans="1:10" x14ac:dyDescent="0.2">
      <c r="A5" s="55" t="s">
        <v>351</v>
      </c>
      <c r="D5" s="345">
        <f>'Offset of Costs and Rev 2006-08'!G20</f>
        <v>27871.184186465216</v>
      </c>
      <c r="E5" s="512"/>
      <c r="F5" s="512"/>
      <c r="G5" s="512"/>
      <c r="H5" s="512"/>
      <c r="I5" s="512"/>
      <c r="J5" s="512"/>
    </row>
    <row r="6" spans="1:10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83067.050283840756</v>
      </c>
      <c r="H6" s="387">
        <f t="shared" si="0"/>
        <v>96111.580553610838</v>
      </c>
      <c r="I6" s="387">
        <f t="shared" si="0"/>
        <v>85563.873060184633</v>
      </c>
      <c r="J6" s="387">
        <f t="shared" si="0"/>
        <v>85668.83948839987</v>
      </c>
    </row>
    <row r="8" spans="1:10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'Data 2009-15 (Real $2008)'!G60/10^3</f>
        <v>79301.450791750016</v>
      </c>
      <c r="H8" s="345">
        <f>'Data 2009-15 (Real $2008)'!H60/10^3</f>
        <v>99912.045450000005</v>
      </c>
      <c r="I8" s="345">
        <f>S76</f>
        <v>91443.971000066595</v>
      </c>
      <c r="J8" s="345">
        <f>T76</f>
        <v>88063.836043412506</v>
      </c>
    </row>
    <row r="10" spans="1:10" x14ac:dyDescent="0.2">
      <c r="A10" s="55" t="str">
        <f>'AMI Building Blocks 2009-15'!A19</f>
        <v>Vanilla' after tax WACC (nominal)</v>
      </c>
      <c r="D10" s="513">
        <f>'AMI Building Blocks 2009-15'!D24</f>
        <v>0.1209003175700798</v>
      </c>
      <c r="E10" s="513">
        <f>'AMI Building Blocks 2009-15'!E24</f>
        <v>8.1183152731514552E-2</v>
      </c>
      <c r="F10" s="513">
        <f>'AMI Building Blocks 2009-15'!F24</f>
        <v>9.7480796473851994E-2</v>
      </c>
      <c r="G10" s="513">
        <f>'AMI Building Blocks 2009-15'!G24</f>
        <v>0.10529909222912481</v>
      </c>
      <c r="H10" s="513">
        <f>'AMI Building Blocks 2009-15'!H24</f>
        <v>8.9113582078353293E-2</v>
      </c>
      <c r="I10" s="513">
        <f>'AMI Building Blocks 2009-15'!I24</f>
        <v>7.2935813500832225E-2</v>
      </c>
      <c r="J10" s="513">
        <f>'AMI Building Blocks 2009-15'!J24</f>
        <v>7.4475381162216747E-2</v>
      </c>
    </row>
    <row r="11" spans="1:10" x14ac:dyDescent="0.2">
      <c r="A11" s="55" t="s">
        <v>346</v>
      </c>
      <c r="C11" s="514"/>
      <c r="D11" s="514">
        <f>1/(1+D10)*(1+D10)^(0.5)</f>
        <v>0.94453162556261583</v>
      </c>
      <c r="E11" s="514">
        <f t="shared" ref="E11:J11" si="1">D11/(1+E10)</f>
        <v>0.87360927071083139</v>
      </c>
      <c r="F11" s="514">
        <f t="shared" si="1"/>
        <v>0.79601326375613313</v>
      </c>
      <c r="G11" s="514">
        <f t="shared" si="1"/>
        <v>0.72017906225794881</v>
      </c>
      <c r="H11" s="514">
        <f t="shared" si="1"/>
        <v>0.66125248468909237</v>
      </c>
      <c r="I11" s="514">
        <f t="shared" si="1"/>
        <v>0.61630199716376555</v>
      </c>
      <c r="J11" s="514">
        <f t="shared" si="1"/>
        <v>0.57358410250138681</v>
      </c>
    </row>
    <row r="13" spans="1:10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59823.150377950318</v>
      </c>
      <c r="H13" s="345">
        <f t="shared" si="2"/>
        <v>63554.021448471016</v>
      </c>
      <c r="I13" s="345">
        <f t="shared" si="2"/>
        <v>52733.185852058705</v>
      </c>
      <c r="J13" s="345">
        <f t="shared" si="2"/>
        <v>49138.284410289205</v>
      </c>
    </row>
    <row r="15" spans="1:10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57111.244466897399</v>
      </c>
      <c r="H15" s="345">
        <f t="shared" si="3"/>
        <v>66067.088304182034</v>
      </c>
      <c r="I15" s="345">
        <f t="shared" si="3"/>
        <v>56357.101955926504</v>
      </c>
      <c r="J15" s="345">
        <f t="shared" si="3"/>
        <v>50512.016359790039</v>
      </c>
    </row>
    <row r="17" spans="1:20" x14ac:dyDescent="0.2">
      <c r="A17" s="266" t="s">
        <v>350</v>
      </c>
      <c r="D17" s="345"/>
      <c r="E17" s="516">
        <f>SUM($D15:E15)-SUM($D13:E13)</f>
        <v>-7084.6592265974759</v>
      </c>
      <c r="F17" s="516">
        <f>SUM($D15:F15)-SUM($D13:F13)</f>
        <v>-4718.8026346215047</v>
      </c>
      <c r="G17" s="516">
        <f>SUM($D15:G15)-SUM($D13:G13)</f>
        <v>-7430.7085456744244</v>
      </c>
      <c r="H17" s="516">
        <f>SUM($D15:H15)-SUM($D13:H13)</f>
        <v>-4917.641689963406</v>
      </c>
      <c r="I17" s="516">
        <f>SUM($D15:I15)-SUM($D13:I13)</f>
        <v>-1293.725586095592</v>
      </c>
      <c r="J17" s="516">
        <f>SUM($D15:J15)-SUM($D13:J13)</f>
        <v>80.006363405263983</v>
      </c>
      <c r="L17" s="889"/>
    </row>
    <row r="19" spans="1:20" x14ac:dyDescent="0.2">
      <c r="A19" s="515" t="s">
        <v>292</v>
      </c>
      <c r="E19" s="517" t="str">
        <f t="shared" ref="E19:J19" si="4">IF(E17&gt;0,"Non Compliant","Compliant")</f>
        <v>Compliant</v>
      </c>
      <c r="F19" s="517" t="str">
        <f t="shared" si="4"/>
        <v>Compliant</v>
      </c>
      <c r="G19" s="517" t="str">
        <f t="shared" si="4"/>
        <v>Compliant</v>
      </c>
      <c r="H19" s="517" t="str">
        <f t="shared" si="4"/>
        <v>Compliant</v>
      </c>
      <c r="I19" s="517" t="str">
        <f t="shared" si="4"/>
        <v>Compliant</v>
      </c>
      <c r="J19" s="517" t="str">
        <f t="shared" si="4"/>
        <v>Non Compliant</v>
      </c>
    </row>
    <row r="21" spans="1:20" x14ac:dyDescent="0.2">
      <c r="A21" s="806"/>
      <c r="E21" s="772"/>
      <c r="F21" s="772"/>
    </row>
    <row r="22" spans="1:20" ht="13.5" thickBot="1" x14ac:dyDescent="0.25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</row>
    <row r="24" spans="1:20" s="358" customFormat="1" x14ac:dyDescent="0.2">
      <c r="A24" s="692"/>
      <c r="B24" s="393"/>
      <c r="C24" s="393"/>
      <c r="D24" s="693"/>
      <c r="E24" s="510"/>
      <c r="G24" s="510"/>
      <c r="J24" s="510"/>
    </row>
    <row r="25" spans="1:20" s="358" customFormat="1" x14ac:dyDescent="0.2">
      <c r="A25" s="86"/>
      <c r="B25" s="393"/>
      <c r="C25" s="393"/>
      <c r="D25" s="773"/>
    </row>
    <row r="26" spans="1:20" s="887" customFormat="1" x14ac:dyDescent="0.2">
      <c r="A26" s="885" t="s">
        <v>390</v>
      </c>
      <c r="B26" s="886"/>
      <c r="C26" s="886"/>
      <c r="G26" s="876" t="s">
        <v>387</v>
      </c>
      <c r="H26" s="888" t="s">
        <v>292</v>
      </c>
      <c r="M26" s="971" t="s">
        <v>23</v>
      </c>
      <c r="N26" s="954"/>
      <c r="S26" s="971" t="s">
        <v>341</v>
      </c>
      <c r="T26" s="954"/>
    </row>
    <row r="27" spans="1:20" s="358" customFormat="1" x14ac:dyDescent="0.2">
      <c r="A27" s="407" t="s">
        <v>304</v>
      </c>
      <c r="B27" s="363"/>
      <c r="C27" s="363"/>
      <c r="G27" s="774">
        <v>2014</v>
      </c>
      <c r="H27" s="774">
        <v>2015</v>
      </c>
      <c r="M27" s="774">
        <f>G27</f>
        <v>2014</v>
      </c>
      <c r="N27" s="774">
        <f>H27</f>
        <v>2015</v>
      </c>
      <c r="S27" s="774">
        <f>M27</f>
        <v>2014</v>
      </c>
      <c r="T27" s="774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G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G30" s="508">
        <f>'Data 2009-15 (Real $2008)'!I72</f>
        <v>0</v>
      </c>
      <c r="H30" s="508">
        <f>'Data 2009-15 (Real $2008)'!J72</f>
        <v>0</v>
      </c>
      <c r="M30" s="507">
        <f>'Data 2009-15 (Real $2008)'!P72</f>
        <v>0</v>
      </c>
      <c r="N30" s="507">
        <f>'Data 2009-15 (Real $2008)'!Q72</f>
        <v>0</v>
      </c>
      <c r="S30" s="80">
        <f t="shared" ref="S30:T36" si="5">G30*M30/10^3</f>
        <v>0</v>
      </c>
      <c r="T30" s="80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G31" s="508">
        <f>'Data 2009-15 (Real $2008)'!I73</f>
        <v>0</v>
      </c>
      <c r="H31" s="508">
        <f>'Data 2009-15 (Real $2008)'!J73</f>
        <v>0</v>
      </c>
      <c r="M31" s="507">
        <f>'Data 2009-15 (Real $2008)'!P73</f>
        <v>0</v>
      </c>
      <c r="N31" s="507">
        <f>'Data 2009-15 (Real $2008)'!Q73</f>
        <v>0</v>
      </c>
      <c r="S31" s="80">
        <f t="shared" si="5"/>
        <v>0</v>
      </c>
      <c r="T31" s="80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G32" s="508">
        <f>'Data 2009-15 (Real $2008)'!I74</f>
        <v>0</v>
      </c>
      <c r="H32" s="508">
        <f>'Data 2009-15 (Real $2008)'!J74</f>
        <v>0</v>
      </c>
      <c r="M32" s="507">
        <f>'Data 2009-15 (Real $2008)'!P74</f>
        <v>0</v>
      </c>
      <c r="N32" s="507">
        <f>'Data 2009-15 (Real $2008)'!Q74</f>
        <v>0</v>
      </c>
      <c r="S32" s="80">
        <f t="shared" si="5"/>
        <v>0</v>
      </c>
      <c r="T32" s="80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G33" s="508">
        <f>'Data 2009-15 (Real $2008)'!I75</f>
        <v>0</v>
      </c>
      <c r="H33" s="508">
        <f>'Data 2009-15 (Real $2008)'!J75</f>
        <v>0</v>
      </c>
      <c r="M33" s="507">
        <f>'Data 2009-15 (Real $2008)'!P75</f>
        <v>0</v>
      </c>
      <c r="N33" s="507">
        <f>'Data 2009-15 (Real $2008)'!Q75</f>
        <v>0</v>
      </c>
      <c r="S33" s="80">
        <f t="shared" si="5"/>
        <v>0</v>
      </c>
      <c r="T33" s="80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G34" s="508">
        <f>'Data 2009-15 (Real $2008)'!I76</f>
        <v>0</v>
      </c>
      <c r="H34" s="508">
        <f>'Data 2009-15 (Real $2008)'!J76</f>
        <v>0</v>
      </c>
      <c r="M34" s="507">
        <f>'Data 2009-15 (Real $2008)'!P76</f>
        <v>0</v>
      </c>
      <c r="N34" s="507">
        <f>'Data 2009-15 (Real $2008)'!Q76</f>
        <v>0</v>
      </c>
      <c r="S34" s="80">
        <f t="shared" si="5"/>
        <v>0</v>
      </c>
      <c r="T34" s="80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G35" s="508">
        <f>'Data 2009-15 (Real $2008)'!I77</f>
        <v>0</v>
      </c>
      <c r="H35" s="508">
        <f>'Data 2009-15 (Real $2008)'!J77</f>
        <v>0</v>
      </c>
      <c r="M35" s="507">
        <f>'Data 2009-15 (Real $2008)'!P77</f>
        <v>0</v>
      </c>
      <c r="N35" s="507">
        <f>'Data 2009-15 (Real $2008)'!Q77</f>
        <v>0</v>
      </c>
      <c r="S35" s="80">
        <f t="shared" si="5"/>
        <v>0</v>
      </c>
      <c r="T35" s="80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G36" s="508">
        <f>'Data 2009-15 (Real $2008)'!I78</f>
        <v>0</v>
      </c>
      <c r="H36" s="508">
        <f>'Data 2009-15 (Real $2008)'!J78</f>
        <v>0</v>
      </c>
      <c r="M36" s="507">
        <f>'Data 2009-15 (Real $2008)'!P78</f>
        <v>0</v>
      </c>
      <c r="N36" s="507">
        <f>'Data 2009-15 (Real $2008)'!Q78</f>
        <v>0</v>
      </c>
      <c r="S36" s="80">
        <f t="shared" si="5"/>
        <v>0</v>
      </c>
      <c r="T36" s="80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G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G40" s="508">
        <f>'Data 2009-15 (Real $2008)'!I82</f>
        <v>0</v>
      </c>
      <c r="H40" s="508">
        <f>'Data 2009-15 (Real $2008)'!J82</f>
        <v>0</v>
      </c>
      <c r="M40" s="507">
        <f>'Data 2009-15 (Real $2008)'!P82</f>
        <v>0</v>
      </c>
      <c r="N40" s="507">
        <f>'Data 2009-15 (Real $2008)'!Q82</f>
        <v>0</v>
      </c>
      <c r="S40" s="80">
        <f t="shared" ref="S40:T46" si="6">G40*M40/10^3</f>
        <v>0</v>
      </c>
      <c r="T40" s="80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G41" s="508">
        <f>'Data 2009-15 (Real $2008)'!I83</f>
        <v>0</v>
      </c>
      <c r="H41" s="508">
        <f>'Data 2009-15 (Real $2008)'!J83</f>
        <v>0</v>
      </c>
      <c r="M41" s="507">
        <f>'Data 2009-15 (Real $2008)'!P83</f>
        <v>0</v>
      </c>
      <c r="N41" s="507">
        <f>'Data 2009-15 (Real $2008)'!Q83</f>
        <v>0</v>
      </c>
      <c r="S41" s="80">
        <f t="shared" si="6"/>
        <v>0</v>
      </c>
      <c r="T41" s="80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G42" s="508">
        <f>'Data 2009-15 (Real $2008)'!I84</f>
        <v>0</v>
      </c>
      <c r="H42" s="508">
        <f>'Data 2009-15 (Real $2008)'!J84</f>
        <v>0</v>
      </c>
      <c r="M42" s="507">
        <f>'Data 2009-15 (Real $2008)'!P84</f>
        <v>0</v>
      </c>
      <c r="N42" s="507">
        <f>'Data 2009-15 (Real $2008)'!Q84</f>
        <v>0</v>
      </c>
      <c r="S42" s="80">
        <f t="shared" si="6"/>
        <v>0</v>
      </c>
      <c r="T42" s="80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G43" s="508">
        <f>'Data 2009-15 (Real $2008)'!I85</f>
        <v>0</v>
      </c>
      <c r="H43" s="508">
        <f>'Data 2009-15 (Real $2008)'!J85</f>
        <v>0</v>
      </c>
      <c r="M43" s="507">
        <f>'Data 2009-15 (Real $2008)'!P85</f>
        <v>0</v>
      </c>
      <c r="N43" s="507">
        <f>'Data 2009-15 (Real $2008)'!Q85</f>
        <v>0</v>
      </c>
      <c r="S43" s="80">
        <f t="shared" si="6"/>
        <v>0</v>
      </c>
      <c r="T43" s="80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G44" s="508">
        <f>'Data 2009-15 (Real $2008)'!I86</f>
        <v>0</v>
      </c>
      <c r="H44" s="508">
        <f>'Data 2009-15 (Real $2008)'!J86</f>
        <v>0</v>
      </c>
      <c r="M44" s="507">
        <f>'Data 2009-15 (Real $2008)'!P86</f>
        <v>0</v>
      </c>
      <c r="N44" s="507">
        <f>'Data 2009-15 (Real $2008)'!Q86</f>
        <v>0</v>
      </c>
      <c r="S44" s="80">
        <f t="shared" si="6"/>
        <v>0</v>
      </c>
      <c r="T44" s="80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G45" s="508">
        <f>'Data 2009-15 (Real $2008)'!I87</f>
        <v>0</v>
      </c>
      <c r="H45" s="508">
        <f>'Data 2009-15 (Real $2008)'!J87</f>
        <v>0</v>
      </c>
      <c r="M45" s="507">
        <f>'Data 2009-15 (Real $2008)'!P87</f>
        <v>0</v>
      </c>
      <c r="N45" s="507">
        <f>'Data 2009-15 (Real $2008)'!Q87</f>
        <v>0</v>
      </c>
      <c r="S45" s="80">
        <f t="shared" si="6"/>
        <v>0</v>
      </c>
      <c r="T45" s="80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G46" s="508">
        <f>'Data 2009-15 (Real $2008)'!I88</f>
        <v>0</v>
      </c>
      <c r="H46" s="508">
        <f>'Data 2009-15 (Real $2008)'!J88</f>
        <v>0</v>
      </c>
      <c r="M46" s="507">
        <f>'Data 2009-15 (Real $2008)'!P88</f>
        <v>0</v>
      </c>
      <c r="N46" s="507">
        <f>'Data 2009-15 (Real $2008)'!Q88</f>
        <v>0</v>
      </c>
      <c r="S46" s="80">
        <f t="shared" si="6"/>
        <v>0</v>
      </c>
      <c r="T46" s="80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G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G50" s="508">
        <f>'Data 2009-15 (Real $2008)'!I92</f>
        <v>0</v>
      </c>
      <c r="H50" s="508">
        <f>'Data 2009-15 (Real $2008)'!J92</f>
        <v>0</v>
      </c>
      <c r="M50" s="507">
        <f>'Data 2009-15 (Real $2008)'!P92</f>
        <v>0</v>
      </c>
      <c r="N50" s="507">
        <f>'Data 2009-15 (Real $2008)'!Q92</f>
        <v>0</v>
      </c>
      <c r="S50" s="80">
        <f t="shared" ref="S50:T60" si="7">G50*M50/10^3</f>
        <v>0</v>
      </c>
      <c r="T50" s="80">
        <f t="shared" si="7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G51" s="508">
        <f>'Data 2009-15 (Real $2008)'!I93</f>
        <v>0</v>
      </c>
      <c r="H51" s="508">
        <f>'Data 2009-15 (Real $2008)'!J93</f>
        <v>0</v>
      </c>
      <c r="M51" s="507">
        <f>'Data 2009-15 (Real $2008)'!P93</f>
        <v>0</v>
      </c>
      <c r="N51" s="507">
        <f>'Data 2009-15 (Real $2008)'!Q93</f>
        <v>0</v>
      </c>
      <c r="S51" s="80">
        <f t="shared" si="7"/>
        <v>0</v>
      </c>
      <c r="T51" s="80">
        <f t="shared" si="7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G52" s="508">
        <f>'Data 2009-15 (Real $2008)'!I94</f>
        <v>0</v>
      </c>
      <c r="H52" s="508">
        <f>'Data 2009-15 (Real $2008)'!J94</f>
        <v>0</v>
      </c>
      <c r="M52" s="507">
        <f>'Data 2009-15 (Real $2008)'!P94</f>
        <v>0</v>
      </c>
      <c r="N52" s="507">
        <f>'Data 2009-15 (Real $2008)'!Q94</f>
        <v>0</v>
      </c>
      <c r="S52" s="80">
        <f t="shared" si="7"/>
        <v>0</v>
      </c>
      <c r="T52" s="80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G53" s="508">
        <f>'Data 2009-15 (Real $2008)'!I95</f>
        <v>0</v>
      </c>
      <c r="H53" s="508">
        <f>'Data 2009-15 (Real $2008)'!J95</f>
        <v>0</v>
      </c>
      <c r="M53" s="507">
        <f>'Data 2009-15 (Real $2008)'!P95</f>
        <v>0</v>
      </c>
      <c r="N53" s="507">
        <f>'Data 2009-15 (Real $2008)'!Q95</f>
        <v>0</v>
      </c>
      <c r="S53" s="80">
        <f t="shared" si="7"/>
        <v>0</v>
      </c>
      <c r="T53" s="80">
        <f t="shared" si="7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G54" s="508">
        <f>'Data 2009-15 (Real $2008)'!I96</f>
        <v>0</v>
      </c>
      <c r="H54" s="508">
        <f>'Data 2009-15 (Real $2008)'!J96</f>
        <v>0</v>
      </c>
      <c r="M54" s="507">
        <f>'Data 2009-15 (Real $2008)'!P96</f>
        <v>0</v>
      </c>
      <c r="N54" s="507">
        <f>'Data 2009-15 (Real $2008)'!Q96</f>
        <v>0</v>
      </c>
      <c r="S54" s="80">
        <f t="shared" si="7"/>
        <v>0</v>
      </c>
      <c r="T54" s="80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G55" s="508">
        <f>'Data 2009-15 (Real $2008)'!I97</f>
        <v>0</v>
      </c>
      <c r="H55" s="508">
        <f>'Data 2009-15 (Real $2008)'!J97</f>
        <v>0</v>
      </c>
      <c r="M55" s="507">
        <f>'Data 2009-15 (Real $2008)'!P97</f>
        <v>0</v>
      </c>
      <c r="N55" s="507">
        <f>'Data 2009-15 (Real $2008)'!Q97</f>
        <v>0</v>
      </c>
      <c r="S55" s="80">
        <f t="shared" si="7"/>
        <v>0</v>
      </c>
      <c r="T55" s="80">
        <f t="shared" si="7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G56" s="508">
        <f>'Data 2009-15 (Real $2008)'!I98</f>
        <v>0</v>
      </c>
      <c r="H56" s="508">
        <f>'Data 2009-15 (Real $2008)'!J98</f>
        <v>0</v>
      </c>
      <c r="M56" s="507">
        <f>'Data 2009-15 (Real $2008)'!P98</f>
        <v>0</v>
      </c>
      <c r="N56" s="507">
        <f>'Data 2009-15 (Real $2008)'!Q98</f>
        <v>0</v>
      </c>
      <c r="S56" s="80">
        <f t="shared" si="7"/>
        <v>0</v>
      </c>
      <c r="T56" s="80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G57" s="508">
        <f>'Data 2009-15 (Real $2008)'!I99</f>
        <v>0</v>
      </c>
      <c r="H57" s="508">
        <f>'Data 2009-15 (Real $2008)'!J99</f>
        <v>0</v>
      </c>
      <c r="M57" s="507">
        <f>'Data 2009-15 (Real $2008)'!P99</f>
        <v>0</v>
      </c>
      <c r="N57" s="507">
        <f>'Data 2009-15 (Real $2008)'!Q99</f>
        <v>0</v>
      </c>
      <c r="S57" s="80">
        <f t="shared" si="7"/>
        <v>0</v>
      </c>
      <c r="T57" s="80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G58" s="508">
        <f>'Data 2009-15 (Real $2008)'!I100</f>
        <v>0</v>
      </c>
      <c r="H58" s="508">
        <f>'Data 2009-15 (Real $2008)'!J100</f>
        <v>0</v>
      </c>
      <c r="M58" s="507">
        <f>'Data 2009-15 (Real $2008)'!P100</f>
        <v>0</v>
      </c>
      <c r="N58" s="507">
        <f>'Data 2009-15 (Real $2008)'!Q100</f>
        <v>0</v>
      </c>
      <c r="S58" s="80">
        <f t="shared" si="7"/>
        <v>0</v>
      </c>
      <c r="T58" s="80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G59" s="508">
        <f>'Data 2009-15 (Real $2008)'!I101</f>
        <v>0</v>
      </c>
      <c r="H59" s="508">
        <f>'Data 2009-15 (Real $2008)'!J101</f>
        <v>0</v>
      </c>
      <c r="M59" s="507">
        <f>'Data 2009-15 (Real $2008)'!P101</f>
        <v>0</v>
      </c>
      <c r="N59" s="507">
        <f>'Data 2009-15 (Real $2008)'!Q101</f>
        <v>0</v>
      </c>
      <c r="S59" s="80">
        <f t="shared" si="7"/>
        <v>0</v>
      </c>
      <c r="T59" s="80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G60" s="508">
        <f>'Data 2009-15 (Real $2008)'!I102</f>
        <v>0</v>
      </c>
      <c r="H60" s="508">
        <f>'Data 2009-15 (Real $2008)'!J102</f>
        <v>0</v>
      </c>
      <c r="M60" s="507">
        <f>'Data 2009-15 (Real $2008)'!P102</f>
        <v>0</v>
      </c>
      <c r="N60" s="507">
        <f>'Data 2009-15 (Real $2008)'!Q102</f>
        <v>0</v>
      </c>
      <c r="S60" s="80">
        <f t="shared" si="7"/>
        <v>0</v>
      </c>
      <c r="T60" s="80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G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G64" s="508">
        <f>'Data 2009-15 (Real $2008)'!I106</f>
        <v>0</v>
      </c>
      <c r="H64" s="508">
        <f>'Data 2009-15 (Real $2008)'!J106</f>
        <v>0</v>
      </c>
      <c r="M64" s="507">
        <f>'Data 2009-15 (Real $2008)'!P106</f>
        <v>0</v>
      </c>
      <c r="N64" s="507">
        <f>'Data 2009-15 (Real $2008)'!Q106</f>
        <v>0</v>
      </c>
      <c r="S64" s="80">
        <f t="shared" ref="S64:T74" si="8">G64*M64/10^3</f>
        <v>0</v>
      </c>
      <c r="T64" s="80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G65" s="508">
        <f>'Data 2009-15 (Real $2008)'!I107</f>
        <v>0</v>
      </c>
      <c r="H65" s="508">
        <f>'Data 2009-15 (Real $2008)'!J107</f>
        <v>0</v>
      </c>
      <c r="M65" s="507">
        <f>'Data 2009-15 (Real $2008)'!P107</f>
        <v>0</v>
      </c>
      <c r="N65" s="507">
        <f>'Data 2009-15 (Real $2008)'!Q107</f>
        <v>0</v>
      </c>
      <c r="S65" s="80">
        <f t="shared" si="8"/>
        <v>0</v>
      </c>
      <c r="T65" s="80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G66" s="508">
        <f>'Data 2009-15 (Real $2008)'!I108</f>
        <v>0</v>
      </c>
      <c r="H66" s="508">
        <f>'Data 2009-15 (Real $2008)'!J108</f>
        <v>0</v>
      </c>
      <c r="M66" s="507">
        <f>'Data 2009-15 (Real $2008)'!P108</f>
        <v>0</v>
      </c>
      <c r="N66" s="507">
        <f>'Data 2009-15 (Real $2008)'!Q108</f>
        <v>0</v>
      </c>
      <c r="S66" s="80">
        <f t="shared" si="8"/>
        <v>0</v>
      </c>
      <c r="T66" s="80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G67" s="508">
        <f>'Data 2009-15 (Real $2008)'!I109</f>
        <v>0</v>
      </c>
      <c r="H67" s="508">
        <f>'Data 2009-15 (Real $2008)'!J109</f>
        <v>0</v>
      </c>
      <c r="M67" s="507">
        <f>'Data 2009-15 (Real $2008)'!P109</f>
        <v>0</v>
      </c>
      <c r="N67" s="507">
        <f>'Data 2009-15 (Real $2008)'!Q109</f>
        <v>0</v>
      </c>
      <c r="S67" s="80">
        <f t="shared" si="8"/>
        <v>0</v>
      </c>
      <c r="T67" s="80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G68" s="508">
        <f>'Data 2009-15 (Real $2008)'!I110</f>
        <v>0</v>
      </c>
      <c r="H68" s="508">
        <f>'Data 2009-15 (Real $2008)'!J110</f>
        <v>0</v>
      </c>
      <c r="M68" s="507">
        <f>'Data 2009-15 (Real $2008)'!P110</f>
        <v>0</v>
      </c>
      <c r="N68" s="507">
        <f>'Data 2009-15 (Real $2008)'!Q110</f>
        <v>0</v>
      </c>
      <c r="S68" s="80">
        <f t="shared" si="8"/>
        <v>0</v>
      </c>
      <c r="T68" s="80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G69" s="508">
        <f>'Data 2009-15 (Real $2008)'!I111</f>
        <v>0</v>
      </c>
      <c r="H69" s="508">
        <f>'Data 2009-15 (Real $2008)'!J111</f>
        <v>0</v>
      </c>
      <c r="M69" s="507">
        <f>'Data 2009-15 (Real $2008)'!P111</f>
        <v>0</v>
      </c>
      <c r="N69" s="507">
        <f>'Data 2009-15 (Real $2008)'!Q111</f>
        <v>0</v>
      </c>
      <c r="S69" s="80">
        <f t="shared" si="8"/>
        <v>0</v>
      </c>
      <c r="T69" s="80">
        <f t="shared" si="8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G70" s="508">
        <f>'Data 2009-15 (Real $2008)'!I112</f>
        <v>115.27</v>
      </c>
      <c r="H70" s="508">
        <f>'Data 2009-15 (Real $2008)'!J112</f>
        <v>109.4</v>
      </c>
      <c r="J70" s="945"/>
      <c r="M70" s="507">
        <f>'Data 2009-15 (Real $2008)'!P112</f>
        <v>627651.41215236764</v>
      </c>
      <c r="N70" s="507">
        <f>'Data 2009-15 (Real $2008)'!Q112</f>
        <v>637222.32996039581</v>
      </c>
      <c r="S70" s="80">
        <f t="shared" si="8"/>
        <v>72349.37827880343</v>
      </c>
      <c r="T70" s="80">
        <f t="shared" si="8"/>
        <v>69712.122897667301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G71" s="508">
        <f>'Data 2009-15 (Real $2008)'!I113</f>
        <v>152.04</v>
      </c>
      <c r="H71" s="508">
        <f>'Data 2009-15 (Real $2008)'!J113</f>
        <v>144.30000000000001</v>
      </c>
      <c r="J71" s="945"/>
      <c r="M71" s="507">
        <f>'Data 2009-15 (Real $2008)'!P113</f>
        <v>119645.55101336956</v>
      </c>
      <c r="N71" s="507">
        <f>'Data 2009-15 (Real $2008)'!Q113</f>
        <v>121090.9262866326</v>
      </c>
      <c r="S71" s="80">
        <f t="shared" si="8"/>
        <v>18190.909576072707</v>
      </c>
      <c r="T71" s="80">
        <f t="shared" si="8"/>
        <v>17473.420663161087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G72" s="508">
        <f>'Data 2009-15 (Real $2008)'!I114</f>
        <v>201.47</v>
      </c>
      <c r="H72" s="508">
        <f>'Data 2009-15 (Real $2008)'!J114</f>
        <v>191.55</v>
      </c>
      <c r="J72" s="945"/>
      <c r="M72" s="507">
        <f>'Data 2009-15 (Real $2008)'!P114</f>
        <v>4485.4476854641198</v>
      </c>
      <c r="N72" s="507">
        <f>'Data 2009-15 (Real $2008)'!Q114</f>
        <v>4585.1865444224395</v>
      </c>
      <c r="S72" s="80">
        <f t="shared" si="8"/>
        <v>903.68314519045623</v>
      </c>
      <c r="T72" s="80">
        <f t="shared" si="8"/>
        <v>878.29248258411837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G73" s="508">
        <f>'Data 2009-15 (Real $2008)'!I115</f>
        <v>0</v>
      </c>
      <c r="H73" s="508">
        <f>'Data 2009-15 (Real $2008)'!J115</f>
        <v>0</v>
      </c>
      <c r="M73" s="507">
        <f>'Data 2009-15 (Real $2008)'!P115</f>
        <v>0</v>
      </c>
      <c r="N73" s="507">
        <f>'Data 2009-15 (Real $2008)'!Q115</f>
        <v>0</v>
      </c>
      <c r="S73" s="80">
        <f t="shared" si="8"/>
        <v>0</v>
      </c>
      <c r="T73" s="80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G74" s="508">
        <f>'Data 2009-15 (Real $2008)'!I116</f>
        <v>0</v>
      </c>
      <c r="H74" s="508">
        <f>'Data 2009-15 (Real $2008)'!J116</f>
        <v>0</v>
      </c>
      <c r="M74" s="507">
        <f>'Data 2009-15 (Real $2008)'!P116</f>
        <v>0</v>
      </c>
      <c r="N74" s="507">
        <f>'Data 2009-15 (Real $2008)'!Q116</f>
        <v>0</v>
      </c>
      <c r="S74" s="80">
        <f t="shared" si="8"/>
        <v>0</v>
      </c>
      <c r="T74" s="80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S76" s="509">
        <f>SUM(S30:S74)</f>
        <v>91443.971000066595</v>
      </c>
      <c r="T76" s="509">
        <f>SUM(T30:T74)</f>
        <v>88063.836043412506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  <row r="80" spans="1:20" x14ac:dyDescent="0.2">
      <c r="Q80" s="358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2" t="str">
        <f>'Data 2006-08'!$A$1</f>
        <v>Powercor</v>
      </c>
      <c r="B1" s="488" t="s">
        <v>0</v>
      </c>
      <c r="C1" s="489" t="str">
        <f>IF(SUM(C35)&lt;0.001,"Ok","Error")</f>
        <v>Ok</v>
      </c>
      <c r="D1" s="775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65" t="s">
        <v>389</v>
      </c>
      <c r="I3" s="765" t="s">
        <v>385</v>
      </c>
    </row>
    <row r="4" spans="1:22" s="82" customFormat="1" x14ac:dyDescent="0.2">
      <c r="A4" s="431" t="s">
        <v>315</v>
      </c>
      <c r="C4" s="765" t="s">
        <v>383</v>
      </c>
      <c r="I4" s="765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2.53E-2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6.5000000000000002E-2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6.5872938421001281E-2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9.2200000000000004E-2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3.981653166780541E-2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66"/>
      <c r="E16" s="767"/>
      <c r="F16" s="768"/>
      <c r="G16" s="768"/>
      <c r="H16" s="768"/>
      <c r="I16" s="440">
        <f>I6+I7</f>
        <v>6.5500000000000003E-2</v>
      </c>
      <c r="J16" s="768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66"/>
      <c r="E18" s="767"/>
      <c r="F18" s="769"/>
      <c r="G18" s="769"/>
      <c r="H18" s="769"/>
      <c r="I18" s="437">
        <f>(I13*(1-I10))+(I15*I10)</f>
        <v>5.0239094369083762E-2</v>
      </c>
      <c r="J18" s="769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70"/>
      <c r="E19" s="771"/>
      <c r="F19" s="83"/>
      <c r="G19" s="83"/>
      <c r="H19" s="83"/>
      <c r="I19" s="440">
        <f>(I14*(1-I10))+(I16*I10)</f>
        <v>7.6179999999999998E-2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1">
        <f>'Data 2009-15 (Real $2008)'!D144</f>
        <v>4.9810844892812067E-2</v>
      </c>
      <c r="E22" s="541">
        <f>'Data 2009-15 (Real $2008)'!E144</f>
        <v>1.2612612612612484E-2</v>
      </c>
      <c r="F22" s="541">
        <f>'Data 2009-15 (Real $2008)'!F144</f>
        <v>2.7876631079478242E-2</v>
      </c>
      <c r="G22" s="541">
        <f>'Data 2009-15 (Real $2008)'!G144</f>
        <v>3.5199076745527913E-2</v>
      </c>
      <c r="H22" s="541">
        <f>'Data 2009-15 (Real $2008)'!H144</f>
        <v>2.0040080160320661E-2</v>
      </c>
      <c r="I22" s="541">
        <f>'Data 2009-15 (Real $2008)'!I144</f>
        <v>2.16110019646365E-2</v>
      </c>
      <c r="J22" s="541">
        <f>'Data 2009-15 (Real $2008)'!J144</f>
        <v>2.3076923076923217E-2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5.0239094369083762E-2</v>
      </c>
      <c r="J23" s="503">
        <f>$I$18</f>
        <v>5.0239094369083762E-2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8.9113582078353293E-2</v>
      </c>
      <c r="I24" s="503">
        <f t="shared" si="0"/>
        <v>7.2935813500832225E-2</v>
      </c>
      <c r="J24" s="503">
        <f t="shared" si="0"/>
        <v>7.4475381162216747E-2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2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2" t="s">
        <v>367</v>
      </c>
      <c r="R27" s="492"/>
      <c r="S27" s="492"/>
      <c r="T27" s="492"/>
      <c r="U27" s="492"/>
      <c r="V27" s="492"/>
      <c r="X27" s="357"/>
      <c r="Y27" s="357"/>
      <c r="Z27" s="491"/>
      <c r="AB27" s="552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3"/>
      <c r="Q28" s="554"/>
      <c r="R28" s="554"/>
      <c r="S28" s="554"/>
      <c r="T28" s="554"/>
      <c r="U28" s="492"/>
      <c r="V28" s="492"/>
      <c r="Y28" s="357"/>
      <c r="Z28" s="491"/>
      <c r="AA28" s="553"/>
      <c r="AB28" s="554"/>
      <c r="AC28" s="554"/>
      <c r="AD28" s="554"/>
      <c r="AE28" s="554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29645.260705295266</v>
      </c>
      <c r="H30" s="80">
        <f>H24*('AMI RAB 2009-15'!H12*'Data 2009-15 (Real $2008)'!H145-H38)</f>
        <v>30937.071039756462</v>
      </c>
      <c r="I30" s="80">
        <f>I24*('AMI RAB 2009-15'!I12*'Data 2009-15 (Real $2008)'!I145-I38)</f>
        <v>26089.73404182864</v>
      </c>
      <c r="J30" s="80">
        <f>J24*('AMI RAB 2009-15'!J12*'Data 2009-15 (Real $2008)'!J145-J38)</f>
        <v>25097.016265066086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13302.734612437609</v>
      </c>
      <c r="S30" s="80">
        <f>G23*'AMI RAB 2009-15'!G12*'Data 2009-15 (Real $2008)'!G145</f>
        <v>19735.528488076256</v>
      </c>
      <c r="T30" s="80">
        <f>H23*'AMI RAB 2009-15'!H12*'Data 2009-15 (Real $2008)'!H145</f>
        <v>23979.866884085379</v>
      </c>
      <c r="U30" s="80">
        <f>I23*'AMI RAB 2009-15'!I12*'Data 2009-15 (Real $2008)'!I145</f>
        <v>18359.302768468362</v>
      </c>
      <c r="V30" s="80">
        <f>J23*'AMI RAB 2009-15'!J12*'Data 2009-15 (Real $2008)'!J145</f>
        <v>17320.461049487709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12174.343390263155</v>
      </c>
      <c r="AD30" s="80">
        <f>G23*'AMI RAB 2009-15'!G12</f>
        <v>17447.351272067415</v>
      </c>
      <c r="AE30" s="80">
        <f>H23*'AMI RAB 2009-15'!H12</f>
        <v>20783.097522413227</v>
      </c>
      <c r="AF30" s="80">
        <f>I23*'AMI RAB 2009-15'!I12</f>
        <v>15575.217864253305</v>
      </c>
      <c r="AG30" s="80">
        <f>J23*'AMI RAB 2009-15'!J12</f>
        <v>14362.469049944328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30902.531031408791</v>
      </c>
      <c r="H31" s="80">
        <f t="shared" si="1"/>
        <v>43233.09594911863</v>
      </c>
      <c r="I31" s="80">
        <f t="shared" si="1"/>
        <v>36147.701799096671</v>
      </c>
      <c r="J31" s="80">
        <f t="shared" si="1"/>
        <v>37378.472156513497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40812.263248627773</v>
      </c>
      <c r="T31" s="80">
        <f>'AMI RAB 2009-15'!H9*'Data 2009-15 (Real $2008)'!H145</f>
        <v>50190.300104789698</v>
      </c>
      <c r="U31" s="80">
        <f>'AMI RAB 2009-15'!I9*'Data 2009-15 (Real $2008)'!I145</f>
        <v>43878.133072456898</v>
      </c>
      <c r="V31" s="80">
        <f>'AMI RAB 2009-15'!J9*'Data 2009-15 (Real $2008)'!J145</f>
        <v>45155.027372091827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36080.40664009122</v>
      </c>
      <c r="AE31" s="80">
        <f>'AMI RAB 2009-15'!H9</f>
        <v>43499.403345283274</v>
      </c>
      <c r="AF31" s="80">
        <f>'AMI RAB 2009-15'!I9</f>
        <v>37224.261220527194</v>
      </c>
      <c r="AG31" s="80">
        <f>'AMI RAB 2009-15'!J9</f>
        <v>37443.442251800785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19953.4602551184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22519.258547136702</v>
      </c>
      <c r="H32" s="80">
        <f>'Data 2009-15 (Real $2008)'!H55*'Data 2009-15 (Real $2008)'!H145/10^3</f>
        <v>21941.413564735751</v>
      </c>
      <c r="I32" s="80">
        <f>'Data 2009-15 (Real $2008)'!I55*'Data 2009-15 (Real $2008)'!I145/10^3</f>
        <v>23326.437219259322</v>
      </c>
      <c r="J32" s="80">
        <f>'Data 2009-15 (Real $2008)'!J55*'Data 2009-15 (Real $2008)'!J145/10^3</f>
        <v>23193.351066820287</v>
      </c>
      <c r="K32" s="495"/>
      <c r="L32" s="495"/>
      <c r="M32" s="358" t="s">
        <v>139</v>
      </c>
      <c r="N32" s="495"/>
      <c r="O32" s="555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19953.4602551184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22519.258547136702</v>
      </c>
      <c r="T32" s="80">
        <f>'Data 2009-15 (Real $2008)'!H55*'Data 2009-15 (Real $2008)'!H145/10^3</f>
        <v>21941.413564735751</v>
      </c>
      <c r="U32" s="80">
        <f>'Data 2009-15 (Real $2008)'!I55*'Data 2009-15 (Real $2008)'!I145/10^3</f>
        <v>23326.437219259322</v>
      </c>
      <c r="V32" s="80">
        <f>'Data 2009-15 (Real $2008)'!J55*'Data 2009-15 (Real $2008)'!J145/10^3</f>
        <v>23193.351066820287</v>
      </c>
      <c r="X32" s="358" t="s">
        <v>139</v>
      </c>
      <c r="Y32" s="495"/>
      <c r="Z32" s="555"/>
      <c r="AA32" s="80">
        <f>'Data 2009-15 (Real $2008)'!D55/10^3</f>
        <v>23636.704616791114</v>
      </c>
      <c r="AB32" s="80">
        <f>'Data 2009-15 (Real $2008)'!E55/10^3</f>
        <v>18769.980999180181</v>
      </c>
      <c r="AC32" s="80">
        <f>'Data 2009-15 (Real $2008)'!F55/10^3</f>
        <v>24547.324281262718</v>
      </c>
      <c r="AD32" s="80">
        <f>'Data 2009-15 (Real $2008)'!G55/10^3</f>
        <v>19908.330019932448</v>
      </c>
      <c r="AE32" s="80">
        <f>'Data 2009-15 (Real $2008)'!H55/10^3</f>
        <v>19016.391546282612</v>
      </c>
      <c r="AF32" s="80">
        <f>'Data 2009-15 (Real $2008)'!I55/10^3</f>
        <v>19789.11433993965</v>
      </c>
      <c r="AG32" s="80">
        <f>'Data 2009-15 (Real $2008)'!J55/10^3</f>
        <v>19232.385668599291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83067.050283840756</v>
      </c>
      <c r="H34" s="107">
        <f t="shared" si="5"/>
        <v>96111.580553610838</v>
      </c>
      <c r="I34" s="107">
        <f t="shared" si="5"/>
        <v>85563.873060184633</v>
      </c>
      <c r="J34" s="107">
        <f t="shared" si="5"/>
        <v>85668.83948839987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44509.027735760457</v>
      </c>
      <c r="R34" s="107">
        <f t="shared" si="6"/>
        <v>69054.078150580201</v>
      </c>
      <c r="S34" s="107">
        <f t="shared" si="6"/>
        <v>83067.050283840726</v>
      </c>
      <c r="T34" s="107">
        <f t="shared" si="6"/>
        <v>96111.580553610824</v>
      </c>
      <c r="U34" s="107">
        <f t="shared" si="6"/>
        <v>85563.873060184589</v>
      </c>
      <c r="V34" s="107">
        <f t="shared" si="6"/>
        <v>85668.839488399826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73436.087932091075</v>
      </c>
      <c r="AE34" s="107">
        <f t="shared" si="7"/>
        <v>83298.892413979105</v>
      </c>
      <c r="AF34" s="107">
        <f t="shared" si="7"/>
        <v>72588.593424720151</v>
      </c>
      <c r="AG34" s="107">
        <f t="shared" si="7"/>
        <v>71038.296970344411</v>
      </c>
    </row>
    <row r="35" spans="1:33" x14ac:dyDescent="0.2">
      <c r="A35" s="556" t="s">
        <v>0</v>
      </c>
      <c r="B35" s="557"/>
      <c r="C35" s="545">
        <f>SUM(D35:J35,P35:V35)</f>
        <v>0</v>
      </c>
      <c r="D35" s="547">
        <f t="shared" ref="D35:J35" si="8">IF(ABS(P34-D34)&lt;0.001,0,ABS(P34-D34))</f>
        <v>0</v>
      </c>
      <c r="E35" s="547">
        <f t="shared" si="8"/>
        <v>0</v>
      </c>
      <c r="F35" s="547">
        <f t="shared" si="8"/>
        <v>0</v>
      </c>
      <c r="G35" s="547">
        <f t="shared" si="8"/>
        <v>0</v>
      </c>
      <c r="H35" s="547">
        <f t="shared" si="8"/>
        <v>0</v>
      </c>
      <c r="I35" s="547">
        <f t="shared" si="8"/>
        <v>0</v>
      </c>
      <c r="J35" s="547">
        <f t="shared" si="8"/>
        <v>0</v>
      </c>
      <c r="K35" s="560"/>
      <c r="L35" s="560"/>
      <c r="M35" s="560"/>
      <c r="N35" s="560"/>
      <c r="O35" s="560"/>
      <c r="P35" s="547">
        <f>IF(ABS(AA34*'Data 2009-15 (Real $2008)'!D145-P34)&lt;0.001,0,ABS(AA34*'Data 2009-15 (Real $2008)'!D145-P34))</f>
        <v>0</v>
      </c>
      <c r="Q35" s="547">
        <f>IF(ABS(AB34*'Data 2009-15 (Real $2008)'!E145-Q34)&lt;0.001,0,ABS(AB34*'Data 2009-15 (Real $2008)'!E145-Q34))</f>
        <v>0</v>
      </c>
      <c r="R35" s="547">
        <f>IF(ABS(AC34*'Data 2009-15 (Real $2008)'!F145-R34)&lt;0.001,0,ABS(AC34*'Data 2009-15 (Real $2008)'!F145-R34))</f>
        <v>0</v>
      </c>
      <c r="S35" s="547">
        <f>IF(ABS(AD34*'Data 2009-15 (Real $2008)'!G145-S34)&lt;0.001,0,ABS(AD34*'Data 2009-15 (Real $2008)'!G145-S34))</f>
        <v>0</v>
      </c>
      <c r="T35" s="547">
        <f>IF(ABS(AE34*'Data 2009-15 (Real $2008)'!H145-T34)&lt;0.001,0,ABS(AE34*'Data 2009-15 (Real $2008)'!H145-T34))</f>
        <v>0</v>
      </c>
      <c r="U35" s="547">
        <f>IF(ABS(AF34*'Data 2009-15 (Real $2008)'!I145-U34)&lt;0.001,0,ABS(AF34*'Data 2009-15 (Real $2008)'!I145-U34))</f>
        <v>0</v>
      </c>
      <c r="V35" s="54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40812.263248627773</v>
      </c>
      <c r="H37" s="507">
        <f>'AMI RAB 2009-15'!H9*'Data 2009-15 (Real $2008)'!H145</f>
        <v>50190.300104789698</v>
      </c>
      <c r="I37" s="507">
        <f>'AMI RAB 2009-15'!I9*'Data 2009-15 (Real $2008)'!I145</f>
        <v>43878.133072456898</v>
      </c>
      <c r="J37" s="507">
        <f>'AMI RAB 2009-15'!J9*'Data 2009-15 (Real $2008)'!J145</f>
        <v>45155.027372091827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5327.7763340454412</v>
      </c>
      <c r="G38" s="507">
        <f>'AMI RAB 2009-15'!G12*'Data 2009-15 (Real $2008)'!F145*'Data 2009-15 (Real $2008)'!G144</f>
        <v>9909.7322172189815</v>
      </c>
      <c r="H38" s="507">
        <f>'AMI RAB 2009-15'!H12*'Data 2009-15 (Real $2008)'!G145*'Data 2009-15 (Real $2008)'!H144</f>
        <v>6957.2041556710683</v>
      </c>
      <c r="I38" s="507">
        <f>'AMI RAB 2009-15'!I12*'Data 2009-15 (Real $2008)'!H145*'Data 2009-15 (Real $2008)'!I144</f>
        <v>7730.4312733602274</v>
      </c>
      <c r="J38" s="507">
        <f>'AMI RAB 2009-15'!J12*'Data 2009-15 (Real $2008)'!I145*'Data 2009-15 (Real $2008)'!J144</f>
        <v>7776.5552155783316</v>
      </c>
    </row>
    <row r="39" spans="1:33" x14ac:dyDescent="0.2">
      <c r="A39" s="55" t="s">
        <v>138</v>
      </c>
      <c r="B39" s="55"/>
      <c r="C39" s="358"/>
      <c r="D39" s="558">
        <f t="shared" ref="D39:J39" si="9">D37-D38</f>
        <v>6943.2808609939821</v>
      </c>
      <c r="E39" s="558">
        <f t="shared" si="9"/>
        <v>16205.133180424409</v>
      </c>
      <c r="F39" s="558">
        <f t="shared" si="9"/>
        <v>23601.049562591292</v>
      </c>
      <c r="G39" s="558">
        <f t="shared" si="9"/>
        <v>30902.531031408791</v>
      </c>
      <c r="H39" s="558">
        <f t="shared" si="9"/>
        <v>43233.09594911863</v>
      </c>
      <c r="I39" s="558">
        <f t="shared" si="9"/>
        <v>36147.701799096671</v>
      </c>
      <c r="J39" s="558">
        <f t="shared" si="9"/>
        <v>37378.472156513497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8.1654240618522556E-2</v>
      </c>
      <c r="I46" s="503">
        <f>(1+$I$15)*(1+'Data 2009-15 (Real $2008)'!I144)-1</f>
        <v>6.2288008776539838E-2</v>
      </c>
      <c r="J46" s="503">
        <f>(1+$I$15)*(1+'Data 2009-15 (Real $2008)'!J144)-1</f>
        <v>6.3812297783216509E-2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79301.450791750016</v>
      </c>
      <c r="H51" s="81">
        <f>'Tariff Compliance'!H8</f>
        <v>99912.045450000005</v>
      </c>
      <c r="I51" s="81">
        <f>'Tariff Compliance'!I8</f>
        <v>91443.971000066595</v>
      </c>
      <c r="J51" s="81">
        <f>'Tariff Compliance'!J8</f>
        <v>88063.836043412506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19953.460255118396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22519.258547136702</v>
      </c>
      <c r="H53" s="80">
        <f>'Data 2009-15 (Real $2008)'!H55/10^3*'Data 2009-15 (Real $2008)'!H145</f>
        <v>21941.413564735751</v>
      </c>
      <c r="I53" s="80">
        <f>'Data 2009-15 (Real $2008)'!I55/10^3*'Data 2009-15 (Real $2008)'!I145</f>
        <v>23326.437219259322</v>
      </c>
      <c r="J53" s="80">
        <f>'Data 2009-15 (Real $2008)'!J55/10^3*'Data 2009-15 (Real $2008)'!J145</f>
        <v>23193.351066820287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35884.472940893851</v>
      </c>
      <c r="F54" s="80">
        <f>'AMI Tax Depn 2009-15'!F56</f>
        <v>62714.932656050114</v>
      </c>
      <c r="G54" s="80">
        <f>'AMI Tax Depn 2009-15'!G56</f>
        <v>82727.96228560718</v>
      </c>
      <c r="H54" s="80">
        <f>'AMI Tax Depn 2009-15'!H56</f>
        <v>89213.181807262052</v>
      </c>
      <c r="I54" s="80">
        <f>'AMI Tax Depn 2009-15'!I56</f>
        <v>74929.547425323195</v>
      </c>
      <c r="J54" s="80">
        <f>'AMI Tax Depn 2009-15'!J56</f>
        <v>53195.733686547865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10603.943635858059</v>
      </c>
      <c r="G55" s="80">
        <f>'AMI RAB 2009-15'!G12*G45*'Data 2009-15 (Real $2008)'!G145*G46</f>
        <v>17089.476792518231</v>
      </c>
      <c r="H55" s="80">
        <f>'AMI RAB 2009-15'!H12*H45*'Data 2009-15 (Real $2008)'!H145*H46</f>
        <v>17349.322684746545</v>
      </c>
      <c r="I55" s="80">
        <f>'AMI RAB 2009-15'!I12*I45*'Data 2009-15 (Real $2008)'!I145*I46</f>
        <v>13657.464486588022</v>
      </c>
      <c r="J55" s="80">
        <f>'AMI RAB 2009-15'!J12*J45*'Data 2009-15 (Real $2008)'!J145*J46</f>
        <v>13199.980200033246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1039.0481101197656</v>
      </c>
      <c r="G56" s="80">
        <f t="shared" si="10"/>
        <v>29154.231769410486</v>
      </c>
      <c r="H56" s="80">
        <f t="shared" si="10"/>
        <v>72189.47860292258</v>
      </c>
      <c r="I56" s="80">
        <f t="shared" si="10"/>
        <v>100781.3512096669</v>
      </c>
      <c r="J56" s="80">
        <f t="shared" si="10"/>
        <v>121250.82934077086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-1039.0481101197656</v>
      </c>
      <c r="F57" s="80">
        <f t="shared" si="11"/>
        <v>-29154.231769410486</v>
      </c>
      <c r="G57" s="80">
        <f t="shared" si="11"/>
        <v>-72189.47860292258</v>
      </c>
      <c r="H57" s="80">
        <f t="shared" si="11"/>
        <v>-100781.3512096669</v>
      </c>
      <c r="I57" s="80">
        <f t="shared" si="11"/>
        <v>-121250.82934077086</v>
      </c>
      <c r="J57" s="80">
        <f t="shared" si="11"/>
        <v>-122776.05825075973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8"/>
      <c r="C65" s="358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75">
        <f>C59</f>
        <v>1.5154455468291417E-10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74781.534033008647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98571.698019903561</v>
      </c>
      <c r="H16" s="80">
        <f>'Data 2009-15 (Real $2008)'!H22*'Data 2009-15 (Real $2008)'!H$145/10^3</f>
        <v>73027.002061382736</v>
      </c>
      <c r="I16" s="80">
        <f>'Data 2009-15 (Real $2008)'!I22*'Data 2009-15 (Real $2008)'!I$145/10^3</f>
        <v>7363.7636915540015</v>
      </c>
      <c r="J16" s="80">
        <f>'Data 2009-15 (Real $2008)'!J22*'Data 2009-15 (Real $2008)'!J$145/10^3</f>
        <v>7506.0986535426946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21118.048699999999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9257.5947500000002</v>
      </c>
      <c r="H18" s="80">
        <f>'Data 2009-15 (Real $2008)'!H24*'Data 2009-15 (Real $2008)'!H$145/10^3</f>
        <v>6387.4566100000002</v>
      </c>
      <c r="I18" s="80">
        <f>'Data 2009-15 (Real $2008)'!I24*'Data 2009-15 (Real $2008)'!I$145/10^3</f>
        <v>7268.5907189414138</v>
      </c>
      <c r="J18" s="80">
        <f>'Data 2009-15 (Real $2008)'!J24*'Data 2009-15 (Real $2008)'!J$145/10^3</f>
        <v>5540.9915205263023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3326.1453799999995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11529.042254151425</v>
      </c>
      <c r="H19" s="80">
        <f>'Data 2009-15 (Real $2008)'!H25*'Data 2009-15 (Real $2008)'!H$145/10^3</f>
        <v>4114.8198866793855</v>
      </c>
      <c r="I19" s="80">
        <f>'Data 2009-15 (Real $2008)'!I25*'Data 2009-15 (Real $2008)'!I$145/10^3</f>
        <v>2349.7874043386214</v>
      </c>
      <c r="J19" s="80">
        <f>'Data 2009-15 (Real $2008)'!J25*'Data 2009-15 (Real $2008)'!J$145/10^3</f>
        <v>1134.6650806844214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627.65382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174.72379000000001</v>
      </c>
      <c r="H20" s="80">
        <f>'Data 2009-15 (Real $2008)'!H26*'Data 2009-15 (Real $2008)'!H$145/10^3</f>
        <v>37.731840000000005</v>
      </c>
      <c r="I20" s="80">
        <f>'Data 2009-15 (Real $2008)'!I26*'Data 2009-15 (Real $2008)'!I$145/10^3</f>
        <v>125.88319508029325</v>
      </c>
      <c r="J20" s="80">
        <f>'Data 2009-15 (Real $2008)'!J26*'Data 2009-15 (Real $2008)'!J$145/10^3</f>
        <v>138.84694125469633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99225.728113008649</v>
      </c>
      <c r="F21" s="107">
        <f t="shared" si="1"/>
        <v>122708.17717042645</v>
      </c>
      <c r="G21" s="107">
        <f t="shared" si="1"/>
        <v>119358.33502405499</v>
      </c>
      <c r="H21" s="107">
        <f t="shared" si="1"/>
        <v>83529.278558062113</v>
      </c>
      <c r="I21" s="107">
        <f t="shared" si="1"/>
        <v>16982.141814834038</v>
      </c>
      <c r="J21" s="107">
        <f t="shared" si="1"/>
        <v>14181.755254753418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70456.207514085239</v>
      </c>
      <c r="G24" s="80">
        <f t="shared" si="2"/>
        <v>121386.88192602477</v>
      </c>
      <c r="H24" s="80">
        <f t="shared" si="2"/>
        <v>155956.30584493713</v>
      </c>
      <c r="I24" s="80">
        <f t="shared" si="2"/>
        <v>156807.1303279592</v>
      </c>
      <c r="J24" s="80">
        <f t="shared" si="2"/>
        <v>103987.51445436213</v>
      </c>
      <c r="K24" s="80">
        <f t="shared" si="2"/>
        <v>71090.901689979772</v>
      </c>
      <c r="L24" s="80">
        <f t="shared" si="2"/>
        <v>44431.813556237357</v>
      </c>
      <c r="M24" s="80">
        <f t="shared" si="2"/>
        <v>27769.883472648347</v>
      </c>
      <c r="N24" s="80">
        <f t="shared" si="2"/>
        <v>17356.177170405215</v>
      </c>
      <c r="O24" s="80">
        <f t="shared" si="2"/>
        <v>10847.61073150326</v>
      </c>
      <c r="P24" s="80">
        <f t="shared" si="2"/>
        <v>6779.7567071895373</v>
      </c>
      <c r="Q24" s="80">
        <f t="shared" si="2"/>
        <v>4237.3479419934611</v>
      </c>
      <c r="R24" s="80">
        <f t="shared" si="2"/>
        <v>2648.3424637459129</v>
      </c>
      <c r="S24" s="80">
        <f t="shared" si="2"/>
        <v>1655.2140398411957</v>
      </c>
      <c r="T24" s="80">
        <f t="shared" si="2"/>
        <v>1034.5087749007473</v>
      </c>
      <c r="U24" s="80">
        <f t="shared" si="2"/>
        <v>646.56798431296704</v>
      </c>
      <c r="V24" s="80">
        <f t="shared" si="2"/>
        <v>404.10499019560439</v>
      </c>
      <c r="W24" s="80">
        <f t="shared" si="2"/>
        <v>252.56561887225274</v>
      </c>
      <c r="X24" s="80">
        <f>W27</f>
        <v>157.85351179515797</v>
      </c>
      <c r="Y24" s="80">
        <f>X27</f>
        <v>98.658444871973728</v>
      </c>
      <c r="Z24" s="80">
        <f>Y27</f>
        <v>61.661528044983584</v>
      </c>
      <c r="AA24" s="80">
        <f>Z27</f>
        <v>38.53845502811474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19839.264298548551</v>
      </c>
      <c r="F25" s="80">
        <f t="shared" si="3"/>
        <v>44271.482178486927</v>
      </c>
      <c r="G25" s="80">
        <f t="shared" si="3"/>
        <v>64002.274100991206</v>
      </c>
      <c r="H25" s="80">
        <f t="shared" si="3"/>
        <v>72176.177578360686</v>
      </c>
      <c r="I25" s="80">
        <f t="shared" si="3"/>
        <v>60183.379565151074</v>
      </c>
      <c r="J25" s="80">
        <f t="shared" si="3"/>
        <v>40402.711417925049</v>
      </c>
      <c r="K25" s="80">
        <f t="shared" si="3"/>
        <v>26659.088133742414</v>
      </c>
      <c r="L25" s="80">
        <f t="shared" si="3"/>
        <v>16661.93008358901</v>
      </c>
      <c r="M25" s="80">
        <f t="shared" si="3"/>
        <v>10413.70630224313</v>
      </c>
      <c r="N25" s="80">
        <f t="shared" si="3"/>
        <v>6508.5664389019557</v>
      </c>
      <c r="O25" s="80">
        <f t="shared" si="3"/>
        <v>4067.8540243137227</v>
      </c>
      <c r="P25" s="80">
        <f t="shared" si="3"/>
        <v>2542.4087651960763</v>
      </c>
      <c r="Q25" s="80">
        <f t="shared" si="3"/>
        <v>1589.0054782475479</v>
      </c>
      <c r="R25" s="80">
        <f t="shared" si="3"/>
        <v>993.12842390471735</v>
      </c>
      <c r="S25" s="80">
        <f t="shared" si="3"/>
        <v>620.70526494044839</v>
      </c>
      <c r="T25" s="80">
        <f t="shared" si="3"/>
        <v>387.94079058778027</v>
      </c>
      <c r="U25" s="80">
        <f t="shared" si="3"/>
        <v>242.46299411736265</v>
      </c>
      <c r="V25" s="80">
        <f t="shared" si="3"/>
        <v>151.53937132335165</v>
      </c>
      <c r="W25" s="80">
        <f t="shared" si="3"/>
        <v>94.712107077094771</v>
      </c>
      <c r="X25" s="80">
        <f>$D$6*(X24+X26*0.5)</f>
        <v>59.195066923184243</v>
      </c>
      <c r="Y25" s="80">
        <f>$D$6*(Y24+Y26*0.5)</f>
        <v>36.996916826990145</v>
      </c>
      <c r="Z25" s="80">
        <f>$D$6*(Z24+Z26*0.5)</f>
        <v>23.123073016868844</v>
      </c>
      <c r="AA25" s="80">
        <f>$D$6*(AA24+AA26*0.5)</f>
        <v>14.451920635543027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74781.534033008647</v>
      </c>
      <c r="F26" s="80">
        <f t="shared" si="4"/>
        <v>95202.156590426457</v>
      </c>
      <c r="G26" s="80">
        <f t="shared" si="4"/>
        <v>98571.698019903561</v>
      </c>
      <c r="H26" s="80">
        <f t="shared" si="4"/>
        <v>73027.002061382736</v>
      </c>
      <c r="I26" s="80">
        <f t="shared" si="4"/>
        <v>7363.7636915540015</v>
      </c>
      <c r="J26" s="80">
        <f t="shared" si="4"/>
        <v>7506.0986535426946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70456.207514085239</v>
      </c>
      <c r="F27" s="107">
        <f t="shared" si="5"/>
        <v>121386.88192602477</v>
      </c>
      <c r="G27" s="107">
        <f t="shared" si="5"/>
        <v>155956.30584493713</v>
      </c>
      <c r="H27" s="107">
        <f t="shared" si="5"/>
        <v>156807.1303279592</v>
      </c>
      <c r="I27" s="107">
        <f t="shared" si="5"/>
        <v>103987.51445436213</v>
      </c>
      <c r="J27" s="107">
        <f t="shared" si="5"/>
        <v>71090.901689979772</v>
      </c>
      <c r="K27" s="107">
        <f t="shared" si="5"/>
        <v>44431.813556237357</v>
      </c>
      <c r="L27" s="107">
        <f t="shared" si="5"/>
        <v>27769.883472648347</v>
      </c>
      <c r="M27" s="107">
        <f t="shared" si="5"/>
        <v>17356.177170405215</v>
      </c>
      <c r="N27" s="107">
        <f t="shared" si="5"/>
        <v>10847.61073150326</v>
      </c>
      <c r="O27" s="107">
        <f t="shared" si="5"/>
        <v>6779.7567071895373</v>
      </c>
      <c r="P27" s="107">
        <f t="shared" si="5"/>
        <v>4237.3479419934611</v>
      </c>
      <c r="Q27" s="107">
        <f t="shared" si="5"/>
        <v>2648.3424637459129</v>
      </c>
      <c r="R27" s="107">
        <f t="shared" si="5"/>
        <v>1655.2140398411957</v>
      </c>
      <c r="S27" s="107">
        <f t="shared" si="5"/>
        <v>1034.5087749007473</v>
      </c>
      <c r="T27" s="107">
        <f t="shared" si="5"/>
        <v>646.56798431296704</v>
      </c>
      <c r="U27" s="107">
        <f t="shared" si="5"/>
        <v>404.10499019560439</v>
      </c>
      <c r="V27" s="107">
        <f t="shared" si="5"/>
        <v>252.56561887225274</v>
      </c>
      <c r="W27" s="107">
        <f t="shared" si="5"/>
        <v>157.85351179515797</v>
      </c>
      <c r="X27" s="107">
        <f>X24-X25+X26</f>
        <v>98.658444871973728</v>
      </c>
      <c r="Y27" s="107">
        <f>Y24-Y25+Y26</f>
        <v>61.661528044983584</v>
      </c>
      <c r="Z27" s="107">
        <f>Z24-Z25+Z26</f>
        <v>38.53845502811474</v>
      </c>
      <c r="AA27" s="107">
        <f>AA24-AA25+AA26</f>
        <v>24.086534392571714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33464.160524374725</v>
      </c>
      <c r="G36" s="80">
        <f t="shared" si="10"/>
        <v>29145.227714624838</v>
      </c>
      <c r="H36" s="80">
        <f t="shared" si="10"/>
        <v>24893.212428774903</v>
      </c>
      <c r="I36" s="80">
        <f t="shared" si="10"/>
        <v>20045.89274526494</v>
      </c>
      <c r="J36" s="80">
        <f t="shared" si="10"/>
        <v>17842.408222312093</v>
      </c>
      <c r="K36" s="80">
        <f t="shared" si="10"/>
        <v>15138.238149808298</v>
      </c>
      <c r="L36" s="80">
        <f t="shared" si="10"/>
        <v>9082.9428898849783</v>
      </c>
      <c r="M36" s="80">
        <f t="shared" si="10"/>
        <v>5449.7657339309862</v>
      </c>
      <c r="N36" s="80">
        <f t="shared" si="10"/>
        <v>3269.8594403585917</v>
      </c>
      <c r="O36" s="80">
        <f t="shared" si="10"/>
        <v>1961.9156642151549</v>
      </c>
      <c r="P36" s="80">
        <f t="shared" si="10"/>
        <v>1177.1493985290929</v>
      </c>
      <c r="Q36" s="80">
        <f t="shared" si="10"/>
        <v>706.28963911745564</v>
      </c>
      <c r="R36" s="80">
        <f t="shared" si="10"/>
        <v>423.77378347047335</v>
      </c>
      <c r="S36" s="80">
        <f t="shared" si="10"/>
        <v>254.26427008228399</v>
      </c>
      <c r="T36" s="80">
        <f t="shared" si="10"/>
        <v>152.55856204937038</v>
      </c>
      <c r="U36" s="80">
        <f t="shared" si="10"/>
        <v>91.535137229622222</v>
      </c>
      <c r="V36" s="80">
        <f t="shared" si="10"/>
        <v>54.921082337773335</v>
      </c>
      <c r="W36" s="80">
        <f t="shared" si="10"/>
        <v>32.952649402664001</v>
      </c>
      <c r="X36" s="80">
        <f>W39</f>
        <v>19.7715896415984</v>
      </c>
      <c r="Y36" s="80">
        <f>X39</f>
        <v>11.862953784959039</v>
      </c>
      <c r="Z36" s="80">
        <f>Y39</f>
        <v>7.117772270975423</v>
      </c>
      <c r="AA36" s="80">
        <f>Z39</f>
        <v>4.2706633625852533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15652.347059749891</v>
      </c>
      <c r="G37" s="80">
        <f t="shared" si="11"/>
        <v>13509.610035849937</v>
      </c>
      <c r="H37" s="80">
        <f t="shared" si="11"/>
        <v>11234.776293509962</v>
      </c>
      <c r="I37" s="80">
        <f t="shared" si="11"/>
        <v>9472.0752418942593</v>
      </c>
      <c r="J37" s="80">
        <f t="shared" si="11"/>
        <v>8245.1615930300977</v>
      </c>
      <c r="K37" s="80">
        <f t="shared" si="11"/>
        <v>6055.2952599233195</v>
      </c>
      <c r="L37" s="80">
        <f t="shared" si="11"/>
        <v>3633.1771559539916</v>
      </c>
      <c r="M37" s="80">
        <f t="shared" si="11"/>
        <v>2179.9062935723946</v>
      </c>
      <c r="N37" s="80">
        <f t="shared" si="11"/>
        <v>1307.9437761434367</v>
      </c>
      <c r="O37" s="80">
        <f t="shared" si="11"/>
        <v>784.76626568606207</v>
      </c>
      <c r="P37" s="80">
        <f t="shared" si="11"/>
        <v>470.85975941163719</v>
      </c>
      <c r="Q37" s="80">
        <f t="shared" si="11"/>
        <v>282.51585564698229</v>
      </c>
      <c r="R37" s="80">
        <f t="shared" si="11"/>
        <v>169.50951338818936</v>
      </c>
      <c r="S37" s="80">
        <f t="shared" si="11"/>
        <v>101.70570803291361</v>
      </c>
      <c r="T37" s="80">
        <f t="shared" si="11"/>
        <v>61.023424819748158</v>
      </c>
      <c r="U37" s="80">
        <f t="shared" si="11"/>
        <v>36.614054891848888</v>
      </c>
      <c r="V37" s="80">
        <f t="shared" si="11"/>
        <v>21.968432935109334</v>
      </c>
      <c r="W37" s="80">
        <f t="shared" si="11"/>
        <v>13.181059761065601</v>
      </c>
      <c r="X37" s="80">
        <f>$D$8*(X36+X38*0.5)</f>
        <v>7.9086358566393606</v>
      </c>
      <c r="Y37" s="80">
        <f>$D$8*(Y36+Y38*0.5)</f>
        <v>4.7451815139836162</v>
      </c>
      <c r="Z37" s="80">
        <f>$D$8*(Z36+Z38*0.5)</f>
        <v>2.8471089083901693</v>
      </c>
      <c r="AA37" s="80">
        <f>$D$8*(AA36+AA38*0.5)</f>
        <v>1.7082653450341014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21118.048699999999</v>
      </c>
      <c r="F38" s="80">
        <f t="shared" si="12"/>
        <v>11333.414250000002</v>
      </c>
      <c r="G38" s="80">
        <f t="shared" si="12"/>
        <v>9257.5947500000002</v>
      </c>
      <c r="H38" s="80">
        <f t="shared" si="12"/>
        <v>6387.4566100000002</v>
      </c>
      <c r="I38" s="80">
        <f t="shared" si="12"/>
        <v>7268.5907189414138</v>
      </c>
      <c r="J38" s="80">
        <f t="shared" si="12"/>
        <v>5540.9915205263023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33464.160524374725</v>
      </c>
      <c r="F39" s="107">
        <f t="shared" si="13"/>
        <v>29145.227714624838</v>
      </c>
      <c r="G39" s="107">
        <f t="shared" si="13"/>
        <v>24893.212428774903</v>
      </c>
      <c r="H39" s="107">
        <f t="shared" si="13"/>
        <v>20045.89274526494</v>
      </c>
      <c r="I39" s="107">
        <f t="shared" si="13"/>
        <v>17842.408222312093</v>
      </c>
      <c r="J39" s="107">
        <f t="shared" si="13"/>
        <v>15138.238149808298</v>
      </c>
      <c r="K39" s="107">
        <f t="shared" si="13"/>
        <v>9082.9428898849783</v>
      </c>
      <c r="L39" s="107">
        <f t="shared" si="13"/>
        <v>5449.7657339309862</v>
      </c>
      <c r="M39" s="107">
        <f t="shared" si="13"/>
        <v>3269.8594403585917</v>
      </c>
      <c r="N39" s="107">
        <f t="shared" si="13"/>
        <v>1961.9156642151549</v>
      </c>
      <c r="O39" s="107">
        <f t="shared" si="13"/>
        <v>1177.1493985290929</v>
      </c>
      <c r="P39" s="107">
        <f t="shared" si="13"/>
        <v>706.28963911745564</v>
      </c>
      <c r="Q39" s="107">
        <f t="shared" si="13"/>
        <v>423.77378347047335</v>
      </c>
      <c r="R39" s="107">
        <f t="shared" si="13"/>
        <v>254.26427008228399</v>
      </c>
      <c r="S39" s="107">
        <f t="shared" si="13"/>
        <v>152.55856204937038</v>
      </c>
      <c r="T39" s="107">
        <f t="shared" si="13"/>
        <v>91.535137229622222</v>
      </c>
      <c r="U39" s="107">
        <f t="shared" si="13"/>
        <v>54.921082337773335</v>
      </c>
      <c r="V39" s="107">
        <f t="shared" si="13"/>
        <v>32.952649402664001</v>
      </c>
      <c r="W39" s="107">
        <f t="shared" si="13"/>
        <v>19.7715896415984</v>
      </c>
      <c r="X39" s="107">
        <f>X36-X37+X38</f>
        <v>11.862953784959039</v>
      </c>
      <c r="Y39" s="107">
        <f>Y36-Y37+Y38</f>
        <v>7.117772270975423</v>
      </c>
      <c r="Z39" s="107">
        <f>Z36-Z37+Z38</f>
        <v>4.2706633625852533</v>
      </c>
      <c r="AA39" s="107">
        <f>AA36-AA37+AA38</f>
        <v>2.5623980175511516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3851.0981932703421</v>
      </c>
      <c r="G42" s="80">
        <f t="shared" si="14"/>
        <v>17465.689946498125</v>
      </c>
      <c r="H42" s="80">
        <f t="shared" si="14"/>
        <v>24016.829827740868</v>
      </c>
      <c r="I42" s="80">
        <f t="shared" si="14"/>
        <v>22544.312620617278</v>
      </c>
      <c r="J42" s="80">
        <f t="shared" si="14"/>
        <v>19811.412955787346</v>
      </c>
      <c r="K42" s="80">
        <f t="shared" si="14"/>
        <v>16579.204001586862</v>
      </c>
      <c r="L42" s="80">
        <f t="shared" si="14"/>
        <v>13026.51742981825</v>
      </c>
      <c r="M42" s="80">
        <f t="shared" si="14"/>
        <v>10235.120837714339</v>
      </c>
      <c r="N42" s="80">
        <f t="shared" si="14"/>
        <v>8041.8806582041234</v>
      </c>
      <c r="O42" s="80">
        <f t="shared" si="14"/>
        <v>6318.6205171603833</v>
      </c>
      <c r="P42" s="80">
        <f t="shared" si="14"/>
        <v>4964.6304063403013</v>
      </c>
      <c r="Q42" s="80">
        <f t="shared" si="14"/>
        <v>3900.7810335530939</v>
      </c>
      <c r="R42" s="80">
        <f t="shared" si="14"/>
        <v>3064.8993835060023</v>
      </c>
      <c r="S42" s="80">
        <f t="shared" si="14"/>
        <v>2408.1352298975735</v>
      </c>
      <c r="T42" s="80">
        <f t="shared" si="14"/>
        <v>1892.1062520623791</v>
      </c>
      <c r="U42" s="80">
        <f t="shared" si="14"/>
        <v>1486.6549123347265</v>
      </c>
      <c r="V42" s="80">
        <f t="shared" si="14"/>
        <v>1168.0860025487136</v>
      </c>
      <c r="W42" s="80">
        <f t="shared" si="14"/>
        <v>917.78185914541791</v>
      </c>
      <c r="X42" s="80">
        <f>W45</f>
        <v>721.11431789997118</v>
      </c>
      <c r="Y42" s="80">
        <f>X45</f>
        <v>566.58982120712017</v>
      </c>
      <c r="Z42" s="80">
        <f>Y45</f>
        <v>445.17771666273728</v>
      </c>
      <c r="AA42" s="80">
        <f>Z45</f>
        <v>349.78249166357932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596.73422816463881</v>
      </c>
      <c r="F43" s="80">
        <f t="shared" si="15"/>
        <v>2558.0145767722156</v>
      </c>
      <c r="G43" s="80">
        <f t="shared" si="15"/>
        <v>4977.9023729086794</v>
      </c>
      <c r="H43" s="80">
        <f t="shared" si="15"/>
        <v>5587.3370938029766</v>
      </c>
      <c r="I43" s="80">
        <f t="shared" si="15"/>
        <v>5082.6870691685544</v>
      </c>
      <c r="J43" s="80">
        <f t="shared" si="15"/>
        <v>4366.8740348849042</v>
      </c>
      <c r="K43" s="80">
        <f t="shared" si="15"/>
        <v>3552.6865717686132</v>
      </c>
      <c r="L43" s="80">
        <f t="shared" si="15"/>
        <v>2791.3965921039107</v>
      </c>
      <c r="M43" s="80">
        <f t="shared" si="15"/>
        <v>2193.2401795102155</v>
      </c>
      <c r="N43" s="80">
        <f t="shared" si="15"/>
        <v>1723.2601410437405</v>
      </c>
      <c r="O43" s="80">
        <f t="shared" si="15"/>
        <v>1353.990110820082</v>
      </c>
      <c r="P43" s="80">
        <f t="shared" si="15"/>
        <v>1063.8493727872074</v>
      </c>
      <c r="Q43" s="80">
        <f t="shared" si="15"/>
        <v>835.88165004709151</v>
      </c>
      <c r="R43" s="80">
        <f t="shared" si="15"/>
        <v>656.76415360842907</v>
      </c>
      <c r="S43" s="80">
        <f t="shared" si="15"/>
        <v>516.02897783519427</v>
      </c>
      <c r="T43" s="80">
        <f t="shared" si="15"/>
        <v>405.45133972765262</v>
      </c>
      <c r="U43" s="80">
        <f t="shared" si="15"/>
        <v>318.5689097860128</v>
      </c>
      <c r="V43" s="80">
        <f t="shared" si="15"/>
        <v>250.30414340329577</v>
      </c>
      <c r="W43" s="80">
        <f t="shared" si="15"/>
        <v>196.66754124544667</v>
      </c>
      <c r="X43" s="80">
        <f>$D$9*(X42+X44*0.5)</f>
        <v>154.52449669285096</v>
      </c>
      <c r="Y43" s="80">
        <f>$D$9*(Y42+Y44*0.5)</f>
        <v>121.41210454438288</v>
      </c>
      <c r="Z43" s="80">
        <f>$D$9*(Z42+Z44*0.5)</f>
        <v>95.395224999157989</v>
      </c>
      <c r="AA43" s="80">
        <f>$D$9*(AA42+AA44*0.5)</f>
        <v>74.953391070766997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3326.1453799999995</v>
      </c>
      <c r="F44" s="80">
        <f t="shared" si="16"/>
        <v>16172.606329999999</v>
      </c>
      <c r="G44" s="80">
        <f t="shared" si="16"/>
        <v>11529.042254151425</v>
      </c>
      <c r="H44" s="80">
        <f t="shared" si="16"/>
        <v>4114.8198866793855</v>
      </c>
      <c r="I44" s="80">
        <f t="shared" si="16"/>
        <v>2349.7874043386214</v>
      </c>
      <c r="J44" s="80">
        <f t="shared" si="16"/>
        <v>1134.6650806844214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3851.0981932703421</v>
      </c>
      <c r="F45" s="107">
        <f t="shared" si="17"/>
        <v>17465.689946498125</v>
      </c>
      <c r="G45" s="107">
        <f t="shared" si="17"/>
        <v>24016.829827740868</v>
      </c>
      <c r="H45" s="107">
        <f t="shared" si="17"/>
        <v>22544.312620617278</v>
      </c>
      <c r="I45" s="107">
        <f t="shared" si="17"/>
        <v>19811.412955787346</v>
      </c>
      <c r="J45" s="107">
        <f t="shared" si="17"/>
        <v>16579.204001586862</v>
      </c>
      <c r="K45" s="107">
        <f t="shared" si="17"/>
        <v>13026.51742981825</v>
      </c>
      <c r="L45" s="107">
        <f t="shared" si="17"/>
        <v>10235.120837714339</v>
      </c>
      <c r="M45" s="107">
        <f t="shared" si="17"/>
        <v>8041.8806582041234</v>
      </c>
      <c r="N45" s="107">
        <f t="shared" si="17"/>
        <v>6318.6205171603833</v>
      </c>
      <c r="O45" s="107">
        <f t="shared" si="17"/>
        <v>4964.6304063403013</v>
      </c>
      <c r="P45" s="107">
        <f t="shared" si="17"/>
        <v>3900.7810335530939</v>
      </c>
      <c r="Q45" s="107">
        <f t="shared" si="17"/>
        <v>3064.8993835060023</v>
      </c>
      <c r="R45" s="107">
        <f t="shared" si="17"/>
        <v>2408.1352298975735</v>
      </c>
      <c r="S45" s="107">
        <f t="shared" si="17"/>
        <v>1892.1062520623791</v>
      </c>
      <c r="T45" s="107">
        <f t="shared" si="17"/>
        <v>1486.6549123347265</v>
      </c>
      <c r="U45" s="107">
        <f t="shared" si="17"/>
        <v>1168.0860025487136</v>
      </c>
      <c r="V45" s="107">
        <f t="shared" si="17"/>
        <v>917.78185914541791</v>
      </c>
      <c r="W45" s="107">
        <f t="shared" si="17"/>
        <v>721.11431789997118</v>
      </c>
      <c r="X45" s="107">
        <f>X42-X43+X44</f>
        <v>566.58982120712017</v>
      </c>
      <c r="Y45" s="107">
        <f>Y42-Y43+Y44</f>
        <v>445.17771666273728</v>
      </c>
      <c r="Z45" s="107">
        <f>Z42-Z43+Z44</f>
        <v>349.78249166357932</v>
      </c>
      <c r="AA45" s="107">
        <f>AA42-AA43+AA44</f>
        <v>274.82910059281232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1146.2838558994606</v>
      </c>
      <c r="G48" s="80">
        <f t="shared" si="18"/>
        <v>1262.3008348583794</v>
      </c>
      <c r="H48" s="80">
        <f t="shared" si="18"/>
        <v>1198.8488490010184</v>
      </c>
      <c r="I48" s="80">
        <f t="shared" si="18"/>
        <v>1021.6898474126034</v>
      </c>
      <c r="J48" s="80">
        <f t="shared" si="18"/>
        <v>956.16749338358784</v>
      </c>
      <c r="K48" s="80">
        <f t="shared" si="18"/>
        <v>914.02779393047194</v>
      </c>
      <c r="L48" s="80">
        <f t="shared" si="18"/>
        <v>752.72877147215331</v>
      </c>
      <c r="M48" s="80">
        <f t="shared" si="18"/>
        <v>619.89428238883215</v>
      </c>
      <c r="N48" s="80">
        <f t="shared" si="18"/>
        <v>510.50117373197941</v>
      </c>
      <c r="O48" s="80">
        <f t="shared" si="18"/>
        <v>420.41273130868893</v>
      </c>
      <c r="P48" s="80">
        <f t="shared" si="18"/>
        <v>346.22224931303793</v>
      </c>
      <c r="Q48" s="80">
        <f t="shared" si="18"/>
        <v>285.12420531661951</v>
      </c>
      <c r="R48" s="80">
        <f t="shared" si="18"/>
        <v>234.80816908427488</v>
      </c>
      <c r="S48" s="80">
        <f t="shared" si="18"/>
        <v>193.37143336352051</v>
      </c>
      <c r="T48" s="80">
        <f t="shared" si="18"/>
        <v>159.24706276995806</v>
      </c>
      <c r="U48" s="80">
        <f t="shared" si="18"/>
        <v>131.14463992820077</v>
      </c>
      <c r="V48" s="80">
        <f t="shared" si="18"/>
        <v>108.00146817616535</v>
      </c>
      <c r="W48" s="80">
        <f t="shared" si="18"/>
        <v>88.942385556842055</v>
      </c>
      <c r="X48" s="80">
        <f>W51</f>
        <v>73.246670458575807</v>
      </c>
      <c r="Y48" s="80">
        <f>X51</f>
        <v>60.320787436474191</v>
      </c>
      <c r="Z48" s="80">
        <f>Y51</f>
        <v>49.675942594743454</v>
      </c>
      <c r="AA48" s="80">
        <f>Z51</f>
        <v>40.909599783906373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178.38363126417011</v>
      </c>
      <c r="F49" s="80">
        <f t="shared" si="19"/>
        <v>233.08884104108128</v>
      </c>
      <c r="G49" s="80">
        <f t="shared" si="19"/>
        <v>238.17577585736106</v>
      </c>
      <c r="H49" s="80">
        <f t="shared" si="19"/>
        <v>214.89084158841499</v>
      </c>
      <c r="I49" s="80">
        <f t="shared" si="19"/>
        <v>191.40554910930879</v>
      </c>
      <c r="J49" s="80">
        <f t="shared" si="19"/>
        <v>180.98664070781223</v>
      </c>
      <c r="K49" s="80">
        <f t="shared" si="19"/>
        <v>161.29902245831857</v>
      </c>
      <c r="L49" s="80">
        <f t="shared" si="19"/>
        <v>132.83448908332116</v>
      </c>
      <c r="M49" s="80">
        <f t="shared" si="19"/>
        <v>109.39310865685272</v>
      </c>
      <c r="N49" s="80">
        <f t="shared" si="19"/>
        <v>90.088442423290473</v>
      </c>
      <c r="O49" s="80">
        <f t="shared" si="19"/>
        <v>74.190481995650984</v>
      </c>
      <c r="P49" s="80">
        <f t="shared" si="19"/>
        <v>61.098043996418454</v>
      </c>
      <c r="Q49" s="80">
        <f t="shared" si="19"/>
        <v>50.316036232344615</v>
      </c>
      <c r="R49" s="80">
        <f t="shared" si="19"/>
        <v>41.436735720754385</v>
      </c>
      <c r="S49" s="80">
        <f t="shared" si="19"/>
        <v>34.124370593562439</v>
      </c>
      <c r="T49" s="80">
        <f t="shared" si="19"/>
        <v>28.102422841757303</v>
      </c>
      <c r="U49" s="80">
        <f t="shared" si="19"/>
        <v>23.143171752035428</v>
      </c>
      <c r="V49" s="80">
        <f t="shared" si="19"/>
        <v>19.059082619323295</v>
      </c>
      <c r="W49" s="80">
        <f t="shared" si="19"/>
        <v>15.695715098266243</v>
      </c>
      <c r="X49" s="80">
        <f>$D$10*(X48+X50*0.5)</f>
        <v>12.925883022101612</v>
      </c>
      <c r="Y49" s="80">
        <f>$D$10*(Y48+Y50*0.5)</f>
        <v>10.644844841730739</v>
      </c>
      <c r="Z49" s="80">
        <f>$D$10*(Z48+Z50*0.5)</f>
        <v>8.7663428108370791</v>
      </c>
      <c r="AA49" s="80">
        <f>$D$10*(AA48+AA50*0.5)</f>
        <v>7.2193411383364179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627.65382</v>
      </c>
      <c r="F50" s="80">
        <f t="shared" si="20"/>
        <v>349.10581999999999</v>
      </c>
      <c r="G50" s="80">
        <f t="shared" si="20"/>
        <v>174.72379000000001</v>
      </c>
      <c r="H50" s="80">
        <f t="shared" si="20"/>
        <v>37.731840000000005</v>
      </c>
      <c r="I50" s="80">
        <f t="shared" si="20"/>
        <v>125.88319508029325</v>
      </c>
      <c r="J50" s="80">
        <f t="shared" si="20"/>
        <v>138.84694125469633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1146.2838558994606</v>
      </c>
      <c r="F51" s="107">
        <f t="shared" si="21"/>
        <v>1262.3008348583794</v>
      </c>
      <c r="G51" s="107">
        <f t="shared" si="21"/>
        <v>1198.8488490010184</v>
      </c>
      <c r="H51" s="107">
        <f t="shared" si="21"/>
        <v>1021.6898474126034</v>
      </c>
      <c r="I51" s="107">
        <f t="shared" si="21"/>
        <v>956.16749338358784</v>
      </c>
      <c r="J51" s="107">
        <f t="shared" si="21"/>
        <v>914.02779393047194</v>
      </c>
      <c r="K51" s="107">
        <f t="shared" si="21"/>
        <v>752.72877147215331</v>
      </c>
      <c r="L51" s="107">
        <f t="shared" si="21"/>
        <v>619.89428238883215</v>
      </c>
      <c r="M51" s="107">
        <f t="shared" si="21"/>
        <v>510.50117373197941</v>
      </c>
      <c r="N51" s="107">
        <f t="shared" si="21"/>
        <v>420.41273130868893</v>
      </c>
      <c r="O51" s="107">
        <f t="shared" si="21"/>
        <v>346.22224931303793</v>
      </c>
      <c r="P51" s="107">
        <f t="shared" si="21"/>
        <v>285.12420531661951</v>
      </c>
      <c r="Q51" s="107">
        <f t="shared" si="21"/>
        <v>234.80816908427488</v>
      </c>
      <c r="R51" s="107">
        <f t="shared" si="21"/>
        <v>193.37143336352051</v>
      </c>
      <c r="S51" s="107">
        <f t="shared" si="21"/>
        <v>159.24706276995806</v>
      </c>
      <c r="T51" s="107">
        <f t="shared" si="21"/>
        <v>131.14463992820077</v>
      </c>
      <c r="U51" s="107">
        <f t="shared" si="21"/>
        <v>108.00146817616535</v>
      </c>
      <c r="V51" s="107">
        <f t="shared" si="21"/>
        <v>88.942385556842055</v>
      </c>
      <c r="W51" s="107">
        <f t="shared" si="21"/>
        <v>73.246670458575807</v>
      </c>
      <c r="X51" s="107">
        <f>X48-X49+X50</f>
        <v>60.320787436474191</v>
      </c>
      <c r="Y51" s="107">
        <f>Y48-Y49+Y50</f>
        <v>49.675942594743454</v>
      </c>
      <c r="Z51" s="107">
        <f>Z48-Z49+Z50</f>
        <v>40.909599783906373</v>
      </c>
      <c r="AA51" s="107">
        <f>AA48-AA49+AA50</f>
        <v>33.690258645569955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108917.75008762977</v>
      </c>
      <c r="G55" s="80">
        <f t="shared" si="23"/>
        <v>169260.1004220061</v>
      </c>
      <c r="H55" s="80">
        <f t="shared" si="23"/>
        <v>206065.19695045392</v>
      </c>
      <c r="I55" s="80">
        <f t="shared" si="23"/>
        <v>200419.02554125403</v>
      </c>
      <c r="J55" s="80">
        <f t="shared" si="23"/>
        <v>142597.50312584513</v>
      </c>
      <c r="K55" s="80">
        <f t="shared" si="23"/>
        <v>103722.3716353054</v>
      </c>
      <c r="L55" s="80">
        <f t="shared" si="23"/>
        <v>67294.002647412737</v>
      </c>
      <c r="M55" s="80">
        <f t="shared" si="23"/>
        <v>44074.664326682512</v>
      </c>
      <c r="N55" s="80">
        <f t="shared" si="23"/>
        <v>29178.418442699913</v>
      </c>
      <c r="O55" s="80">
        <f t="shared" si="23"/>
        <v>19548.559644187491</v>
      </c>
      <c r="P55" s="80">
        <f t="shared" si="23"/>
        <v>13267.758761371968</v>
      </c>
      <c r="Q55" s="80">
        <f t="shared" si="23"/>
        <v>9129.5428199806283</v>
      </c>
      <c r="R55" s="80">
        <f t="shared" si="23"/>
        <v>6371.8237998066634</v>
      </c>
      <c r="S55" s="80">
        <f t="shared" si="23"/>
        <v>4510.9849731845743</v>
      </c>
      <c r="T55" s="80">
        <f t="shared" si="23"/>
        <v>3238.420651782455</v>
      </c>
      <c r="U55" s="80">
        <f t="shared" si="23"/>
        <v>2355.9026738055168</v>
      </c>
      <c r="V55" s="80">
        <f t="shared" si="23"/>
        <v>1735.1135432582569</v>
      </c>
      <c r="W55" s="80">
        <f t="shared" si="23"/>
        <v>1292.2425129771768</v>
      </c>
      <c r="X55" s="80">
        <f t="shared" ref="X55:AA58" si="24">SUM(X24,X30,X36,X42,X48)</f>
        <v>971.98608979530331</v>
      </c>
      <c r="Y55" s="80">
        <f t="shared" si="24"/>
        <v>737.43200730052718</v>
      </c>
      <c r="Z55" s="80">
        <f t="shared" si="24"/>
        <v>563.63295957343973</v>
      </c>
      <c r="AA55" s="80">
        <f t="shared" si="24"/>
        <v>433.50120983818567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35884.472940893851</v>
      </c>
      <c r="F56" s="80">
        <f t="shared" si="25"/>
        <v>62714.932656050114</v>
      </c>
      <c r="G56" s="80">
        <f t="shared" si="25"/>
        <v>82727.96228560718</v>
      </c>
      <c r="H56" s="80">
        <f t="shared" si="25"/>
        <v>89213.181807262052</v>
      </c>
      <c r="I56" s="80">
        <f t="shared" si="25"/>
        <v>74929.547425323195</v>
      </c>
      <c r="J56" s="80">
        <f t="shared" si="25"/>
        <v>53195.733686547865</v>
      </c>
      <c r="K56" s="80">
        <f t="shared" si="25"/>
        <v>36428.368987892667</v>
      </c>
      <c r="L56" s="80">
        <f t="shared" si="25"/>
        <v>23219.338320730236</v>
      </c>
      <c r="M56" s="80">
        <f t="shared" si="25"/>
        <v>14896.245883982592</v>
      </c>
      <c r="N56" s="80">
        <f t="shared" si="25"/>
        <v>9629.8587985124232</v>
      </c>
      <c r="O56" s="80">
        <f t="shared" si="25"/>
        <v>6280.8008828155171</v>
      </c>
      <c r="P56" s="80">
        <f t="shared" si="25"/>
        <v>4138.2159413913396</v>
      </c>
      <c r="Q56" s="80">
        <f t="shared" si="25"/>
        <v>2757.7190201739663</v>
      </c>
      <c r="R56" s="80">
        <f t="shared" si="25"/>
        <v>1860.8388266220902</v>
      </c>
      <c r="S56" s="80">
        <f t="shared" si="25"/>
        <v>1272.5643214021186</v>
      </c>
      <c r="T56" s="80">
        <f t="shared" si="25"/>
        <v>882.51797797693825</v>
      </c>
      <c r="U56" s="80">
        <f t="shared" si="25"/>
        <v>620.78913054725967</v>
      </c>
      <c r="V56" s="80">
        <f t="shared" si="25"/>
        <v>442.87103028108004</v>
      </c>
      <c r="W56" s="80">
        <f t="shared" si="25"/>
        <v>320.25642318187329</v>
      </c>
      <c r="X56" s="80">
        <f t="shared" si="24"/>
        <v>234.55408249477617</v>
      </c>
      <c r="Y56" s="80">
        <f t="shared" si="24"/>
        <v>173.79904772708738</v>
      </c>
      <c r="Z56" s="80">
        <f t="shared" si="24"/>
        <v>130.13174973525409</v>
      </c>
      <c r="AA56" s="80">
        <f t="shared" si="24"/>
        <v>98.332918189680541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99853.381933008655</v>
      </c>
      <c r="F57" s="80">
        <f t="shared" si="26"/>
        <v>123057.28299042645</v>
      </c>
      <c r="G57" s="80">
        <f t="shared" si="26"/>
        <v>119533.058814055</v>
      </c>
      <c r="H57" s="80">
        <f t="shared" si="26"/>
        <v>83567.010398062106</v>
      </c>
      <c r="I57" s="80">
        <f t="shared" si="26"/>
        <v>17108.02500991433</v>
      </c>
      <c r="J57" s="80">
        <f t="shared" si="26"/>
        <v>14320.602196008114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108917.75008762977</v>
      </c>
      <c r="F58" s="107">
        <f t="shared" si="27"/>
        <v>169260.1004220061</v>
      </c>
      <c r="G58" s="107">
        <f t="shared" si="27"/>
        <v>206065.19695045392</v>
      </c>
      <c r="H58" s="107">
        <f t="shared" si="27"/>
        <v>200419.02554125403</v>
      </c>
      <c r="I58" s="107">
        <f t="shared" si="27"/>
        <v>142597.50312584513</v>
      </c>
      <c r="J58" s="107">
        <f t="shared" si="27"/>
        <v>103722.3716353054</v>
      </c>
      <c r="K58" s="107">
        <f t="shared" si="27"/>
        <v>67294.002647412737</v>
      </c>
      <c r="L58" s="107">
        <f t="shared" si="27"/>
        <v>44074.664326682512</v>
      </c>
      <c r="M58" s="107">
        <f t="shared" si="27"/>
        <v>29178.418442699913</v>
      </c>
      <c r="N58" s="107">
        <f t="shared" si="27"/>
        <v>19548.559644187491</v>
      </c>
      <c r="O58" s="107">
        <f t="shared" si="27"/>
        <v>13267.758761371968</v>
      </c>
      <c r="P58" s="107">
        <f t="shared" si="27"/>
        <v>9129.5428199806283</v>
      </c>
      <c r="Q58" s="107">
        <f t="shared" si="27"/>
        <v>6371.8237998066634</v>
      </c>
      <c r="R58" s="107">
        <f t="shared" si="27"/>
        <v>4510.9849731845743</v>
      </c>
      <c r="S58" s="107">
        <f t="shared" si="27"/>
        <v>3238.420651782455</v>
      </c>
      <c r="T58" s="107">
        <f t="shared" si="27"/>
        <v>2355.9026738055168</v>
      </c>
      <c r="U58" s="107">
        <f t="shared" si="27"/>
        <v>1735.1135432582569</v>
      </c>
      <c r="V58" s="107">
        <f t="shared" si="27"/>
        <v>1292.2425129771768</v>
      </c>
      <c r="W58" s="107">
        <f t="shared" si="27"/>
        <v>971.98608979530331</v>
      </c>
      <c r="X58" s="107">
        <f t="shared" si="24"/>
        <v>737.43200730052718</v>
      </c>
      <c r="Y58" s="107">
        <f t="shared" si="24"/>
        <v>563.63295957343973</v>
      </c>
      <c r="Z58" s="107">
        <f t="shared" si="24"/>
        <v>433.50120983818567</v>
      </c>
      <c r="AA58" s="107">
        <f t="shared" si="24"/>
        <v>335.16829164850515</v>
      </c>
    </row>
    <row r="59" spans="1:27" s="82" customFormat="1" x14ac:dyDescent="0.2">
      <c r="A59" s="556" t="s">
        <v>0</v>
      </c>
      <c r="B59" s="544"/>
      <c r="C59" s="544">
        <f>SUM(D59:AA59)</f>
        <v>1.5154455468291417E-10</v>
      </c>
      <c r="D59" s="547">
        <f>ABS(D55-D56+D57-D58)</f>
        <v>0</v>
      </c>
      <c r="E59" s="547">
        <f t="shared" ref="E59:W59" si="28">ABS(E55-E56+E57-E58)</f>
        <v>0</v>
      </c>
      <c r="F59" s="547">
        <f t="shared" si="28"/>
        <v>0</v>
      </c>
      <c r="G59" s="547">
        <f t="shared" si="28"/>
        <v>0</v>
      </c>
      <c r="H59" s="547">
        <f t="shared" si="28"/>
        <v>5.8207660913467407E-11</v>
      </c>
      <c r="I59" s="547">
        <f t="shared" si="28"/>
        <v>2.9103830456733704E-11</v>
      </c>
      <c r="J59" s="547">
        <f t="shared" si="28"/>
        <v>2.9103830456733704E-11</v>
      </c>
      <c r="K59" s="547">
        <f t="shared" si="28"/>
        <v>0</v>
      </c>
      <c r="L59" s="547">
        <f t="shared" si="28"/>
        <v>1.4551915228366852E-11</v>
      </c>
      <c r="M59" s="547">
        <f t="shared" si="28"/>
        <v>7.2759576141834259E-12</v>
      </c>
      <c r="N59" s="547">
        <f t="shared" si="28"/>
        <v>3.637978807091713E-12</v>
      </c>
      <c r="O59" s="547">
        <f t="shared" si="28"/>
        <v>5.4569682106375694E-12</v>
      </c>
      <c r="P59" s="547">
        <f t="shared" si="28"/>
        <v>0</v>
      </c>
      <c r="Q59" s="547">
        <f t="shared" si="28"/>
        <v>1.8189894035458565E-12</v>
      </c>
      <c r="R59" s="547">
        <f t="shared" si="28"/>
        <v>9.0949470177292824E-13</v>
      </c>
      <c r="S59" s="547">
        <f t="shared" si="28"/>
        <v>9.0949470177292824E-13</v>
      </c>
      <c r="T59" s="547">
        <f t="shared" si="28"/>
        <v>0</v>
      </c>
      <c r="U59" s="547">
        <f t="shared" si="28"/>
        <v>2.2737367544323206E-13</v>
      </c>
      <c r="V59" s="547">
        <f t="shared" si="28"/>
        <v>0</v>
      </c>
      <c r="W59" s="547">
        <f t="shared" si="28"/>
        <v>2.2737367544323206E-13</v>
      </c>
      <c r="X59" s="547">
        <f>ABS(X55-X56+X57-X58)</f>
        <v>0</v>
      </c>
      <c r="Y59" s="547">
        <f>ABS(Y55-Y56+Y57-Y58)</f>
        <v>1.1368683772161603E-13</v>
      </c>
      <c r="Z59" s="547">
        <f>ABS(Z55-Z56+Z57-Z58)</f>
        <v>0</v>
      </c>
      <c r="AA59" s="547">
        <f>ABS(AA55-AA56+AA57-AA58)</f>
        <v>0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Mark De Villiers</cp:lastModifiedBy>
  <cp:lastPrinted>2009-05-05T01:34:38Z</cp:lastPrinted>
  <dcterms:created xsi:type="dcterms:W3CDTF">2009-04-11T02:58:03Z</dcterms:created>
  <dcterms:modified xsi:type="dcterms:W3CDTF">2015-12-28T01:39:42Z</dcterms:modified>
</cp:coreProperties>
</file>