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/>
  <bookViews>
    <workbookView xWindow="1485" yWindow="60" windowWidth="23610" windowHeight="16140" tabRatio="908" activeTab="1"/>
  </bookViews>
  <sheets>
    <sheet name="Assumptions" sheetId="3" r:id="rId1"/>
    <sheet name="REFCL opex" sheetId="21" r:id="rId2"/>
  </sheets>
  <definedNames>
    <definedName name="BaseYear">Assumptions!$D$12</definedName>
    <definedName name="conv_18_19">Assumptions!$F$20</definedName>
    <definedName name="conv_19_21">Assumptions!$F$21</definedName>
    <definedName name="conv_21_21">Assumptions!$F$22</definedName>
    <definedName name="days_per_year">365.25</definedName>
    <definedName name="PAL_cost_split">Assumptions!$D$10</definedName>
    <definedName name="PAL_count">#REF!</definedName>
    <definedName name="PAL_cust_share">Assumptions!$F$28</definedName>
    <definedName name="Year_of_Currency">Assumptions!$D$11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66" i="21" l="1"/>
  <c r="F65" i="21"/>
  <c r="K62" i="21"/>
  <c r="L62" i="21" s="1"/>
  <c r="M62" i="21" s="1"/>
  <c r="N62" i="21" s="1"/>
  <c r="O62" i="21" s="1"/>
  <c r="P62" i="21" s="1"/>
  <c r="Q62" i="21" s="1"/>
  <c r="K60" i="21"/>
  <c r="L60" i="21" s="1"/>
  <c r="M60" i="21" s="1"/>
  <c r="N60" i="21" s="1"/>
  <c r="O60" i="21" s="1"/>
  <c r="P60" i="21" s="1"/>
  <c r="Q60" i="21" s="1"/>
  <c r="K61" i="21"/>
  <c r="L61" i="21" s="1"/>
  <c r="M61" i="21" s="1"/>
  <c r="N61" i="21" s="1"/>
  <c r="O61" i="21" s="1"/>
  <c r="P61" i="21" s="1"/>
  <c r="Q61" i="21" s="1"/>
  <c r="F21" i="21" l="1"/>
  <c r="F20" i="21"/>
  <c r="F19" i="21"/>
  <c r="F18" i="21"/>
  <c r="K66" i="21" l="1"/>
  <c r="H15" i="3"/>
  <c r="I15" i="3" s="1"/>
  <c r="H19" i="3"/>
  <c r="I19" i="3" s="1"/>
  <c r="J19" i="3" s="1"/>
  <c r="K19" i="3" s="1"/>
  <c r="L19" i="3" s="1"/>
  <c r="M19" i="3" s="1"/>
  <c r="E22" i="3"/>
  <c r="E21" i="3"/>
  <c r="E20" i="3"/>
  <c r="B21" i="3"/>
  <c r="F73" i="21"/>
  <c r="B22" i="3"/>
  <c r="B20" i="3"/>
  <c r="F64" i="21"/>
  <c r="A2" i="21"/>
  <c r="B82" i="21" s="1"/>
  <c r="A2" i="3"/>
  <c r="L35" i="3"/>
  <c r="M40" i="3"/>
  <c r="N40" i="3"/>
  <c r="O40" i="3"/>
  <c r="P40" i="3"/>
  <c r="Q40" i="3"/>
  <c r="R40" i="3"/>
  <c r="M35" i="3" l="1"/>
  <c r="N35" i="3" s="1"/>
  <c r="O35" i="3" s="1"/>
  <c r="P35" i="3" s="1"/>
  <c r="Q35" i="3" s="1"/>
  <c r="R35" i="3" s="1"/>
  <c r="L44" i="3"/>
  <c r="L45" i="3" s="1"/>
  <c r="M44" i="3"/>
  <c r="Q44" i="3"/>
  <c r="N44" i="3"/>
  <c r="F27" i="3"/>
  <c r="R44" i="3"/>
  <c r="L40" i="3"/>
  <c r="O44" i="3"/>
  <c r="P44" i="3"/>
  <c r="L65" i="21"/>
  <c r="L64" i="21"/>
  <c r="M66" i="21"/>
  <c r="K64" i="21"/>
  <c r="K65" i="21"/>
  <c r="J15" i="3"/>
  <c r="F22" i="3" s="1"/>
  <c r="L66" i="21"/>
  <c r="F28" i="3"/>
  <c r="B74" i="21"/>
  <c r="B79" i="21"/>
  <c r="M45" i="3" l="1"/>
  <c r="N45" i="3" s="1"/>
  <c r="O45" i="3" s="1"/>
  <c r="P45" i="3"/>
  <c r="Q45" i="3" s="1"/>
  <c r="R45" i="3" s="1"/>
  <c r="K68" i="21"/>
  <c r="L68" i="21"/>
  <c r="M64" i="21"/>
  <c r="M65" i="21"/>
  <c r="N66" i="21"/>
  <c r="F20" i="3"/>
  <c r="F21" i="3"/>
  <c r="M68" i="21" l="1"/>
  <c r="M73" i="21" s="1"/>
  <c r="M74" i="21" s="1"/>
  <c r="O66" i="21"/>
  <c r="N65" i="21"/>
  <c r="N64" i="21"/>
  <c r="Q66" i="21" l="1"/>
  <c r="P66" i="21"/>
  <c r="N68" i="21"/>
  <c r="N73" i="21" s="1"/>
  <c r="O64" i="21"/>
  <c r="O65" i="21"/>
  <c r="M79" i="21"/>
  <c r="P65" i="21" l="1"/>
  <c r="P64" i="21"/>
  <c r="M82" i="21"/>
  <c r="N74" i="21"/>
  <c r="O68" i="21"/>
  <c r="O73" i="21" s="1"/>
  <c r="O74" i="21" s="1"/>
  <c r="O79" i="21" s="1"/>
  <c r="O82" i="21" s="1"/>
  <c r="P68" i="21" l="1"/>
  <c r="P73" i="21" s="1"/>
  <c r="P74" i="21" s="1"/>
  <c r="P79" i="21" s="1"/>
  <c r="P82" i="21" s="1"/>
  <c r="N79" i="21"/>
  <c r="Q64" i="21"/>
  <c r="Q65" i="21"/>
  <c r="N82" i="21" l="1"/>
  <c r="Q68" i="21"/>
  <c r="Q73" i="21" s="1"/>
  <c r="Q74" i="21" l="1"/>
  <c r="S73" i="21"/>
  <c r="Q79" i="21" l="1"/>
  <c r="S74" i="21"/>
  <c r="Q82" i="21" l="1"/>
  <c r="S82" i="21" s="1"/>
  <c r="S79" i="21"/>
</calcChain>
</file>

<file path=xl/sharedStrings.xml><?xml version="1.0" encoding="utf-8"?>
<sst xmlns="http://schemas.openxmlformats.org/spreadsheetml/2006/main" count="177" uniqueCount="89">
  <si>
    <t>Inflation</t>
  </si>
  <si>
    <t>General assumptions</t>
  </si>
  <si>
    <t>VPN</t>
  </si>
  <si>
    <t>Total</t>
  </si>
  <si>
    <t>Customer numbers</t>
  </si>
  <si>
    <t>CitiPower</t>
  </si>
  <si>
    <t>Powercor</t>
  </si>
  <si>
    <t>% share of VPN</t>
  </si>
  <si>
    <t>Calculations</t>
  </si>
  <si>
    <t>Labour Growth Escalation</t>
  </si>
  <si>
    <t>Weighted average price change</t>
  </si>
  <si>
    <t>Powercor Labour</t>
  </si>
  <si>
    <t>Powercor Non Labour</t>
  </si>
  <si>
    <t>Year of currency for inputs</t>
  </si>
  <si>
    <t>The indentified need</t>
  </si>
  <si>
    <t>Reported Dollars for 2021-26</t>
  </si>
  <si>
    <t>2019/20</t>
  </si>
  <si>
    <t>2020/21</t>
  </si>
  <si>
    <t>2021/22</t>
  </si>
  <si>
    <t>2022/23</t>
  </si>
  <si>
    <t>2023/24</t>
  </si>
  <si>
    <t>2024/25</t>
  </si>
  <si>
    <t>2025/26</t>
  </si>
  <si>
    <t>Assumptions</t>
  </si>
  <si>
    <t>per ZSS</t>
  </si>
  <si>
    <t>per feeder</t>
  </si>
  <si>
    <t>Camperdown</t>
  </si>
  <si>
    <t>Colac</t>
  </si>
  <si>
    <t>Castlemaine</t>
  </si>
  <si>
    <t>Maryborough</t>
  </si>
  <si>
    <t>Winchelsea</t>
  </si>
  <si>
    <t>Eaglehawk</t>
  </si>
  <si>
    <t>Ballarat North</t>
  </si>
  <si>
    <t>Ballarat South</t>
  </si>
  <si>
    <t>Bendigo TS</t>
  </si>
  <si>
    <t>Bendigo</t>
  </si>
  <si>
    <t>Charlton</t>
  </si>
  <si>
    <t>Stawell</t>
  </si>
  <si>
    <t>Ararat</t>
  </si>
  <si>
    <t>Koroit</t>
  </si>
  <si>
    <t>Terang</t>
  </si>
  <si>
    <t>Hamilton</t>
  </si>
  <si>
    <t>Merbein</t>
  </si>
  <si>
    <t>Technical support</t>
  </si>
  <si>
    <t>Rebalancing works</t>
  </si>
  <si>
    <t>Unit cost of incremental technical support</t>
  </si>
  <si>
    <t>Unit cost of incremental re-balancing works</t>
  </si>
  <si>
    <t>Unit cost of incremental re-balancing works - per feeder</t>
  </si>
  <si>
    <t>Unit cost of incremental compliance testing - per feeder</t>
  </si>
  <si>
    <t>Woodend</t>
  </si>
  <si>
    <t>Gisborne</t>
  </si>
  <si>
    <t>Source</t>
  </si>
  <si>
    <t>Effect on opex and capex</t>
  </si>
  <si>
    <r>
      <t>2021</t>
    </r>
    <r>
      <rPr>
        <b/>
        <sz val="10"/>
        <color theme="1"/>
        <rFont val="Verdana"/>
        <family val="2"/>
      </rPr>
      <t>−</t>
    </r>
    <r>
      <rPr>
        <b/>
        <sz val="10"/>
        <color theme="1"/>
        <rFont val="Calibri"/>
        <family val="2"/>
        <scheme val="minor"/>
      </rPr>
      <t>2026</t>
    </r>
  </si>
  <si>
    <t>The step change will result in an increase in REFCL-related operating expenditure incremental to the base year, increasing total operating expenditure</t>
  </si>
  <si>
    <t>The step change is in addition to the capital expenditure related to REFCLs</t>
  </si>
  <si>
    <t>Weighting</t>
  </si>
  <si>
    <t>Calendar year inflation</t>
  </si>
  <si>
    <t>Cumulative calendar year inflation</t>
  </si>
  <si>
    <t>Opex starts</t>
  </si>
  <si>
    <t>Base year</t>
  </si>
  <si>
    <t>Input</t>
  </si>
  <si>
    <t>From another model</t>
  </si>
  <si>
    <t>Summary</t>
  </si>
  <si>
    <t>Total step change</t>
  </si>
  <si>
    <t>Cumulative labour escalation</t>
  </si>
  <si>
    <t>EGWWW</t>
  </si>
  <si>
    <t>Part years</t>
  </si>
  <si>
    <t>CPA REFCLs Tranche 2</t>
  </si>
  <si>
    <t>With real escalation</t>
  </si>
  <si>
    <t>Allocation between Powercor and CitiPower</t>
  </si>
  <si>
    <t>Waurn Ponds</t>
  </si>
  <si>
    <t>Torquay</t>
  </si>
  <si>
    <t>Ballarat West</t>
  </si>
  <si>
    <t xml:space="preserve">REFCL on-going operating expenditure </t>
  </si>
  <si>
    <t>Recurrent in nature, starting 2021/22</t>
  </si>
  <si>
    <t>Real price change</t>
  </si>
  <si>
    <t>Compliance testing cost</t>
  </si>
  <si>
    <t>Feeders - Testing</t>
  </si>
  <si>
    <t>Feeders - Rebalancing</t>
  </si>
  <si>
    <t>Powercor Cumulative price change from 2019</t>
  </si>
  <si>
    <t>Zone Sub Stations</t>
  </si>
  <si>
    <t>Completed ZSS</t>
  </si>
  <si>
    <t>Number</t>
  </si>
  <si>
    <t>Installation of additional GFNs and associated incremental feeders for testing</t>
  </si>
  <si>
    <t>Feeders - re-balancing</t>
  </si>
  <si>
    <t>Feeders - compliance testing</t>
  </si>
  <si>
    <t>$k Jun 2021</t>
  </si>
  <si>
    <t>Gheringhap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</si>
</sst>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$&quot;#,##0;[Red]\-&quot;$&quot;#,##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000"/>
    <numFmt numFmtId="165" formatCode="#,##0;[Red]\(#,##0\);&quot;-&quot;"/>
    <numFmt numFmtId="166" formatCode="#,##0;\(#,##0\);&quot;-&quot;"/>
    <numFmt numFmtId="167" formatCode="0.0%"/>
    <numFmt numFmtId="168" formatCode="#,##0.0000;\(#,##0.0000\);&quot;-&quot;"/>
    <numFmt numFmtId="169" formatCode="#,##0.0000000;\(#,##0.0000000\);&quot;-&quot;"/>
    <numFmt numFmtId="170" formatCode="0.000"/>
    <numFmt numFmtId="171" formatCode="&quot;$&quot;#,##0;[Red]\-&quot;$&quot;#,##0;\ &quot;-&quot;"/>
    <numFmt numFmtId="172" formatCode="#;\ \-#;\ &quot;-&quot;"/>
    <numFmt numFmtId="173" formatCode="0.0"/>
    <numFmt numFmtId="174" formatCode="#,##0;[Red]\-#,##0;\ &quot;-&quot;"/>
    <numFmt numFmtId="175" formatCode="#,##0_ ;[Red]\-#,##0\ ;\ &quot;-&quot;"/>
    <numFmt numFmtId="176" formatCode="&quot;$&quot;#"/>
    <numFmt numFmtId="177" formatCode="&quot;$k &quot;#"/>
    <numFmt numFmtId="178" formatCode="_-&quot;$&quot;\ #,##0_-;\-&quot;$&quot;\ #,##0_-;_-&quot;$&quot;\ &quot;-&quot;??_-;_-@_-"/>
  </numFmts>
  <fonts count="29" x14ac:knownFonts="1">
    <font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4"/>
      <name val="Calibri"/>
      <family val="2"/>
    </font>
    <font>
      <b/>
      <sz val="10"/>
      <name val="Calibri"/>
      <family val="2"/>
      <scheme val="minor"/>
    </font>
    <font>
      <b/>
      <sz val="16"/>
      <color indexed="9"/>
      <name val="Arial"/>
      <family val="2"/>
    </font>
    <font>
      <b/>
      <sz val="12"/>
      <color theme="0"/>
      <name val="Arial"/>
      <family val="2"/>
    </font>
    <font>
      <i/>
      <sz val="10"/>
      <color theme="1" tint="0.499984740745262"/>
      <name val="Calibri"/>
      <family val="2"/>
      <scheme val="minor"/>
    </font>
    <font>
      <sz val="10"/>
      <color rgb="FF0000FF"/>
      <name val="Calibri"/>
      <family val="2"/>
      <scheme val="minor"/>
    </font>
    <font>
      <b/>
      <sz val="11"/>
      <color rgb="FFFF33CC"/>
      <name val="Calibri"/>
      <family val="2"/>
      <scheme val="minor"/>
    </font>
    <font>
      <b/>
      <sz val="10"/>
      <color theme="1"/>
      <name val="Verdana"/>
      <family val="2"/>
    </font>
    <font>
      <b/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theme="3"/>
      <name val="Arial"/>
      <family val="2"/>
    </font>
    <font>
      <i/>
      <sz val="10"/>
      <color theme="1"/>
      <name val="Calibri"/>
      <family val="2"/>
    </font>
    <font>
      <b/>
      <i/>
      <sz val="10"/>
      <color theme="1"/>
      <name val="Calibri"/>
      <family val="2"/>
    </font>
    <font>
      <sz val="10"/>
      <color theme="3" tint="-0.499984740745262"/>
      <name val="Calibri"/>
      <family val="2"/>
      <scheme val="minor"/>
    </font>
    <font>
      <i/>
      <sz val="10"/>
      <color rgb="FF0000FF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0"/>
      <name val="Calibri"/>
      <family val="2"/>
    </font>
    <font>
      <sz val="8"/>
      <color theme="1" tint="0.499984740745262"/>
      <name val="Calibri"/>
      <family val="2"/>
      <scheme val="minor"/>
    </font>
    <font>
      <sz val="9"/>
      <color rgb="FF0000FF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CCFFFF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9" fillId="6" borderId="0">
      <alignment horizontal="left" vertical="center"/>
      <protection locked="0"/>
    </xf>
    <xf numFmtId="0" fontId="10" fillId="5" borderId="3">
      <alignment vertical="center"/>
    </xf>
    <xf numFmtId="44" fontId="1" fillId="0" borderId="0" applyFont="0" applyFill="0" applyBorder="0" applyAlignment="0" applyProtection="0"/>
    <xf numFmtId="0" fontId="18" fillId="3" borderId="5" applyNumberFormat="0" applyAlignment="0">
      <alignment horizontal="right"/>
      <protection locked="0"/>
    </xf>
  </cellStyleXfs>
  <cellXfs count="100">
    <xf numFmtId="0" fontId="0" fillId="0" borderId="0" xfId="0"/>
    <xf numFmtId="0" fontId="3" fillId="0" borderId="0" xfId="0" applyFont="1"/>
    <xf numFmtId="0" fontId="4" fillId="2" borderId="1" xfId="0" applyFont="1" applyFill="1" applyBorder="1"/>
    <xf numFmtId="0" fontId="5" fillId="0" borderId="0" xfId="0" applyFont="1"/>
    <xf numFmtId="164" fontId="3" fillId="0" borderId="0" xfId="0" applyNumberFormat="1" applyFont="1"/>
    <xf numFmtId="0" fontId="4" fillId="0" borderId="0" xfId="0" applyFont="1"/>
    <xf numFmtId="0" fontId="4" fillId="2" borderId="1" xfId="0" applyFont="1" applyFill="1" applyBorder="1" applyAlignment="1">
      <alignment horizontal="right"/>
    </xf>
    <xf numFmtId="0" fontId="7" fillId="0" borderId="0" xfId="0" applyFont="1"/>
    <xf numFmtId="166" fontId="3" fillId="0" borderId="0" xfId="0" applyNumberFormat="1" applyFont="1"/>
    <xf numFmtId="167" fontId="3" fillId="0" borderId="0" xfId="1" applyNumberFormat="1" applyFont="1"/>
    <xf numFmtId="0" fontId="4" fillId="0" borderId="0" xfId="0" applyFont="1" applyFill="1" applyBorder="1"/>
    <xf numFmtId="0" fontId="3" fillId="0" borderId="0" xfId="0" applyFont="1" applyFill="1"/>
    <xf numFmtId="10" fontId="3" fillId="0" borderId="0" xfId="1" applyNumberFormat="1" applyFont="1" applyFill="1"/>
    <xf numFmtId="168" fontId="3" fillId="0" borderId="0" xfId="0" applyNumberFormat="1" applyFont="1"/>
    <xf numFmtId="169" fontId="3" fillId="0" borderId="0" xfId="0" applyNumberFormat="1" applyFont="1"/>
    <xf numFmtId="9" fontId="3" fillId="0" borderId="0" xfId="1" applyNumberFormat="1" applyFont="1"/>
    <xf numFmtId="0" fontId="2" fillId="0" borderId="0" xfId="0" applyFont="1" applyFill="1" applyBorder="1"/>
    <xf numFmtId="170" fontId="3" fillId="0" borderId="0" xfId="0" applyNumberFormat="1" applyFont="1" applyFill="1" applyBorder="1"/>
    <xf numFmtId="0" fontId="3" fillId="4" borderId="0" xfId="0" applyFont="1" applyFill="1"/>
    <xf numFmtId="166" fontId="3" fillId="4" borderId="0" xfId="0" applyNumberFormat="1" applyFont="1" applyFill="1"/>
    <xf numFmtId="10" fontId="3" fillId="4" borderId="0" xfId="1" applyNumberFormat="1" applyFont="1" applyFill="1"/>
    <xf numFmtId="0" fontId="11" fillId="0" borderId="0" xfId="0" applyFont="1"/>
    <xf numFmtId="171" fontId="3" fillId="0" borderId="0" xfId="0" applyNumberFormat="1" applyFont="1"/>
    <xf numFmtId="0" fontId="4" fillId="0" borderId="0" xfId="0" applyFont="1" applyBorder="1"/>
    <xf numFmtId="0" fontId="3" fillId="0" borderId="0" xfId="0" applyFont="1" applyAlignment="1">
      <alignment vertical="top"/>
    </xf>
    <xf numFmtId="38" fontId="8" fillId="0" borderId="0" xfId="0" applyNumberFormat="1" applyFont="1" applyAlignment="1">
      <alignment horizontal="right" vertical="top"/>
    </xf>
    <xf numFmtId="0" fontId="4" fillId="0" borderId="2" xfId="0" applyFont="1" applyBorder="1"/>
    <xf numFmtId="6" fontId="3" fillId="0" borderId="0" xfId="0" quotePrefix="1" applyNumberFormat="1" applyFont="1"/>
    <xf numFmtId="0" fontId="3" fillId="0" borderId="0" xfId="0" applyFont="1" applyAlignment="1">
      <alignment wrapText="1"/>
    </xf>
    <xf numFmtId="0" fontId="4" fillId="0" borderId="0" xfId="0" applyFont="1" applyAlignment="1">
      <alignment horizontal="right"/>
    </xf>
    <xf numFmtId="165" fontId="8" fillId="0" borderId="0" xfId="0" applyNumberFormat="1" applyFont="1" applyFill="1"/>
    <xf numFmtId="43" fontId="3" fillId="0" borderId="0" xfId="0" applyNumberFormat="1" applyFont="1"/>
    <xf numFmtId="0" fontId="3" fillId="0" borderId="0" xfId="0" applyFont="1" applyBorder="1"/>
    <xf numFmtId="0" fontId="3" fillId="0" borderId="0" xfId="0" applyFont="1" applyFill="1" applyBorder="1"/>
    <xf numFmtId="172" fontId="3" fillId="0" borderId="0" xfId="0" applyNumberFormat="1" applyFont="1"/>
    <xf numFmtId="0" fontId="13" fillId="0" borderId="0" xfId="0" applyFont="1"/>
    <xf numFmtId="165" fontId="6" fillId="4" borderId="0" xfId="0" applyNumberFormat="1" applyFont="1" applyFill="1"/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10" fontId="12" fillId="3" borderId="0" xfId="5" applyNumberFormat="1" applyFont="1" applyFill="1" applyBorder="1" applyAlignment="1">
      <alignment horizontal="center"/>
      <protection locked="0"/>
    </xf>
    <xf numFmtId="164" fontId="6" fillId="0" borderId="0" xfId="5" applyNumberFormat="1" applyFont="1" applyFill="1" applyBorder="1" applyAlignment="1">
      <alignment horizontal="center"/>
      <protection locked="0"/>
    </xf>
    <xf numFmtId="9" fontId="3" fillId="0" borderId="0" xfId="1" applyNumberFormat="1" applyFont="1" applyFill="1"/>
    <xf numFmtId="170" fontId="12" fillId="3" borderId="0" xfId="0" applyNumberFormat="1" applyFont="1" applyFill="1" applyBorder="1"/>
    <xf numFmtId="0" fontId="3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0" fontId="12" fillId="3" borderId="0" xfId="0" applyFont="1" applyFill="1" applyAlignment="1">
      <alignment horizontal="center"/>
    </xf>
    <xf numFmtId="0" fontId="19" fillId="0" borderId="0" xfId="0" applyFont="1" applyFill="1" applyBorder="1"/>
    <xf numFmtId="0" fontId="20" fillId="0" borderId="0" xfId="0" applyFont="1" applyFill="1" applyBorder="1"/>
    <xf numFmtId="0" fontId="15" fillId="0" borderId="0" xfId="0" applyFont="1" applyFill="1" applyBorder="1"/>
    <xf numFmtId="10" fontId="12" fillId="3" borderId="0" xfId="5" applyNumberFormat="1" applyFont="1" applyFill="1" applyBorder="1" applyAlignment="1">
      <alignment horizontal="left"/>
      <protection locked="0"/>
    </xf>
    <xf numFmtId="166" fontId="21" fillId="7" borderId="0" xfId="0" applyNumberFormat="1" applyFont="1" applyFill="1"/>
    <xf numFmtId="2" fontId="12" fillId="3" borderId="0" xfId="5" applyNumberFormat="1" applyFont="1" applyFill="1" applyBorder="1" applyAlignment="1">
      <alignment horizontal="center"/>
      <protection locked="0"/>
    </xf>
    <xf numFmtId="9" fontId="21" fillId="7" borderId="0" xfId="1" applyNumberFormat="1" applyFont="1" applyFill="1"/>
    <xf numFmtId="173" fontId="22" fillId="3" borderId="0" xfId="0" applyNumberFormat="1" applyFont="1" applyFill="1" applyBorder="1"/>
    <xf numFmtId="170" fontId="3" fillId="0" borderId="6" xfId="0" applyNumberFormat="1" applyFont="1" applyFill="1" applyBorder="1"/>
    <xf numFmtId="0" fontId="23" fillId="0" borderId="0" xfId="0" applyFont="1"/>
    <xf numFmtId="166" fontId="12" fillId="3" borderId="0" xfId="0" applyNumberFormat="1" applyFont="1" applyFill="1"/>
    <xf numFmtId="0" fontId="24" fillId="0" borderId="0" xfId="0" applyFont="1"/>
    <xf numFmtId="0" fontId="2" fillId="2" borderId="1" xfId="0" applyFont="1" applyFill="1" applyBorder="1"/>
    <xf numFmtId="10" fontId="21" fillId="7" borderId="0" xfId="1" applyNumberFormat="1" applyFont="1" applyFill="1"/>
    <xf numFmtId="171" fontId="4" fillId="0" borderId="7" xfId="0" applyNumberFormat="1" applyFont="1" applyBorder="1"/>
    <xf numFmtId="174" fontId="4" fillId="0" borderId="7" xfId="0" applyNumberFormat="1" applyFont="1" applyBorder="1"/>
    <xf numFmtId="171" fontId="3" fillId="0" borderId="8" xfId="0" applyNumberFormat="1" applyFont="1" applyBorder="1"/>
    <xf numFmtId="174" fontId="3" fillId="0" borderId="8" xfId="0" applyNumberFormat="1" applyFont="1" applyBorder="1"/>
    <xf numFmtId="9" fontId="12" fillId="3" borderId="0" xfId="0" applyNumberFormat="1" applyFont="1" applyFill="1"/>
    <xf numFmtId="0" fontId="4" fillId="2" borderId="1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71" fontId="4" fillId="0" borderId="7" xfId="0" applyNumberFormat="1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171" fontId="3" fillId="0" borderId="8" xfId="0" applyNumberFormat="1" applyFont="1" applyBorder="1" applyAlignment="1">
      <alignment horizontal="left"/>
    </xf>
    <xf numFmtId="0" fontId="3" fillId="0" borderId="0" xfId="0" applyFont="1" applyFill="1" applyAlignment="1">
      <alignment horizontal="left"/>
    </xf>
    <xf numFmtId="0" fontId="25" fillId="0" borderId="0" xfId="0" applyFont="1" applyAlignment="1">
      <alignment horizontal="left"/>
    </xf>
    <xf numFmtId="0" fontId="26" fillId="0" borderId="0" xfId="0" applyFont="1"/>
    <xf numFmtId="0" fontId="27" fillId="0" borderId="0" xfId="0" applyFont="1"/>
    <xf numFmtId="43" fontId="4" fillId="0" borderId="0" xfId="0" applyNumberFormat="1" applyFont="1"/>
    <xf numFmtId="175" fontId="4" fillId="0" borderId="2" xfId="0" applyNumberFormat="1" applyFont="1" applyBorder="1"/>
    <xf numFmtId="0" fontId="12" fillId="3" borderId="0" xfId="0" applyFont="1" applyFill="1" applyAlignment="1">
      <alignment horizontal="right"/>
    </xf>
    <xf numFmtId="172" fontId="3" fillId="0" borderId="0" xfId="0" quotePrefix="1" applyNumberFormat="1" applyFont="1"/>
    <xf numFmtId="0" fontId="4" fillId="2" borderId="1" xfId="0" quotePrefix="1" applyFont="1" applyFill="1" applyBorder="1" applyAlignment="1">
      <alignment horizontal="right"/>
    </xf>
    <xf numFmtId="0" fontId="12" fillId="3" borderId="0" xfId="0" quotePrefix="1" applyFont="1" applyFill="1" applyAlignment="1">
      <alignment horizontal="right"/>
    </xf>
    <xf numFmtId="0" fontId="3" fillId="0" borderId="0" xfId="0" applyFont="1" applyAlignment="1">
      <alignment horizontal="right"/>
    </xf>
    <xf numFmtId="8" fontId="3" fillId="0" borderId="0" xfId="0" applyNumberFormat="1" applyFont="1" applyBorder="1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4" fillId="0" borderId="2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25" fillId="0" borderId="0" xfId="0" applyFont="1" applyAlignment="1">
      <alignment horizontal="right"/>
    </xf>
    <xf numFmtId="178" fontId="12" fillId="3" borderId="0" xfId="4" applyNumberFormat="1" applyFont="1" applyFill="1" applyBorder="1" applyAlignment="1">
      <alignment horizontal="right" vertical="top"/>
    </xf>
    <xf numFmtId="177" fontId="28" fillId="3" borderId="0" xfId="0" applyNumberFormat="1" applyFont="1" applyFill="1" applyAlignment="1">
      <alignment horizontal="right"/>
    </xf>
    <xf numFmtId="177" fontId="6" fillId="0" borderId="0" xfId="0" applyNumberFormat="1" applyFont="1" applyFill="1" applyAlignment="1">
      <alignment horizontal="right"/>
    </xf>
    <xf numFmtId="177" fontId="6" fillId="0" borderId="7" xfId="0" applyNumberFormat="1" applyFont="1" applyFill="1" applyBorder="1" applyAlignment="1">
      <alignment horizontal="right"/>
    </xf>
    <xf numFmtId="171" fontId="3" fillId="0" borderId="7" xfId="0" applyNumberFormat="1" applyFont="1" applyBorder="1" applyAlignment="1">
      <alignment horizontal="right"/>
    </xf>
    <xf numFmtId="171" fontId="3" fillId="0" borderId="0" xfId="0" applyNumberFormat="1" applyFont="1" applyBorder="1" applyAlignment="1">
      <alignment horizontal="right"/>
    </xf>
    <xf numFmtId="176" fontId="6" fillId="0" borderId="0" xfId="0" applyNumberFormat="1" applyFont="1" applyFill="1" applyAlignment="1">
      <alignment horizontal="left"/>
    </xf>
  </cellXfs>
  <cellStyles count="6">
    <cellStyle name="Currency" xfId="4" builtinId="4"/>
    <cellStyle name="dms_1" xfId="3"/>
    <cellStyle name="Normal" xfId="0" builtinId="0"/>
    <cellStyle name="Percent" xfId="1" builtinId="5"/>
    <cellStyle name="TableLvl2" xfId="2"/>
    <cellStyle name="User_Input_Actual" xfId="5"/>
  </cellStyles>
  <dxfs count="0"/>
  <tableStyles count="0" defaultTableStyle="TableStyleMedium2" defaultPivotStyle="PivotStyleLight16"/>
  <colors>
    <mruColors>
      <color rgb="FF0000FF"/>
      <color rgb="FFFFFFCC"/>
      <color rgb="FF00FFFF"/>
      <color rgb="FFFF99FF"/>
      <color rgb="FFFF33CC"/>
      <color rgb="FFFF66CC"/>
      <color rgb="FFCCFFFF"/>
      <color rgb="FF00FF00"/>
      <color rgb="FFFFCCF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5</xdr:row>
      <xdr:rowOff>57150</xdr:rowOff>
    </xdr:from>
    <xdr:to>
      <xdr:col>8</xdr:col>
      <xdr:colOff>0</xdr:colOff>
      <xdr:row>8</xdr:row>
      <xdr:rowOff>38100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SpPr/>
      </xdr:nvSpPr>
      <xdr:spPr>
        <a:xfrm>
          <a:off x="85725" y="2095500"/>
          <a:ext cx="7267575" cy="4667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AU" sz="1000">
              <a:solidFill>
                <a:sysClr val="windowText" lastClr="000000"/>
              </a:solidFill>
            </a:rPr>
            <a:t>To ensure compliance with the Amended Bushfire Mitigation Regulations, we will incur</a:t>
          </a:r>
          <a:r>
            <a:rPr lang="en-AU" sz="1000" baseline="0">
              <a:solidFill>
                <a:sysClr val="windowText" lastClr="000000"/>
              </a:solidFill>
            </a:rPr>
            <a:t> </a:t>
          </a:r>
          <a:r>
            <a:rPr lang="en-AU" sz="1000">
              <a:solidFill>
                <a:sysClr val="windowText" lastClr="000000"/>
              </a:solidFill>
            </a:rPr>
            <a:t>ongoing operating expenditure associated with re-balancing works, compliance testing and technical support for Rapid Earth Fault Current Limiters (</a:t>
          </a:r>
          <a:r>
            <a:rPr lang="en-AU" sz="1000" b="1">
              <a:solidFill>
                <a:sysClr val="windowText" lastClr="000000"/>
              </a:solidFill>
            </a:rPr>
            <a:t>REFCL</a:t>
          </a:r>
          <a:r>
            <a:rPr lang="en-AU" sz="1000">
              <a:solidFill>
                <a:sysClr val="windowText" lastClr="000000"/>
              </a:solidFill>
            </a:rPr>
            <a:t>)  which is incremental</a:t>
          </a:r>
          <a:r>
            <a:rPr lang="en-AU" sz="1000" baseline="0">
              <a:solidFill>
                <a:sysClr val="windowText" lastClr="000000"/>
              </a:solidFill>
            </a:rPr>
            <a:t> to our base operating expenditure.</a:t>
          </a:r>
          <a:endParaRPr lang="en-AU" sz="10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CC"/>
  </sheetPr>
  <dimension ref="A1:T46"/>
  <sheetViews>
    <sheetView showGridLines="0"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O19" sqref="O19"/>
    </sheetView>
  </sheetViews>
  <sheetFormatPr defaultColWidth="9" defaultRowHeight="12.75" x14ac:dyDescent="0.2"/>
  <cols>
    <col min="1" max="1" width="2" style="1" customWidth="1"/>
    <col min="2" max="2" width="33.125" style="1" customWidth="1"/>
    <col min="3" max="3" width="10.5" style="1" customWidth="1"/>
    <col min="4" max="4" width="9" style="1"/>
    <col min="5" max="5" width="9.25" style="1" customWidth="1"/>
    <col min="6" max="6" width="8.5" style="1" customWidth="1"/>
    <col min="7" max="18" width="8.375" style="1" customWidth="1"/>
    <col min="19" max="16384" width="9" style="1"/>
  </cols>
  <sheetData>
    <row r="1" spans="1:18" ht="21" x14ac:dyDescent="0.35">
      <c r="A1" s="3" t="s">
        <v>2</v>
      </c>
    </row>
    <row r="2" spans="1:18" ht="18.75" x14ac:dyDescent="0.3">
      <c r="A2" s="7" t="str">
        <f ca="1">RIGHT(CELL("filename",A1),LEN(CELL("filename",A1))-FIND("]",CELL("filename",A1),1))</f>
        <v>Assumptions</v>
      </c>
      <c r="L2" s="29"/>
      <c r="M2" s="29"/>
      <c r="N2" s="29"/>
      <c r="O2" s="29"/>
      <c r="P2" s="29"/>
      <c r="Q2" s="29"/>
      <c r="R2" s="29"/>
    </row>
    <row r="4" spans="1:18" x14ac:dyDescent="0.2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6" spans="1:18" x14ac:dyDescent="0.2">
      <c r="B6" s="49" t="s">
        <v>61</v>
      </c>
    </row>
    <row r="7" spans="1:18" x14ac:dyDescent="0.2">
      <c r="B7" s="50" t="s">
        <v>62</v>
      </c>
    </row>
    <row r="11" spans="1:18" x14ac:dyDescent="0.2">
      <c r="B11" s="1" t="s">
        <v>15</v>
      </c>
      <c r="D11" s="79" t="s">
        <v>17</v>
      </c>
    </row>
    <row r="12" spans="1:18" x14ac:dyDescent="0.2">
      <c r="B12" s="1" t="s">
        <v>60</v>
      </c>
      <c r="D12" s="79">
        <v>2019</v>
      </c>
    </row>
    <row r="15" spans="1:18" x14ac:dyDescent="0.2">
      <c r="A15" s="2" t="s">
        <v>0</v>
      </c>
      <c r="B15" s="2"/>
      <c r="C15" s="2"/>
      <c r="D15" s="2"/>
      <c r="E15" s="2"/>
      <c r="F15" s="2"/>
      <c r="G15" s="2">
        <v>2015</v>
      </c>
      <c r="H15" s="2">
        <f>G15+1</f>
        <v>2016</v>
      </c>
      <c r="I15" s="2">
        <f>H15+1</f>
        <v>2017</v>
      </c>
      <c r="J15" s="2">
        <f>I15+1</f>
        <v>2018</v>
      </c>
      <c r="K15" s="2">
        <v>2019</v>
      </c>
      <c r="L15" s="2">
        <v>2020</v>
      </c>
      <c r="M15" s="6" t="s">
        <v>17</v>
      </c>
    </row>
    <row r="18" spans="1:19" x14ac:dyDescent="0.2">
      <c r="B18" s="1" t="s">
        <v>57</v>
      </c>
      <c r="F18" s="12"/>
      <c r="G18" s="39">
        <v>1.5108593012275628E-2</v>
      </c>
      <c r="H18" s="39">
        <v>1.0232558139534831E-2</v>
      </c>
      <c r="I18" s="39">
        <v>1.9337016574585641E-2</v>
      </c>
      <c r="J18" s="39">
        <v>2.0776874435411097E-2</v>
      </c>
      <c r="K18" s="39">
        <v>1.5929203539823078E-2</v>
      </c>
      <c r="L18" s="39">
        <v>2.000000000000024E-2</v>
      </c>
      <c r="M18" s="39">
        <v>2.1998043050963867E-2</v>
      </c>
    </row>
    <row r="19" spans="1:19" s="11" customFormat="1" x14ac:dyDescent="0.2">
      <c r="B19" s="11" t="s">
        <v>58</v>
      </c>
      <c r="F19" s="12"/>
      <c r="G19" s="51">
        <v>1</v>
      </c>
      <c r="H19" s="40">
        <f t="shared" ref="H19:M19" si="0">G19*(1+H18)</f>
        <v>1.0102325581395348</v>
      </c>
      <c r="I19" s="40">
        <f t="shared" si="0"/>
        <v>1.029767441860465</v>
      </c>
      <c r="J19" s="40">
        <f>I19*(1+J18)</f>
        <v>1.0511627906976744</v>
      </c>
      <c r="K19" s="40">
        <f t="shared" si="0"/>
        <v>1.067906976744186</v>
      </c>
      <c r="L19" s="40">
        <f t="shared" si="0"/>
        <v>1.0892651162790701</v>
      </c>
      <c r="M19" s="40">
        <f t="shared" si="0"/>
        <v>1.1132268172008901</v>
      </c>
      <c r="N19" s="1"/>
      <c r="O19" s="1"/>
      <c r="P19" s="1"/>
      <c r="Q19" s="1"/>
      <c r="R19" s="1"/>
      <c r="S19" s="1"/>
    </row>
    <row r="20" spans="1:19" x14ac:dyDescent="0.2">
      <c r="B20" s="1" t="str">
        <f>"Convert from "&amp;D20&amp;" nominal to $ June 2021"</f>
        <v>Convert from 2018 nominal to $ June 2021</v>
      </c>
      <c r="D20" s="79">
        <v>2018</v>
      </c>
      <c r="E20" s="55" t="str">
        <f>"conv_"&amp;RIGHT(D20,2)&amp;"_"&amp;RIGHT(D$11,2)</f>
        <v>conv_18_21</v>
      </c>
      <c r="F20" s="54">
        <f>INDEX($G$19:$M$19, MATCH(Year_of_Currency,$G$15:$M$15,0))/INDEX($G$19:$M$19, MATCH($D20,$G$15:$M$15,0))</f>
        <v>1.0590432110539443</v>
      </c>
      <c r="G20" s="4"/>
    </row>
    <row r="21" spans="1:19" x14ac:dyDescent="0.2">
      <c r="B21" s="1" t="str">
        <f>"Convert from "&amp;D21&amp;" nominal to $ June 2021"</f>
        <v>Convert from 2019 nominal to $ June 2021</v>
      </c>
      <c r="D21" s="79">
        <v>2019</v>
      </c>
      <c r="E21" s="55" t="str">
        <f>"conv_"&amp;RIGHT(D21,2)&amp;"_"&amp;RIGHT(D$11,2)</f>
        <v>conv_19_21</v>
      </c>
      <c r="F21" s="54">
        <f>INDEX($G$19:$M$19, MATCH(Year_of_Currency,$G$15:$M$15,0))/INDEX($G$19:$M$19, MATCH($D21,$G$15:$M$15,0))</f>
        <v>1.0424380039119834</v>
      </c>
      <c r="G21" s="4"/>
    </row>
    <row r="22" spans="1:19" x14ac:dyDescent="0.2">
      <c r="B22" s="1" t="str">
        <f>"Convert from "&amp;D22&amp;" nominal to $ June 2021"</f>
        <v>Convert from 2020/21 nominal to $ June 2021</v>
      </c>
      <c r="D22" s="79" t="s">
        <v>17</v>
      </c>
      <c r="E22" s="55" t="str">
        <f>"conv_"&amp;RIGHT(D22,2)&amp;"_"&amp;RIGHT(D$11,2)</f>
        <v>conv_21_21</v>
      </c>
      <c r="F22" s="54">
        <f>INDEX($G$19:$M$19, MATCH(Year_of_Currency,$G$15:$M$15,0))/INDEX($G$19:$M$19, MATCH($D22,$G$15:$M$15,0))</f>
        <v>1</v>
      </c>
      <c r="G22" s="4"/>
      <c r="K22" s="8"/>
    </row>
    <row r="23" spans="1:19" x14ac:dyDescent="0.2">
      <c r="G23" s="4"/>
      <c r="K23" s="8"/>
    </row>
    <row r="24" spans="1:19" x14ac:dyDescent="0.2">
      <c r="G24" s="8"/>
    </row>
    <row r="25" spans="1:19" x14ac:dyDescent="0.2">
      <c r="A25" s="58" t="s">
        <v>4</v>
      </c>
      <c r="B25" s="58"/>
      <c r="C25" s="58"/>
      <c r="D25" s="58"/>
      <c r="E25" s="58"/>
      <c r="F25" s="58"/>
      <c r="G25" s="2"/>
      <c r="H25" s="2"/>
      <c r="I25" s="2"/>
      <c r="J25" s="2"/>
      <c r="K25" s="2"/>
      <c r="L25" s="6" t="s">
        <v>16</v>
      </c>
      <c r="M25" s="6" t="s">
        <v>17</v>
      </c>
      <c r="N25" s="6" t="s">
        <v>18</v>
      </c>
      <c r="O25" s="6" t="s">
        <v>19</v>
      </c>
      <c r="P25" s="6" t="s">
        <v>20</v>
      </c>
      <c r="Q25" s="6" t="s">
        <v>21</v>
      </c>
      <c r="R25" s="6" t="s">
        <v>22</v>
      </c>
    </row>
    <row r="27" spans="1:19" x14ac:dyDescent="0.2">
      <c r="B27" s="1" t="s">
        <v>5</v>
      </c>
      <c r="C27" s="1" t="s">
        <v>7</v>
      </c>
      <c r="F27" s="9">
        <f>SUM($M27:$R27)/SUM($M$27:$R$28)</f>
        <v>0.28237749813107138</v>
      </c>
      <c r="G27" s="8"/>
      <c r="H27" s="8"/>
      <c r="I27" s="8"/>
      <c r="J27" s="8"/>
      <c r="K27" s="8"/>
      <c r="L27" s="56">
        <v>350512.70286229136</v>
      </c>
      <c r="M27" s="56">
        <v>355701.55873403541</v>
      </c>
      <c r="N27" s="56">
        <v>360634.52102242614</v>
      </c>
      <c r="O27" s="56">
        <v>365318.63037611131</v>
      </c>
      <c r="P27" s="56">
        <v>369797.94428244897</v>
      </c>
      <c r="Q27" s="56">
        <v>374094.0310249622</v>
      </c>
      <c r="R27" s="56">
        <v>378214.70572001225</v>
      </c>
    </row>
    <row r="28" spans="1:19" x14ac:dyDescent="0.2">
      <c r="B28" s="1" t="s">
        <v>6</v>
      </c>
      <c r="C28" s="1" t="s">
        <v>7</v>
      </c>
      <c r="F28" s="9">
        <f>SUM($M28:$R28)/SUM($M$27:$R$28)</f>
        <v>0.71762250186892862</v>
      </c>
      <c r="G28" s="8"/>
      <c r="H28" s="8"/>
      <c r="I28" s="8"/>
      <c r="J28" s="8"/>
      <c r="K28" s="8"/>
      <c r="L28" s="50">
        <v>865113.62854829244</v>
      </c>
      <c r="M28" s="50">
        <v>884806.06181940215</v>
      </c>
      <c r="N28" s="50">
        <v>904405.12201858975</v>
      </c>
      <c r="O28" s="50">
        <v>923831.52824762848</v>
      </c>
      <c r="P28" s="50">
        <v>943230.91869478743</v>
      </c>
      <c r="Q28" s="50">
        <v>962544.3570306492</v>
      </c>
      <c r="R28" s="50">
        <v>981730.12070825358</v>
      </c>
    </row>
    <row r="29" spans="1:19" x14ac:dyDescent="0.2"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</row>
    <row r="30" spans="1:19" x14ac:dyDescent="0.2">
      <c r="A30" s="58" t="s">
        <v>9</v>
      </c>
      <c r="B30" s="58"/>
      <c r="C30" s="58"/>
      <c r="D30" s="58"/>
      <c r="E30" s="58"/>
      <c r="F30" s="58"/>
      <c r="G30" s="2"/>
      <c r="H30" s="2"/>
      <c r="I30" s="2"/>
      <c r="J30" s="2"/>
      <c r="K30" s="2"/>
      <c r="L30" s="6" t="s">
        <v>16</v>
      </c>
      <c r="M30" s="6" t="s">
        <v>17</v>
      </c>
      <c r="N30" s="6" t="s">
        <v>18</v>
      </c>
      <c r="O30" s="6" t="s">
        <v>19</v>
      </c>
      <c r="P30" s="6" t="s">
        <v>20</v>
      </c>
      <c r="Q30" s="6" t="s">
        <v>21</v>
      </c>
      <c r="R30" s="6" t="s">
        <v>22</v>
      </c>
    </row>
    <row r="31" spans="1:19" x14ac:dyDescent="0.2"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9" ht="12" customHeight="1" x14ac:dyDescent="0.2">
      <c r="A32" s="16"/>
      <c r="B32" s="46" t="s">
        <v>67</v>
      </c>
      <c r="C32" s="47"/>
      <c r="D32" s="47"/>
      <c r="E32" s="47"/>
      <c r="F32" s="47"/>
      <c r="G32" s="48"/>
      <c r="H32" s="48"/>
      <c r="I32" s="48"/>
      <c r="J32" s="48"/>
      <c r="K32" s="48"/>
      <c r="L32" s="53">
        <v>0.5</v>
      </c>
      <c r="M32" s="53">
        <v>1</v>
      </c>
      <c r="N32" s="53">
        <v>1</v>
      </c>
      <c r="O32" s="53">
        <v>1</v>
      </c>
      <c r="P32" s="53">
        <v>1</v>
      </c>
      <c r="Q32" s="53">
        <v>1</v>
      </c>
      <c r="R32" s="53">
        <v>1</v>
      </c>
    </row>
    <row r="33" spans="1:20" ht="12" customHeight="1" x14ac:dyDescent="0.2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</row>
    <row r="34" spans="1:20" x14ac:dyDescent="0.2">
      <c r="B34" s="18" t="s">
        <v>66</v>
      </c>
      <c r="C34" s="18"/>
      <c r="D34" s="18"/>
      <c r="E34" s="18"/>
      <c r="F34" s="18"/>
      <c r="G34" s="20"/>
      <c r="H34" s="20"/>
      <c r="I34" s="20"/>
      <c r="J34" s="20"/>
      <c r="K34" s="20"/>
      <c r="L34" s="59">
        <v>1.43E-2</v>
      </c>
      <c r="M34" s="59">
        <v>1.38E-2</v>
      </c>
      <c r="N34" s="59">
        <v>2.0036529680365511E-2</v>
      </c>
      <c r="O34" s="59">
        <v>2.1723181818181558E-2</v>
      </c>
      <c r="P34" s="59">
        <v>2.1601809954751472E-2</v>
      </c>
      <c r="Q34" s="59">
        <v>1.9069819819819811E-2</v>
      </c>
      <c r="R34" s="59">
        <v>1.7140807174887973E-2</v>
      </c>
    </row>
    <row r="35" spans="1:20" x14ac:dyDescent="0.2">
      <c r="B35" s="18" t="s">
        <v>65</v>
      </c>
      <c r="C35" s="18"/>
      <c r="E35" s="57"/>
      <c r="F35" s="18"/>
      <c r="G35" s="19"/>
      <c r="H35" s="19"/>
      <c r="I35" s="19"/>
      <c r="J35" s="19"/>
      <c r="K35" s="42">
        <v>1</v>
      </c>
      <c r="L35" s="17">
        <f>K35*(1+L$34)^L$32</f>
        <v>1.0071246198956711</v>
      </c>
      <c r="M35" s="17">
        <f t="shared" ref="M35:R35" si="1">L35*(1+M$34)^M$32</f>
        <v>1.0210229396502315</v>
      </c>
      <c r="N35" s="17">
        <f t="shared" si="1"/>
        <v>1.0414806960848675</v>
      </c>
      <c r="O35" s="17">
        <f t="shared" si="1"/>
        <v>1.0641049706060453</v>
      </c>
      <c r="P35" s="17">
        <f t="shared" si="1"/>
        <v>1.0870915639529835</v>
      </c>
      <c r="Q35" s="17">
        <f t="shared" si="1"/>
        <v>1.107822204205213</v>
      </c>
      <c r="R35" s="17">
        <f t="shared" si="1"/>
        <v>1.126811170991554</v>
      </c>
    </row>
    <row r="36" spans="1:20" x14ac:dyDescent="0.2">
      <c r="G36" s="8"/>
      <c r="H36" s="8"/>
      <c r="I36" s="8"/>
      <c r="J36" s="8"/>
      <c r="K36" s="8"/>
      <c r="L36" s="13"/>
      <c r="M36" s="13"/>
      <c r="N36" s="13"/>
      <c r="O36" s="13"/>
      <c r="P36" s="13"/>
      <c r="Q36" s="13"/>
      <c r="R36" s="13"/>
    </row>
    <row r="37" spans="1:20" ht="12" customHeight="1" x14ac:dyDescent="0.2">
      <c r="A37" s="58" t="s">
        <v>56</v>
      </c>
      <c r="B37" s="58"/>
      <c r="C37" s="58"/>
      <c r="D37" s="58"/>
      <c r="E37" s="58"/>
      <c r="F37" s="58"/>
      <c r="G37" s="2"/>
      <c r="H37" s="2"/>
      <c r="I37" s="2"/>
      <c r="J37" s="2"/>
      <c r="K37" s="2"/>
      <c r="L37" s="6" t="s">
        <v>16</v>
      </c>
      <c r="M37" s="6" t="s">
        <v>17</v>
      </c>
      <c r="N37" s="6" t="s">
        <v>18</v>
      </c>
      <c r="O37" s="6" t="s">
        <v>19</v>
      </c>
      <c r="P37" s="6" t="s">
        <v>20</v>
      </c>
      <c r="Q37" s="6" t="s">
        <v>21</v>
      </c>
      <c r="R37" s="6" t="s">
        <v>22</v>
      </c>
    </row>
    <row r="38" spans="1:20" x14ac:dyDescent="0.2"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</row>
    <row r="39" spans="1:20" x14ac:dyDescent="0.2">
      <c r="B39" s="1" t="s">
        <v>11</v>
      </c>
      <c r="D39" s="15"/>
      <c r="G39" s="8"/>
      <c r="H39" s="8"/>
      <c r="I39" s="8"/>
      <c r="J39" s="8"/>
      <c r="K39" s="8"/>
      <c r="L39" s="52">
        <v>0.76601005303644099</v>
      </c>
      <c r="M39" s="52">
        <v>0.76601005303644099</v>
      </c>
      <c r="N39" s="52">
        <v>0.76601005303644099</v>
      </c>
      <c r="O39" s="52">
        <v>0.76601005303644099</v>
      </c>
      <c r="P39" s="52">
        <v>0.76601005303644099</v>
      </c>
      <c r="Q39" s="52">
        <v>0.76601005303644099</v>
      </c>
      <c r="R39" s="52">
        <v>0.76601005303644099</v>
      </c>
    </row>
    <row r="40" spans="1:20" x14ac:dyDescent="0.2">
      <c r="B40" s="1" t="s">
        <v>12</v>
      </c>
      <c r="D40" s="15"/>
      <c r="G40" s="8"/>
      <c r="H40" s="8"/>
      <c r="I40" s="8"/>
      <c r="J40" s="8"/>
      <c r="K40" s="8"/>
      <c r="L40" s="41">
        <f>1-L39</f>
        <v>0.23398994696355901</v>
      </c>
      <c r="M40" s="41">
        <f t="shared" ref="M40" si="2">1-M39</f>
        <v>0.23398994696355901</v>
      </c>
      <c r="N40" s="41">
        <f t="shared" ref="N40" si="3">1-N39</f>
        <v>0.23398994696355901</v>
      </c>
      <c r="O40" s="41">
        <f t="shared" ref="O40" si="4">1-O39</f>
        <v>0.23398994696355901</v>
      </c>
      <c r="P40" s="41">
        <f t="shared" ref="P40" si="5">1-P39</f>
        <v>0.23398994696355901</v>
      </c>
      <c r="Q40" s="41">
        <f t="shared" ref="Q40" si="6">1-Q39</f>
        <v>0.23398994696355901</v>
      </c>
      <c r="R40" s="41">
        <f t="shared" ref="R40" si="7">1-R39</f>
        <v>0.23398994696355901</v>
      </c>
    </row>
    <row r="41" spans="1:20" x14ac:dyDescent="0.2">
      <c r="D41" s="15"/>
      <c r="G41" s="8"/>
      <c r="H41" s="8"/>
      <c r="I41" s="8"/>
      <c r="J41" s="8"/>
      <c r="K41" s="8"/>
      <c r="L41" s="15"/>
      <c r="M41" s="15"/>
      <c r="N41" s="15"/>
      <c r="O41" s="15"/>
      <c r="P41" s="15"/>
      <c r="Q41" s="15"/>
      <c r="R41" s="15"/>
    </row>
    <row r="42" spans="1:20" ht="12" customHeight="1" x14ac:dyDescent="0.2">
      <c r="A42" s="58" t="s">
        <v>10</v>
      </c>
      <c r="B42" s="58"/>
      <c r="C42" s="58"/>
      <c r="D42" s="58"/>
      <c r="E42" s="58"/>
      <c r="F42" s="58"/>
      <c r="G42" s="2"/>
      <c r="H42" s="2"/>
      <c r="I42" s="2"/>
      <c r="J42" s="2"/>
      <c r="K42" s="2"/>
      <c r="L42" s="6" t="s">
        <v>16</v>
      </c>
      <c r="M42" s="6" t="s">
        <v>17</v>
      </c>
      <c r="N42" s="6" t="s">
        <v>18</v>
      </c>
      <c r="O42" s="6" t="s">
        <v>19</v>
      </c>
      <c r="P42" s="6" t="s">
        <v>20</v>
      </c>
      <c r="Q42" s="6" t="s">
        <v>21</v>
      </c>
      <c r="R42" s="6" t="s">
        <v>22</v>
      </c>
    </row>
    <row r="43" spans="1:20" ht="12" customHeight="1" x14ac:dyDescent="0.2">
      <c r="A43" s="16"/>
      <c r="B43" s="16"/>
      <c r="C43" s="16"/>
      <c r="D43" s="16"/>
      <c r="E43" s="16"/>
      <c r="F43" s="16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</row>
    <row r="44" spans="1:20" x14ac:dyDescent="0.2">
      <c r="B44" s="1" t="s">
        <v>76</v>
      </c>
      <c r="E44" s="57"/>
      <c r="G44" s="8"/>
      <c r="H44" s="8"/>
      <c r="I44" s="14"/>
      <c r="J44" s="14"/>
      <c r="K44" s="17"/>
      <c r="L44" s="17">
        <f t="shared" ref="L44:R44" si="8">(1+L$34*L39)^L$32</f>
        <v>1.005462054857577</v>
      </c>
      <c r="M44" s="17">
        <f t="shared" si="8"/>
        <v>1.0105709387319028</v>
      </c>
      <c r="N44" s="17">
        <f t="shared" si="8"/>
        <v>1.015348183163123</v>
      </c>
      <c r="O44" s="17">
        <f t="shared" si="8"/>
        <v>1.0166401756566654</v>
      </c>
      <c r="P44" s="17">
        <f t="shared" si="8"/>
        <v>1.0165472035891223</v>
      </c>
      <c r="Q44" s="17">
        <f t="shared" si="8"/>
        <v>1.0146076736915755</v>
      </c>
      <c r="R44" s="17">
        <f t="shared" si="8"/>
        <v>1.0131300306131235</v>
      </c>
    </row>
    <row r="45" spans="1:20" x14ac:dyDescent="0.2">
      <c r="B45" s="1" t="s">
        <v>80</v>
      </c>
      <c r="E45" s="57"/>
      <c r="G45" s="8"/>
      <c r="H45" s="8"/>
      <c r="I45" s="13"/>
      <c r="J45" s="13"/>
      <c r="K45" s="42">
        <v>1</v>
      </c>
      <c r="L45" s="17">
        <f>K45*L44</f>
        <v>1.005462054857577</v>
      </c>
      <c r="M45" s="17">
        <f t="shared" ref="M45:R45" si="9">L45*M44</f>
        <v>1.0160907326367297</v>
      </c>
      <c r="N45" s="17">
        <f t="shared" si="9"/>
        <v>1.0316858793115902</v>
      </c>
      <c r="O45" s="17">
        <f t="shared" si="9"/>
        <v>1.0488533135658364</v>
      </c>
      <c r="P45" s="17">
        <f t="shared" si="9"/>
        <v>1.0662089028805359</v>
      </c>
      <c r="Q45" s="17">
        <f t="shared" si="9"/>
        <v>1.0817837346208674</v>
      </c>
      <c r="R45" s="17">
        <f t="shared" si="9"/>
        <v>1.0959875881732184</v>
      </c>
    </row>
    <row r="46" spans="1:20" x14ac:dyDescent="0.2">
      <c r="G46" s="8"/>
      <c r="H46" s="8"/>
      <c r="I46" s="13"/>
      <c r="J46" s="13"/>
      <c r="K46" s="8"/>
      <c r="L46" s="17"/>
      <c r="M46" s="17"/>
      <c r="N46" s="17"/>
      <c r="O46" s="17"/>
      <c r="P46" s="17"/>
      <c r="Q46" s="17"/>
      <c r="R46" s="1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theme="3"/>
  </sheetPr>
  <dimension ref="A1:AE94"/>
  <sheetViews>
    <sheetView showGridLines="0" tabSelected="1" zoomScale="80" zoomScaleNormal="80" workbookViewId="0">
      <pane ySplit="5" topLeftCell="A6" activePane="bottomLeft" state="frozen"/>
      <selection pane="bottomLeft" activeCell="B2" sqref="B2"/>
    </sheetView>
  </sheetViews>
  <sheetFormatPr defaultColWidth="9" defaultRowHeight="12.75" x14ac:dyDescent="0.2"/>
  <cols>
    <col min="1" max="1" width="2" style="1" customWidth="1"/>
    <col min="2" max="2" width="43.125" style="1" customWidth="1"/>
    <col min="3" max="3" width="17.25" style="1" customWidth="1"/>
    <col min="4" max="4" width="13.125" style="1" customWidth="1"/>
    <col min="5" max="5" width="1.875" style="1" customWidth="1"/>
    <col min="6" max="6" width="11.375" style="43" customWidth="1"/>
    <col min="7" max="7" width="3.625" customWidth="1"/>
    <col min="8" max="8" width="1.625" style="43" customWidth="1"/>
    <col min="9" max="9" width="5.875" style="1" customWidth="1"/>
    <col min="10" max="10" width="2.125" style="1" customWidth="1"/>
    <col min="11" max="17" width="9.875" style="1" customWidth="1"/>
    <col min="18" max="18" width="2.5" style="1" customWidth="1"/>
    <col min="19" max="19" width="9.25" style="1" customWidth="1"/>
    <col min="20" max="16384" width="9" style="1"/>
  </cols>
  <sheetData>
    <row r="1" spans="1:17" ht="21" x14ac:dyDescent="0.35">
      <c r="A1" s="3" t="s">
        <v>6</v>
      </c>
    </row>
    <row r="2" spans="1:17" ht="18.75" x14ac:dyDescent="0.3">
      <c r="A2" s="7" t="str">
        <f ca="1">RIGHT(CELL("filename",A1),LEN(CELL("filename",A1))-FIND("]",CELL("filename",A1),1))</f>
        <v>REFCL opex</v>
      </c>
      <c r="E2" s="35"/>
    </row>
    <row r="3" spans="1:17" x14ac:dyDescent="0.2">
      <c r="A3" s="75" t="s">
        <v>74</v>
      </c>
    </row>
    <row r="5" spans="1:17" x14ac:dyDescent="0.2">
      <c r="A5" s="2" t="s">
        <v>14</v>
      </c>
      <c r="B5" s="2"/>
      <c r="C5" s="2"/>
      <c r="D5" s="2"/>
      <c r="E5" s="2"/>
      <c r="F5" s="65"/>
      <c r="G5" s="65"/>
      <c r="H5" s="65"/>
      <c r="I5" s="2"/>
      <c r="J5" s="2"/>
      <c r="K5" s="6"/>
      <c r="L5" s="6"/>
      <c r="M5" s="6"/>
      <c r="N5" s="6"/>
      <c r="O5" s="6"/>
      <c r="P5" s="6"/>
      <c r="Q5" s="6"/>
    </row>
    <row r="6" spans="1:17" x14ac:dyDescent="0.2">
      <c r="B6" s="28"/>
      <c r="G6" s="43"/>
      <c r="M6" s="8"/>
      <c r="N6" s="8"/>
      <c r="O6" s="8"/>
      <c r="P6" s="8"/>
      <c r="Q6" s="8"/>
    </row>
    <row r="7" spans="1:17" x14ac:dyDescent="0.2">
      <c r="B7" s="28"/>
      <c r="G7" s="43"/>
      <c r="M7" s="8"/>
      <c r="N7" s="8"/>
      <c r="O7" s="8"/>
      <c r="P7" s="8"/>
      <c r="Q7" s="8"/>
    </row>
    <row r="8" spans="1:17" x14ac:dyDescent="0.2">
      <c r="B8" s="28"/>
      <c r="G8" s="43"/>
      <c r="M8" s="8"/>
      <c r="N8" s="8"/>
      <c r="O8" s="8"/>
      <c r="P8" s="8"/>
      <c r="Q8" s="8"/>
    </row>
    <row r="9" spans="1:17" x14ac:dyDescent="0.2">
      <c r="B9" s="37" t="s">
        <v>52</v>
      </c>
      <c r="G9" s="43"/>
      <c r="M9" s="8"/>
      <c r="N9" s="8"/>
      <c r="O9" s="8"/>
      <c r="P9" s="8"/>
      <c r="Q9" s="8"/>
    </row>
    <row r="10" spans="1:17" x14ac:dyDescent="0.2">
      <c r="B10" s="38" t="s">
        <v>54</v>
      </c>
      <c r="G10" s="43"/>
      <c r="M10" s="8"/>
      <c r="N10" s="8"/>
      <c r="O10" s="8"/>
      <c r="P10" s="8"/>
      <c r="Q10" s="8"/>
    </row>
    <row r="11" spans="1:17" x14ac:dyDescent="0.2">
      <c r="B11" s="38" t="s">
        <v>55</v>
      </c>
      <c r="G11" s="43"/>
      <c r="J11" s="8"/>
      <c r="L11" s="8"/>
      <c r="M11" s="8"/>
      <c r="N11" s="8"/>
      <c r="O11" s="8"/>
      <c r="P11" s="8"/>
      <c r="Q11" s="8"/>
    </row>
    <row r="12" spans="1:17" x14ac:dyDescent="0.2">
      <c r="B12" s="44" t="s">
        <v>75</v>
      </c>
      <c r="G12" s="43"/>
      <c r="J12" s="8"/>
      <c r="L12" s="8"/>
      <c r="M12" s="8"/>
      <c r="N12" s="8"/>
      <c r="O12" s="8"/>
      <c r="P12" s="8"/>
      <c r="Q12" s="8"/>
    </row>
    <row r="13" spans="1:17" x14ac:dyDescent="0.2">
      <c r="B13" s="5"/>
      <c r="G13" s="43"/>
    </row>
    <row r="14" spans="1:17" x14ac:dyDescent="0.2">
      <c r="A14" s="2" t="s">
        <v>23</v>
      </c>
      <c r="B14" s="2"/>
      <c r="C14" s="2"/>
      <c r="D14" s="2"/>
      <c r="E14" s="2"/>
      <c r="F14" s="65"/>
      <c r="G14" s="65"/>
      <c r="H14" s="65" t="s">
        <v>51</v>
      </c>
      <c r="I14" s="2"/>
      <c r="J14" s="2"/>
      <c r="K14" s="6">
        <v>2019</v>
      </c>
      <c r="L14" s="6" t="s">
        <v>17</v>
      </c>
      <c r="M14" s="6" t="s">
        <v>18</v>
      </c>
      <c r="N14" s="6" t="s">
        <v>19</v>
      </c>
      <c r="O14" s="6" t="s">
        <v>20</v>
      </c>
      <c r="P14" s="6" t="s">
        <v>21</v>
      </c>
      <c r="Q14" s="6" t="s">
        <v>22</v>
      </c>
    </row>
    <row r="15" spans="1:17" x14ac:dyDescent="0.2">
      <c r="B15" s="5"/>
      <c r="F15" s="69"/>
    </row>
    <row r="16" spans="1:17" x14ac:dyDescent="0.2">
      <c r="B16" s="1" t="s">
        <v>13</v>
      </c>
      <c r="D16" s="94">
        <v>2019</v>
      </c>
      <c r="M16" s="8"/>
      <c r="N16" s="8"/>
      <c r="O16" s="8"/>
      <c r="P16" s="8"/>
      <c r="Q16" s="8"/>
    </row>
    <row r="17" spans="2:19" x14ac:dyDescent="0.2">
      <c r="B17" s="5"/>
      <c r="F17" s="70"/>
    </row>
    <row r="18" spans="2:19" x14ac:dyDescent="0.2">
      <c r="B18" s="1" t="s">
        <v>45</v>
      </c>
      <c r="C18" s="27" t="s">
        <v>24</v>
      </c>
      <c r="D18" s="93">
        <v>15667.895399134433</v>
      </c>
      <c r="F18" s="99">
        <f>$D$16</f>
        <v>2019</v>
      </c>
      <c r="H18" s="84" t="s">
        <v>68</v>
      </c>
      <c r="I18" s="21"/>
    </row>
    <row r="19" spans="2:19" x14ac:dyDescent="0.2">
      <c r="B19" s="1" t="s">
        <v>46</v>
      </c>
      <c r="C19" s="27" t="s">
        <v>24</v>
      </c>
      <c r="D19" s="93">
        <v>30029.967675920852</v>
      </c>
      <c r="F19" s="99">
        <f>$D$16</f>
        <v>2019</v>
      </c>
      <c r="I19" s="21"/>
    </row>
    <row r="20" spans="2:19" x14ac:dyDescent="0.2">
      <c r="B20" s="1" t="s">
        <v>47</v>
      </c>
      <c r="C20" s="27" t="s">
        <v>25</v>
      </c>
      <c r="D20" s="93">
        <v>3133.1105907806464</v>
      </c>
      <c r="F20" s="99">
        <f>$D$16</f>
        <v>2019</v>
      </c>
      <c r="I20" s="21"/>
      <c r="J20" s="22"/>
      <c r="K20" s="22"/>
      <c r="L20" s="22"/>
      <c r="M20" s="22"/>
      <c r="N20" s="22"/>
      <c r="O20" s="22"/>
      <c r="P20" s="22"/>
    </row>
    <row r="21" spans="2:19" x14ac:dyDescent="0.2">
      <c r="B21" s="1" t="s">
        <v>48</v>
      </c>
      <c r="C21" s="27" t="s">
        <v>25</v>
      </c>
      <c r="D21" s="93">
        <v>9609.0707145819142</v>
      </c>
      <c r="F21" s="99">
        <f>$D$16</f>
        <v>2019</v>
      </c>
      <c r="I21" s="21"/>
      <c r="J21" s="22"/>
    </row>
    <row r="22" spans="2:19" x14ac:dyDescent="0.2">
      <c r="C22" s="27"/>
      <c r="D22" s="27"/>
      <c r="E22" s="27"/>
      <c r="I22" s="21"/>
      <c r="J22" s="22"/>
    </row>
    <row r="23" spans="2:19" x14ac:dyDescent="0.2">
      <c r="B23" s="85" t="s">
        <v>81</v>
      </c>
      <c r="C23" s="86" t="s">
        <v>79</v>
      </c>
      <c r="D23" s="86" t="s">
        <v>78</v>
      </c>
      <c r="E23" s="87"/>
      <c r="F23" s="86" t="s">
        <v>59</v>
      </c>
    </row>
    <row r="24" spans="2:19" x14ac:dyDescent="0.2">
      <c r="B24" s="1" t="s">
        <v>50</v>
      </c>
      <c r="C24" s="45">
        <v>4</v>
      </c>
      <c r="D24" s="45">
        <v>1</v>
      </c>
      <c r="F24" s="82">
        <v>2019</v>
      </c>
      <c r="I24" s="34"/>
      <c r="J24" s="34"/>
      <c r="K24" s="34"/>
      <c r="L24" s="34"/>
      <c r="M24" s="34"/>
      <c r="N24" s="34"/>
      <c r="O24" s="34"/>
      <c r="P24" s="34"/>
      <c r="Q24" s="34"/>
      <c r="S24" s="34"/>
    </row>
    <row r="25" spans="2:19" x14ac:dyDescent="0.2">
      <c r="B25" s="1" t="s">
        <v>49</v>
      </c>
      <c r="C25" s="45">
        <v>8</v>
      </c>
      <c r="D25" s="45">
        <v>2</v>
      </c>
      <c r="F25" s="79" t="s">
        <v>17</v>
      </c>
      <c r="I25" s="80"/>
      <c r="J25" s="34"/>
      <c r="K25" s="34"/>
      <c r="L25" s="34"/>
      <c r="M25" s="34"/>
      <c r="N25" s="34"/>
      <c r="O25" s="34"/>
      <c r="P25" s="34"/>
      <c r="Q25" s="34"/>
      <c r="S25" s="34"/>
    </row>
    <row r="26" spans="2:19" x14ac:dyDescent="0.2">
      <c r="B26" s="1" t="s">
        <v>26</v>
      </c>
      <c r="C26" s="45">
        <v>5</v>
      </c>
      <c r="D26" s="45">
        <v>1</v>
      </c>
      <c r="F26" s="82">
        <v>2019</v>
      </c>
      <c r="I26" s="34"/>
      <c r="J26" s="34"/>
      <c r="K26" s="34"/>
      <c r="L26" s="34"/>
      <c r="M26" s="34"/>
      <c r="N26" s="34"/>
      <c r="O26" s="34"/>
      <c r="P26" s="34"/>
      <c r="Q26" s="34"/>
      <c r="S26" s="34"/>
    </row>
    <row r="27" spans="2:19" x14ac:dyDescent="0.2">
      <c r="B27" s="1" t="s">
        <v>28</v>
      </c>
      <c r="C27" s="45">
        <v>5</v>
      </c>
      <c r="D27" s="45">
        <v>1</v>
      </c>
      <c r="F27" s="79" t="s">
        <v>17</v>
      </c>
      <c r="I27" s="80"/>
      <c r="J27" s="34"/>
      <c r="K27" s="34"/>
      <c r="L27" s="34"/>
      <c r="M27" s="34"/>
      <c r="N27" s="34"/>
      <c r="O27" s="34"/>
      <c r="P27" s="34"/>
      <c r="Q27" s="34"/>
      <c r="S27" s="34"/>
    </row>
    <row r="28" spans="2:19" x14ac:dyDescent="0.2">
      <c r="B28" s="1" t="s">
        <v>27</v>
      </c>
      <c r="C28" s="45">
        <v>7</v>
      </c>
      <c r="D28" s="45">
        <v>2</v>
      </c>
      <c r="F28" s="79" t="s">
        <v>18</v>
      </c>
      <c r="I28" s="80"/>
      <c r="J28" s="34"/>
      <c r="K28" s="34"/>
      <c r="L28" s="34"/>
      <c r="M28" s="34"/>
      <c r="N28" s="34"/>
      <c r="O28" s="34"/>
      <c r="P28" s="34"/>
      <c r="Q28" s="34"/>
      <c r="S28" s="34"/>
    </row>
    <row r="29" spans="2:19" x14ac:dyDescent="0.2">
      <c r="B29" s="1" t="s">
        <v>29</v>
      </c>
      <c r="C29" s="45">
        <v>6</v>
      </c>
      <c r="D29" s="45">
        <v>1</v>
      </c>
      <c r="F29" s="79" t="s">
        <v>17</v>
      </c>
      <c r="I29" s="34"/>
      <c r="J29" s="34"/>
      <c r="K29" s="34"/>
      <c r="L29" s="34"/>
      <c r="M29" s="34"/>
      <c r="N29" s="34"/>
      <c r="O29" s="34"/>
      <c r="P29" s="34"/>
      <c r="Q29" s="34"/>
      <c r="S29" s="34"/>
    </row>
    <row r="30" spans="2:19" x14ac:dyDescent="0.2">
      <c r="B30" s="1" t="s">
        <v>30</v>
      </c>
      <c r="C30" s="45">
        <v>3</v>
      </c>
      <c r="D30" s="45">
        <v>1</v>
      </c>
      <c r="F30" s="79" t="s">
        <v>17</v>
      </c>
      <c r="I30" s="34"/>
      <c r="J30" s="34"/>
      <c r="K30" s="34"/>
      <c r="L30" s="34"/>
      <c r="M30" s="34"/>
      <c r="N30" s="34"/>
      <c r="O30" s="34"/>
      <c r="P30" s="34"/>
      <c r="Q30" s="34"/>
      <c r="S30" s="34"/>
    </row>
    <row r="31" spans="2:19" x14ac:dyDescent="0.2">
      <c r="B31" s="1" t="s">
        <v>30</v>
      </c>
      <c r="C31" s="45">
        <v>1</v>
      </c>
      <c r="D31" s="45">
        <v>1</v>
      </c>
      <c r="F31" s="79" t="s">
        <v>21</v>
      </c>
      <c r="I31" s="34"/>
      <c r="J31" s="34"/>
      <c r="K31" s="34"/>
      <c r="L31" s="34"/>
      <c r="M31" s="34"/>
      <c r="N31" s="34"/>
      <c r="O31" s="34"/>
      <c r="P31" s="34"/>
      <c r="Q31" s="34"/>
      <c r="S31" s="34"/>
    </row>
    <row r="32" spans="2:19" x14ac:dyDescent="0.2">
      <c r="B32" s="1" t="s">
        <v>31</v>
      </c>
      <c r="C32" s="45">
        <v>8</v>
      </c>
      <c r="D32" s="45">
        <v>2</v>
      </c>
      <c r="F32" s="79" t="s">
        <v>17</v>
      </c>
      <c r="I32" s="34"/>
      <c r="J32" s="34"/>
      <c r="K32" s="34"/>
      <c r="L32" s="34"/>
      <c r="M32" s="34"/>
      <c r="N32" s="34"/>
      <c r="O32" s="34"/>
      <c r="P32" s="34"/>
      <c r="Q32" s="34"/>
      <c r="S32" s="34"/>
    </row>
    <row r="33" spans="2:19" x14ac:dyDescent="0.2">
      <c r="B33" s="1" t="s">
        <v>34</v>
      </c>
      <c r="C33" s="45">
        <v>8</v>
      </c>
      <c r="D33" s="45">
        <v>2</v>
      </c>
      <c r="F33" s="79" t="s">
        <v>18</v>
      </c>
      <c r="I33" s="34"/>
      <c r="J33" s="34"/>
      <c r="K33" s="34"/>
      <c r="L33" s="34"/>
      <c r="M33" s="34"/>
      <c r="N33" s="34"/>
      <c r="O33" s="34"/>
      <c r="P33" s="34"/>
      <c r="Q33" s="34"/>
      <c r="S33" s="34"/>
    </row>
    <row r="34" spans="2:19" x14ac:dyDescent="0.2">
      <c r="B34" s="1" t="s">
        <v>35</v>
      </c>
      <c r="C34" s="45">
        <v>7</v>
      </c>
      <c r="D34" s="45">
        <v>2</v>
      </c>
      <c r="F34" s="79" t="s">
        <v>18</v>
      </c>
      <c r="I34" s="34"/>
      <c r="J34" s="34"/>
      <c r="K34" s="34"/>
      <c r="L34" s="34"/>
      <c r="M34" s="34"/>
      <c r="N34" s="34"/>
      <c r="O34" s="34"/>
      <c r="P34" s="34"/>
      <c r="Q34" s="34"/>
      <c r="S34" s="34"/>
    </row>
    <row r="35" spans="2:19" x14ac:dyDescent="0.2">
      <c r="B35" s="1" t="s">
        <v>36</v>
      </c>
      <c r="C35" s="45">
        <v>6</v>
      </c>
      <c r="D35" s="45">
        <v>1</v>
      </c>
      <c r="F35" s="79" t="s">
        <v>18</v>
      </c>
      <c r="I35" s="34"/>
      <c r="J35" s="34"/>
      <c r="K35" s="34"/>
      <c r="L35" s="34"/>
      <c r="M35" s="34"/>
      <c r="N35" s="34"/>
      <c r="O35" s="34"/>
      <c r="P35" s="34"/>
      <c r="Q35" s="34"/>
      <c r="S35" s="34"/>
    </row>
    <row r="36" spans="2:19" x14ac:dyDescent="0.2">
      <c r="B36" s="11" t="s">
        <v>40</v>
      </c>
      <c r="C36" s="45">
        <v>5</v>
      </c>
      <c r="D36" s="45">
        <v>2</v>
      </c>
      <c r="F36" s="79" t="s">
        <v>18</v>
      </c>
      <c r="I36" s="34"/>
      <c r="J36" s="34"/>
      <c r="K36" s="34"/>
      <c r="L36" s="34"/>
      <c r="M36" s="34"/>
      <c r="N36" s="34"/>
      <c r="O36" s="34"/>
      <c r="P36" s="34"/>
      <c r="Q36" s="34"/>
      <c r="S36" s="34"/>
    </row>
    <row r="37" spans="2:19" x14ac:dyDescent="0.2">
      <c r="B37" s="11" t="s">
        <v>38</v>
      </c>
      <c r="C37" s="45">
        <v>4</v>
      </c>
      <c r="D37" s="45">
        <v>1</v>
      </c>
      <c r="F37" s="79" t="s">
        <v>18</v>
      </c>
      <c r="I37" s="34"/>
      <c r="J37" s="34"/>
      <c r="K37" s="34"/>
      <c r="L37" s="34"/>
      <c r="M37" s="34"/>
      <c r="N37" s="34"/>
      <c r="O37" s="34"/>
      <c r="P37" s="34"/>
      <c r="Q37" s="34"/>
      <c r="S37" s="34"/>
    </row>
    <row r="38" spans="2:19" x14ac:dyDescent="0.2">
      <c r="B38" s="11" t="s">
        <v>41</v>
      </c>
      <c r="C38" s="45">
        <v>6</v>
      </c>
      <c r="D38" s="45">
        <v>2</v>
      </c>
      <c r="F38" s="79" t="s">
        <v>19</v>
      </c>
      <c r="I38" s="34"/>
      <c r="J38" s="34"/>
      <c r="K38" s="34"/>
      <c r="L38" s="34"/>
      <c r="M38" s="34"/>
      <c r="N38" s="34"/>
      <c r="O38" s="34"/>
      <c r="P38" s="34"/>
      <c r="Q38" s="34"/>
      <c r="S38" s="34"/>
    </row>
    <row r="39" spans="2:19" x14ac:dyDescent="0.2">
      <c r="B39" s="11" t="s">
        <v>32</v>
      </c>
      <c r="C39" s="45">
        <v>12</v>
      </c>
      <c r="D39" s="45">
        <v>3</v>
      </c>
      <c r="F39" s="79" t="s">
        <v>18</v>
      </c>
      <c r="I39" s="34"/>
      <c r="J39" s="34"/>
      <c r="K39" s="34"/>
      <c r="L39" s="34"/>
      <c r="M39" s="34"/>
      <c r="N39" s="34"/>
      <c r="O39" s="34"/>
      <c r="P39" s="34"/>
      <c r="Q39" s="34"/>
      <c r="S39" s="34"/>
    </row>
    <row r="40" spans="2:19" x14ac:dyDescent="0.2">
      <c r="B40" s="33" t="s">
        <v>33</v>
      </c>
      <c r="C40" s="45">
        <v>9</v>
      </c>
      <c r="D40" s="45">
        <v>3</v>
      </c>
      <c r="F40" s="79" t="s">
        <v>18</v>
      </c>
      <c r="I40" s="34"/>
      <c r="J40" s="34"/>
      <c r="K40" s="34"/>
      <c r="L40" s="34"/>
      <c r="M40" s="34"/>
      <c r="N40" s="34"/>
      <c r="O40" s="34"/>
      <c r="P40" s="34"/>
      <c r="Q40" s="34"/>
      <c r="S40" s="34"/>
    </row>
    <row r="41" spans="2:19" x14ac:dyDescent="0.2">
      <c r="B41" s="11" t="s">
        <v>39</v>
      </c>
      <c r="C41" s="45">
        <v>5</v>
      </c>
      <c r="D41" s="45">
        <v>1</v>
      </c>
      <c r="F41" s="79" t="s">
        <v>20</v>
      </c>
      <c r="I41" s="34"/>
      <c r="J41" s="34"/>
      <c r="K41" s="34"/>
      <c r="L41" s="34"/>
      <c r="M41" s="34"/>
      <c r="N41" s="34"/>
      <c r="O41" s="34"/>
      <c r="P41" s="34"/>
      <c r="Q41" s="34"/>
      <c r="S41" s="34"/>
    </row>
    <row r="42" spans="2:19" x14ac:dyDescent="0.2">
      <c r="B42" s="11" t="s">
        <v>37</v>
      </c>
      <c r="C42" s="45">
        <v>4</v>
      </c>
      <c r="D42" s="45">
        <v>1</v>
      </c>
      <c r="F42" s="79" t="s">
        <v>20</v>
      </c>
      <c r="I42" s="34"/>
      <c r="J42" s="34"/>
      <c r="K42" s="34"/>
      <c r="L42" s="34"/>
      <c r="M42" s="34"/>
      <c r="N42" s="34"/>
      <c r="O42" s="34"/>
      <c r="P42" s="34"/>
      <c r="Q42" s="34"/>
      <c r="S42" s="34"/>
    </row>
    <row r="43" spans="2:19" x14ac:dyDescent="0.2">
      <c r="B43" s="11" t="s">
        <v>42</v>
      </c>
      <c r="C43" s="45">
        <v>6</v>
      </c>
      <c r="D43" s="45">
        <v>1</v>
      </c>
      <c r="F43" s="79" t="s">
        <v>20</v>
      </c>
      <c r="I43" s="34"/>
      <c r="J43" s="34"/>
      <c r="K43" s="34"/>
      <c r="L43" s="34"/>
      <c r="M43" s="34"/>
      <c r="N43" s="34"/>
      <c r="O43" s="34"/>
      <c r="P43" s="34"/>
      <c r="Q43" s="34"/>
      <c r="S43" s="34"/>
    </row>
    <row r="44" spans="2:19" x14ac:dyDescent="0.2">
      <c r="B44" s="11" t="s">
        <v>71</v>
      </c>
      <c r="C44" s="45">
        <v>10</v>
      </c>
      <c r="D44" s="45">
        <v>3</v>
      </c>
      <c r="F44" s="79" t="s">
        <v>20</v>
      </c>
      <c r="I44" s="34"/>
      <c r="J44" s="34"/>
      <c r="K44" s="34"/>
      <c r="L44" s="34"/>
      <c r="M44" s="34"/>
      <c r="N44" s="34"/>
      <c r="O44" s="34"/>
      <c r="P44" s="34"/>
      <c r="Q44" s="34"/>
      <c r="S44" s="34"/>
    </row>
    <row r="45" spans="2:19" x14ac:dyDescent="0.2">
      <c r="B45" s="11" t="s">
        <v>72</v>
      </c>
      <c r="C45" s="45">
        <v>4</v>
      </c>
      <c r="D45" s="45">
        <v>2</v>
      </c>
      <c r="F45" s="79" t="s">
        <v>20</v>
      </c>
      <c r="I45" s="34"/>
      <c r="J45" s="34"/>
      <c r="K45" s="34"/>
      <c r="L45" s="34"/>
      <c r="M45" s="34"/>
      <c r="N45" s="34"/>
      <c r="O45" s="34"/>
      <c r="P45" s="34"/>
      <c r="Q45" s="34"/>
      <c r="S45" s="34"/>
    </row>
    <row r="46" spans="2:19" x14ac:dyDescent="0.2">
      <c r="B46" s="11" t="s">
        <v>88</v>
      </c>
      <c r="C46" s="45">
        <v>5</v>
      </c>
      <c r="D46" s="45">
        <v>2</v>
      </c>
      <c r="F46" s="79" t="s">
        <v>20</v>
      </c>
      <c r="I46" s="34"/>
      <c r="J46" s="34"/>
      <c r="K46" s="34"/>
      <c r="L46" s="34"/>
      <c r="M46" s="34"/>
      <c r="N46" s="34"/>
      <c r="O46" s="34"/>
      <c r="P46" s="34"/>
      <c r="Q46" s="34"/>
      <c r="S46" s="34"/>
    </row>
    <row r="47" spans="2:19" x14ac:dyDescent="0.2">
      <c r="B47" s="11" t="s">
        <v>73</v>
      </c>
      <c r="C47" s="45">
        <v>4</v>
      </c>
      <c r="D47" s="45">
        <v>2</v>
      </c>
      <c r="F47" s="79" t="s">
        <v>21</v>
      </c>
      <c r="I47" s="34"/>
      <c r="J47" s="34"/>
      <c r="K47" s="34"/>
      <c r="L47" s="34"/>
      <c r="M47" s="34"/>
      <c r="N47" s="34"/>
      <c r="O47" s="34"/>
      <c r="P47" s="34"/>
      <c r="Q47" s="34"/>
      <c r="S47" s="34"/>
    </row>
    <row r="48" spans="2:19" x14ac:dyDescent="0.2">
      <c r="G48" s="1"/>
    </row>
    <row r="49" spans="1:17" x14ac:dyDescent="0.2">
      <c r="B49" s="85" t="s">
        <v>84</v>
      </c>
      <c r="C49" s="88"/>
      <c r="D49" s="88"/>
      <c r="E49" s="88"/>
      <c r="F49" s="89"/>
      <c r="G49" s="1"/>
    </row>
    <row r="50" spans="1:17" x14ac:dyDescent="0.2">
      <c r="B50" s="1" t="s">
        <v>27</v>
      </c>
      <c r="D50" s="45">
        <v>1</v>
      </c>
      <c r="F50" s="79" t="s">
        <v>19</v>
      </c>
      <c r="G50" s="1"/>
    </row>
    <row r="51" spans="1:17" x14ac:dyDescent="0.2">
      <c r="B51" s="1" t="s">
        <v>28</v>
      </c>
      <c r="D51" s="45">
        <v>1</v>
      </c>
      <c r="F51" s="79" t="s">
        <v>21</v>
      </c>
      <c r="G51" s="1"/>
    </row>
    <row r="52" spans="1:17" x14ac:dyDescent="0.2">
      <c r="B52" s="1" t="s">
        <v>50</v>
      </c>
      <c r="D52" s="45">
        <v>1</v>
      </c>
      <c r="F52" s="79" t="s">
        <v>20</v>
      </c>
      <c r="G52" s="1"/>
    </row>
    <row r="53" spans="1:17" x14ac:dyDescent="0.2">
      <c r="B53" s="1" t="s">
        <v>30</v>
      </c>
      <c r="D53" s="45">
        <v>1</v>
      </c>
      <c r="F53" s="79" t="s">
        <v>20</v>
      </c>
      <c r="G53" s="1"/>
    </row>
    <row r="54" spans="1:17" x14ac:dyDescent="0.2">
      <c r="B54" s="1" t="s">
        <v>31</v>
      </c>
      <c r="D54" s="45">
        <v>1</v>
      </c>
      <c r="F54" s="79" t="s">
        <v>21</v>
      </c>
      <c r="G54" s="1"/>
    </row>
    <row r="55" spans="1:17" x14ac:dyDescent="0.2">
      <c r="G55" s="1"/>
    </row>
    <row r="56" spans="1:17" x14ac:dyDescent="0.2">
      <c r="G56" s="1"/>
    </row>
    <row r="58" spans="1:17" x14ac:dyDescent="0.2">
      <c r="A58" s="2" t="s">
        <v>8</v>
      </c>
      <c r="B58" s="2"/>
      <c r="C58" s="2"/>
      <c r="D58" s="2"/>
      <c r="E58" s="2"/>
      <c r="F58" s="65"/>
      <c r="G58" s="2"/>
      <c r="H58" s="65"/>
      <c r="I58" s="2"/>
      <c r="J58" s="2"/>
      <c r="K58" s="81">
        <v>2019</v>
      </c>
      <c r="L58" s="6" t="s">
        <v>17</v>
      </c>
      <c r="M58" s="6" t="s">
        <v>18</v>
      </c>
      <c r="N58" s="6" t="s">
        <v>19</v>
      </c>
      <c r="O58" s="6" t="s">
        <v>20</v>
      </c>
      <c r="P58" s="6" t="s">
        <v>21</v>
      </c>
      <c r="Q58" s="6" t="s">
        <v>22</v>
      </c>
    </row>
    <row r="59" spans="1:17" x14ac:dyDescent="0.2">
      <c r="G59" s="1"/>
      <c r="J59" s="22"/>
    </row>
    <row r="60" spans="1:17" x14ac:dyDescent="0.2">
      <c r="B60" s="1" t="s">
        <v>85</v>
      </c>
      <c r="F60" s="83" t="s">
        <v>83</v>
      </c>
      <c r="G60" s="1"/>
      <c r="J60" s="22"/>
      <c r="K60" s="1">
        <f t="shared" ref="K60:Q60" si="0">SUMPRODUCT(($F$24:$F$54=K$58)*$C$24:$C$54)+J60</f>
        <v>9</v>
      </c>
      <c r="L60" s="1">
        <f t="shared" si="0"/>
        <v>39</v>
      </c>
      <c r="M60" s="1">
        <f t="shared" si="0"/>
        <v>97</v>
      </c>
      <c r="N60" s="1">
        <f t="shared" si="0"/>
        <v>103</v>
      </c>
      <c r="O60" s="1">
        <f t="shared" si="0"/>
        <v>137</v>
      </c>
      <c r="P60" s="1">
        <f t="shared" si="0"/>
        <v>142</v>
      </c>
      <c r="Q60" s="1">
        <f t="shared" si="0"/>
        <v>142</v>
      </c>
    </row>
    <row r="61" spans="1:17" x14ac:dyDescent="0.2">
      <c r="B61" s="1" t="s">
        <v>86</v>
      </c>
      <c r="F61" s="83" t="s">
        <v>83</v>
      </c>
      <c r="G61" s="1"/>
      <c r="J61" s="22"/>
      <c r="K61" s="1">
        <f t="shared" ref="K61:Q61" si="1">SUMPRODUCT(($F$24:$F$54=K$58)*$D$24:$D$54)+J61</f>
        <v>2</v>
      </c>
      <c r="L61" s="1">
        <f t="shared" si="1"/>
        <v>9</v>
      </c>
      <c r="M61" s="1">
        <f t="shared" si="1"/>
        <v>25</v>
      </c>
      <c r="N61" s="1">
        <f t="shared" si="1"/>
        <v>28</v>
      </c>
      <c r="O61" s="1">
        <f t="shared" si="1"/>
        <v>40</v>
      </c>
      <c r="P61" s="1">
        <f t="shared" si="1"/>
        <v>45</v>
      </c>
      <c r="Q61" s="1">
        <f t="shared" si="1"/>
        <v>45</v>
      </c>
    </row>
    <row r="62" spans="1:17" x14ac:dyDescent="0.2">
      <c r="B62" s="1" t="s">
        <v>82</v>
      </c>
      <c r="F62" s="83" t="s">
        <v>83</v>
      </c>
      <c r="G62" s="1"/>
      <c r="J62" s="22"/>
      <c r="K62" s="1">
        <f t="shared" ref="K62:Q62" si="2">COUNTIF($F$24:$F$47, "="&amp;K$58)+J62-IF(K$58=$F$31,1,0)</f>
        <v>2</v>
      </c>
      <c r="L62" s="1">
        <f t="shared" si="2"/>
        <v>7</v>
      </c>
      <c r="M62" s="1">
        <f t="shared" si="2"/>
        <v>15</v>
      </c>
      <c r="N62" s="1">
        <f t="shared" si="2"/>
        <v>16</v>
      </c>
      <c r="O62" s="1">
        <f t="shared" si="2"/>
        <v>22</v>
      </c>
      <c r="P62" s="1">
        <f t="shared" si="2"/>
        <v>23</v>
      </c>
      <c r="Q62" s="1">
        <f t="shared" si="2"/>
        <v>23</v>
      </c>
    </row>
    <row r="63" spans="1:17" x14ac:dyDescent="0.2">
      <c r="F63" s="83"/>
      <c r="G63" s="1"/>
      <c r="J63" s="22"/>
    </row>
    <row r="64" spans="1:17" x14ac:dyDescent="0.2">
      <c r="B64" s="32" t="s">
        <v>43</v>
      </c>
      <c r="C64" s="23"/>
      <c r="D64" s="23"/>
      <c r="E64" s="23"/>
      <c r="F64" s="95">
        <f>$D$16</f>
        <v>2019</v>
      </c>
      <c r="G64" s="23"/>
      <c r="H64" s="71"/>
      <c r="I64" s="23"/>
      <c r="J64" s="36"/>
      <c r="K64" s="36">
        <f t="shared" ref="K64:Q64" si="3">$D$18*K$62/1000</f>
        <v>31.335790798268867</v>
      </c>
      <c r="L64" s="36">
        <f t="shared" si="3"/>
        <v>109.67526779394103</v>
      </c>
      <c r="M64" s="36">
        <f t="shared" si="3"/>
        <v>235.0184309870165</v>
      </c>
      <c r="N64" s="36">
        <f t="shared" si="3"/>
        <v>250.68632638615094</v>
      </c>
      <c r="O64" s="36">
        <f t="shared" si="3"/>
        <v>344.69369878095756</v>
      </c>
      <c r="P64" s="36">
        <f t="shared" si="3"/>
        <v>360.36159418009197</v>
      </c>
      <c r="Q64" s="36">
        <f t="shared" si="3"/>
        <v>360.36159418009197</v>
      </c>
    </row>
    <row r="65" spans="1:31" x14ac:dyDescent="0.2">
      <c r="B65" s="1" t="s">
        <v>44</v>
      </c>
      <c r="D65" s="24"/>
      <c r="E65" s="24"/>
      <c r="F65" s="95">
        <f>$D$16</f>
        <v>2019</v>
      </c>
      <c r="G65" s="24"/>
      <c r="I65" s="23"/>
      <c r="J65" s="36"/>
      <c r="K65" s="36">
        <f t="shared" ref="K65:Q65" si="4">$D$19*K$62/1000+$D$20*K$60/1000</f>
        <v>88.257930668867516</v>
      </c>
      <c r="L65" s="36">
        <f t="shared" si="4"/>
        <v>332.40108677189119</v>
      </c>
      <c r="M65" s="36">
        <f t="shared" si="4"/>
        <v>754.36124244453549</v>
      </c>
      <c r="N65" s="36">
        <f t="shared" si="4"/>
        <v>803.18987366514011</v>
      </c>
      <c r="O65" s="36">
        <f t="shared" si="4"/>
        <v>1089.8954398072074</v>
      </c>
      <c r="P65" s="36">
        <f t="shared" si="4"/>
        <v>1135.5909604370313</v>
      </c>
      <c r="Q65" s="36">
        <f t="shared" si="4"/>
        <v>1135.5909604370313</v>
      </c>
    </row>
    <row r="66" spans="1:31" x14ac:dyDescent="0.2">
      <c r="B66" s="1" t="s">
        <v>77</v>
      </c>
      <c r="E66" s="25"/>
      <c r="F66" s="95">
        <f>$D$16</f>
        <v>2019</v>
      </c>
      <c r="G66" s="25"/>
      <c r="H66" s="73"/>
      <c r="I66" s="23"/>
      <c r="J66" s="36"/>
      <c r="K66" s="36">
        <f t="shared" ref="K66:Q66" si="5">K61*$D$21/1000</f>
        <v>19.218141429163829</v>
      </c>
      <c r="L66" s="36">
        <f t="shared" si="5"/>
        <v>86.481636431237234</v>
      </c>
      <c r="M66" s="36">
        <f t="shared" si="5"/>
        <v>240.22676786454784</v>
      </c>
      <c r="N66" s="36">
        <f t="shared" si="5"/>
        <v>269.05398000829359</v>
      </c>
      <c r="O66" s="36">
        <f t="shared" si="5"/>
        <v>384.36282858327661</v>
      </c>
      <c r="P66" s="36">
        <f t="shared" si="5"/>
        <v>432.40818215618617</v>
      </c>
      <c r="Q66" s="36">
        <f t="shared" si="5"/>
        <v>432.40818215618617</v>
      </c>
    </row>
    <row r="67" spans="1:31" x14ac:dyDescent="0.2">
      <c r="B67" s="5"/>
      <c r="C67" s="5"/>
      <c r="E67" s="25"/>
      <c r="F67" s="83"/>
      <c r="G67" s="25"/>
      <c r="H67" s="73"/>
      <c r="I67" s="23"/>
      <c r="J67" s="23"/>
      <c r="K67" s="23"/>
      <c r="L67" s="23"/>
      <c r="M67" s="22"/>
      <c r="N67" s="22"/>
      <c r="O67" s="22"/>
      <c r="P67" s="22"/>
      <c r="Q67" s="22"/>
    </row>
    <row r="68" spans="1:31" ht="13.5" thickBot="1" x14ac:dyDescent="0.25">
      <c r="B68" s="26" t="s">
        <v>3</v>
      </c>
      <c r="C68" s="26"/>
      <c r="D68" s="26"/>
      <c r="E68" s="26"/>
      <c r="F68" s="90"/>
      <c r="G68" s="26"/>
      <c r="H68" s="68"/>
      <c r="I68" s="26"/>
      <c r="J68" s="78"/>
      <c r="K68" s="78">
        <f t="shared" ref="K68:Q68" si="6">SUM(K64:K67)</f>
        <v>138.81186289630023</v>
      </c>
      <c r="L68" s="78">
        <f t="shared" si="6"/>
        <v>528.55799099706951</v>
      </c>
      <c r="M68" s="78">
        <f t="shared" si="6"/>
        <v>1229.6064412960998</v>
      </c>
      <c r="N68" s="78">
        <f t="shared" si="6"/>
        <v>1322.9301800595847</v>
      </c>
      <c r="O68" s="78">
        <f t="shared" si="6"/>
        <v>1818.9519671714415</v>
      </c>
      <c r="P68" s="78">
        <f t="shared" si="6"/>
        <v>1928.3607367733093</v>
      </c>
      <c r="Q68" s="78">
        <f t="shared" si="6"/>
        <v>1928.3607367733093</v>
      </c>
    </row>
    <row r="69" spans="1:31" ht="13.5" thickTop="1" x14ac:dyDescent="0.2">
      <c r="B69" s="5"/>
      <c r="C69" s="5"/>
      <c r="E69" s="25"/>
      <c r="F69" s="83"/>
      <c r="G69" s="25"/>
      <c r="H69" s="73"/>
      <c r="I69" s="23"/>
      <c r="J69" s="23"/>
      <c r="K69" s="23"/>
      <c r="L69" s="23"/>
      <c r="M69" s="22"/>
      <c r="N69" s="22"/>
      <c r="O69" s="22"/>
      <c r="P69" s="22"/>
      <c r="Q69" s="22"/>
    </row>
    <row r="70" spans="1:31" x14ac:dyDescent="0.2">
      <c r="B70" s="5"/>
      <c r="C70" s="5"/>
      <c r="E70" s="25"/>
      <c r="F70" s="83"/>
      <c r="G70" s="25"/>
      <c r="H70" s="73"/>
      <c r="I70" s="23"/>
      <c r="J70" s="23"/>
      <c r="K70" s="23"/>
      <c r="L70" s="23"/>
      <c r="M70" s="22"/>
      <c r="N70" s="22"/>
      <c r="O70" s="22"/>
      <c r="P70" s="22"/>
      <c r="Q70" s="22"/>
    </row>
    <row r="71" spans="1:31" x14ac:dyDescent="0.2">
      <c r="A71" s="2" t="s">
        <v>63</v>
      </c>
      <c r="B71" s="2"/>
      <c r="C71" s="2"/>
      <c r="D71" s="2"/>
      <c r="E71" s="2"/>
      <c r="F71" s="6"/>
      <c r="G71" s="2"/>
      <c r="H71" s="65"/>
      <c r="I71" s="2"/>
      <c r="J71" s="2"/>
      <c r="K71" s="6">
        <v>2019</v>
      </c>
      <c r="L71" s="6">
        <v>2020</v>
      </c>
      <c r="M71" s="6" t="s">
        <v>18</v>
      </c>
      <c r="N71" s="6" t="s">
        <v>19</v>
      </c>
      <c r="O71" s="6" t="s">
        <v>20</v>
      </c>
      <c r="P71" s="6" t="s">
        <v>21</v>
      </c>
      <c r="Q71" s="6" t="s">
        <v>22</v>
      </c>
      <c r="S71" s="6" t="s">
        <v>53</v>
      </c>
    </row>
    <row r="72" spans="1:31" s="11" customFormat="1" x14ac:dyDescent="0.2">
      <c r="A72" s="10"/>
      <c r="B72" s="10"/>
      <c r="C72" s="10"/>
      <c r="D72" s="10"/>
      <c r="E72" s="10"/>
      <c r="F72" s="91"/>
      <c r="G72" s="10"/>
      <c r="H72" s="66"/>
      <c r="I72" s="10"/>
      <c r="J72" s="10"/>
      <c r="K72" s="10"/>
      <c r="L72" s="10"/>
      <c r="M72" s="10"/>
      <c r="N72" s="10"/>
      <c r="O72" s="10"/>
      <c r="P72" s="10"/>
      <c r="Q72" s="10"/>
      <c r="R72" s="1"/>
      <c r="S72" s="63"/>
      <c r="T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 x14ac:dyDescent="0.2">
      <c r="B73" s="62" t="s">
        <v>64</v>
      </c>
      <c r="C73" s="62"/>
      <c r="D73" s="62"/>
      <c r="E73" s="62"/>
      <c r="F73" s="96">
        <f>$D$16</f>
        <v>2019</v>
      </c>
      <c r="G73" s="62"/>
      <c r="H73" s="72"/>
      <c r="I73" s="62"/>
      <c r="J73" s="62"/>
      <c r="K73" s="62"/>
      <c r="L73" s="63"/>
      <c r="M73" s="63">
        <f>(M68-$K$68)</f>
        <v>1090.7945783997995</v>
      </c>
      <c r="N73" s="63">
        <f>(N68-$K$68)</f>
        <v>1184.1183171632845</v>
      </c>
      <c r="O73" s="63">
        <f>(O68-$K$68)</f>
        <v>1680.1401042751413</v>
      </c>
      <c r="P73" s="63">
        <f>(P68-$K$68)</f>
        <v>1789.5488738770091</v>
      </c>
      <c r="Q73" s="63">
        <f>(Q68-$K$68)</f>
        <v>1789.5488738770091</v>
      </c>
      <c r="S73" s="63">
        <f>SUM(M73:Q73)</f>
        <v>7534.1507475922435</v>
      </c>
    </row>
    <row r="74" spans="1:31" x14ac:dyDescent="0.2">
      <c r="B74" s="60" t="str">
        <f ca="1">"Total: "&amp;$A$1&amp;" "&amp;$A$2</f>
        <v>Total: Powercor REFCL opex</v>
      </c>
      <c r="C74" s="60"/>
      <c r="D74" s="60"/>
      <c r="E74" s="60"/>
      <c r="F74" s="97" t="s">
        <v>87</v>
      </c>
      <c r="G74" s="60"/>
      <c r="H74" s="67"/>
      <c r="I74" s="60"/>
      <c r="J74" s="60"/>
      <c r="K74" s="61"/>
      <c r="L74" s="61"/>
      <c r="M74" s="61">
        <f>M73*INDEX(Assumptions!$F$20:$F$22,MATCH($D$16,Assumptions!$D$20:$D$22,0))</f>
        <v>1137.0857229851006</v>
      </c>
      <c r="N74" s="61">
        <f>N73*INDEX(Assumptions!$F$20:$F$22,MATCH($D$16,Assumptions!$D$20:$D$22,0))</f>
        <v>1234.3699349393112</v>
      </c>
      <c r="O74" s="61">
        <f>O73*INDEX(Assumptions!$F$20:$F$22,MATCH($D$16,Assumptions!$D$20:$D$22,0))</f>
        <v>1751.4418965930499</v>
      </c>
      <c r="P74" s="61">
        <f>P73*INDEX(Assumptions!$F$20:$F$22,MATCH($D$16,Assumptions!$D$20:$D$22,0))</f>
        <v>1865.4937559872872</v>
      </c>
      <c r="Q74" s="61">
        <f>Q73*INDEX(Assumptions!$F$20:$F$22,MATCH($D$16,Assumptions!$D$20:$D$22,0))</f>
        <v>1865.4937559872872</v>
      </c>
      <c r="S74" s="61">
        <f>SUM(M74:Q74)</f>
        <v>7853.8850664920355</v>
      </c>
    </row>
    <row r="75" spans="1:31" x14ac:dyDescent="0.2">
      <c r="F75" s="83"/>
      <c r="G75" s="1"/>
      <c r="S75" s="31"/>
    </row>
    <row r="76" spans="1:31" x14ac:dyDescent="0.2">
      <c r="F76" s="83"/>
      <c r="G76" s="1"/>
      <c r="S76" s="31"/>
    </row>
    <row r="77" spans="1:31" x14ac:dyDescent="0.2">
      <c r="A77" s="2" t="s">
        <v>70</v>
      </c>
      <c r="B77" s="2"/>
      <c r="C77" s="2"/>
      <c r="D77" s="2"/>
      <c r="E77" s="2"/>
      <c r="F77" s="6"/>
      <c r="G77" s="2"/>
      <c r="H77" s="65"/>
      <c r="I77" s="2"/>
      <c r="J77" s="2"/>
      <c r="K77" s="6">
        <v>2019</v>
      </c>
      <c r="L77" s="6">
        <v>2020</v>
      </c>
      <c r="M77" s="6" t="s">
        <v>18</v>
      </c>
      <c r="N77" s="6" t="s">
        <v>19</v>
      </c>
      <c r="O77" s="6" t="s">
        <v>20</v>
      </c>
      <c r="P77" s="6" t="s">
        <v>21</v>
      </c>
      <c r="Q77" s="6" t="s">
        <v>22</v>
      </c>
      <c r="S77" s="6" t="s">
        <v>53</v>
      </c>
    </row>
    <row r="78" spans="1:31" x14ac:dyDescent="0.2">
      <c r="F78" s="92"/>
      <c r="G78" s="1"/>
      <c r="J78" s="31"/>
      <c r="K78" s="31"/>
      <c r="L78" s="31"/>
      <c r="M78" s="31"/>
      <c r="N78" s="31"/>
      <c r="O78" s="31"/>
      <c r="P78" s="31"/>
      <c r="Q78" s="31"/>
      <c r="S78" s="31"/>
    </row>
    <row r="79" spans="1:31" x14ac:dyDescent="0.2">
      <c r="B79" s="1" t="str">
        <f ca="1">"Powercor "&amp;$A$2 &amp;" allocated cost"</f>
        <v>Powercor REFCL opex allocated cost</v>
      </c>
      <c r="C79" s="64">
        <v>1</v>
      </c>
      <c r="F79" s="98" t="s">
        <v>87</v>
      </c>
      <c r="G79" s="1"/>
      <c r="J79" s="31"/>
      <c r="K79" s="31"/>
      <c r="L79" s="31"/>
      <c r="M79" s="36">
        <f ca="1">M$74*IF(ISNUMBER($C79),$C79,INDIRECT($C79))</f>
        <v>1137.0857229851006</v>
      </c>
      <c r="N79" s="36">
        <f t="shared" ref="N79:Q79" ca="1" si="7">N$74*IF(ISNUMBER($C79),$C79,INDIRECT($C79))</f>
        <v>1234.3699349393112</v>
      </c>
      <c r="O79" s="36">
        <f t="shared" ca="1" si="7"/>
        <v>1751.4418965930499</v>
      </c>
      <c r="P79" s="36">
        <f t="shared" ca="1" si="7"/>
        <v>1865.4937559872872</v>
      </c>
      <c r="Q79" s="36">
        <f t="shared" ca="1" si="7"/>
        <v>1865.4937559872872</v>
      </c>
      <c r="S79" s="30">
        <f ca="1">SUM(M79:Q79)</f>
        <v>7853.8850664920355</v>
      </c>
    </row>
    <row r="80" spans="1:31" x14ac:dyDescent="0.2">
      <c r="F80" s="83"/>
      <c r="G80" s="1"/>
      <c r="J80" s="31"/>
      <c r="K80" s="31"/>
      <c r="L80" s="31"/>
      <c r="M80" s="31"/>
      <c r="N80" s="31"/>
      <c r="O80" s="31"/>
      <c r="P80" s="31"/>
      <c r="Q80" s="31"/>
      <c r="S80" s="77"/>
    </row>
    <row r="81" spans="2:19" x14ac:dyDescent="0.2">
      <c r="B81" s="5" t="s">
        <v>69</v>
      </c>
      <c r="F81" s="83"/>
      <c r="G81" s="1"/>
      <c r="J81" s="31"/>
      <c r="K81" s="31"/>
      <c r="L81" s="31"/>
      <c r="M81" s="31"/>
      <c r="N81" s="31"/>
      <c r="O81" s="31"/>
      <c r="P81" s="31"/>
      <c r="Q81" s="31"/>
      <c r="S81" s="77"/>
    </row>
    <row r="82" spans="2:19" x14ac:dyDescent="0.2">
      <c r="B82" s="1" t="str">
        <f ca="1">"Powercor "&amp;$A$2</f>
        <v>Powercor REFCL opex</v>
      </c>
      <c r="C82" s="76"/>
      <c r="F82" s="98" t="s">
        <v>87</v>
      </c>
      <c r="G82" s="1"/>
      <c r="J82" s="31"/>
      <c r="K82" s="31"/>
      <c r="L82" s="31"/>
      <c r="M82" s="36">
        <f ca="1">M79*Assumptions!N$45</f>
        <v>1173.1152839705387</v>
      </c>
      <c r="N82" s="36">
        <f ca="1">N79*Assumptions!O$45</f>
        <v>1294.6729964271424</v>
      </c>
      <c r="O82" s="36">
        <f ca="1">O79*Assumptions!P$45</f>
        <v>1867.4029430254809</v>
      </c>
      <c r="P82" s="36">
        <f ca="1">P79*Assumptions!Q$45</f>
        <v>2018.0608022638366</v>
      </c>
      <c r="Q82" s="36">
        <f ca="1">Q79*Assumptions!R$45</f>
        <v>2044.5580023767052</v>
      </c>
      <c r="S82" s="30">
        <f ca="1">SUM(M82:Q82)</f>
        <v>8397.8100280637045</v>
      </c>
    </row>
    <row r="83" spans="2:19" x14ac:dyDescent="0.2">
      <c r="F83" s="74"/>
      <c r="G83" s="1"/>
      <c r="J83" s="8"/>
      <c r="K83" s="8"/>
      <c r="L83" s="8"/>
      <c r="M83" s="8"/>
      <c r="N83" s="8"/>
      <c r="O83" s="8"/>
      <c r="P83" s="8"/>
      <c r="Q83" s="8"/>
    </row>
    <row r="84" spans="2:19" x14ac:dyDescent="0.2">
      <c r="G84" s="1"/>
    </row>
    <row r="85" spans="2:19" x14ac:dyDescent="0.2">
      <c r="G85" s="1"/>
    </row>
    <row r="86" spans="2:19" x14ac:dyDescent="0.2">
      <c r="G86" s="1"/>
    </row>
    <row r="87" spans="2:19" x14ac:dyDescent="0.2">
      <c r="G87" s="1"/>
    </row>
    <row r="88" spans="2:19" x14ac:dyDescent="0.2">
      <c r="F88" s="1"/>
      <c r="G88" s="1"/>
    </row>
    <row r="89" spans="2:19" x14ac:dyDescent="0.2">
      <c r="F89" s="1"/>
      <c r="G89" s="1"/>
    </row>
    <row r="90" spans="2:19" x14ac:dyDescent="0.2">
      <c r="F90" s="1"/>
      <c r="G90" s="1"/>
    </row>
    <row r="91" spans="2:19" x14ac:dyDescent="0.2">
      <c r="F91" s="1"/>
      <c r="G91" s="1"/>
    </row>
    <row r="92" spans="2:19" x14ac:dyDescent="0.2">
      <c r="F92" s="1"/>
      <c r="G92" s="1"/>
    </row>
    <row r="93" spans="2:19" x14ac:dyDescent="0.2">
      <c r="F93" s="1"/>
      <c r="G93" s="1"/>
    </row>
    <row r="94" spans="2:19" x14ac:dyDescent="0.2">
      <c r="F94" s="1"/>
      <c r="G94" s="1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Assumptions</vt:lpstr>
      <vt:lpstr>REFCL opex</vt:lpstr>
      <vt:lpstr>BaseYear</vt:lpstr>
      <vt:lpstr>conv_18_19</vt:lpstr>
      <vt:lpstr>conv_19_21</vt:lpstr>
      <vt:lpstr>conv_21_21</vt:lpstr>
      <vt:lpstr>PAL_cost_split</vt:lpstr>
      <vt:lpstr>PAL_cust_share</vt:lpstr>
      <vt:lpstr>Year_of_Currency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2019-12-31T00:08:38Z</dcterms:created>
  <dcterms:modified xsi:type="dcterms:W3CDTF">2020-05-15T04:04:16Z</dcterms:modified>
</cp:coreProperties>
</file>