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990" yWindow="-120" windowWidth="27930" windowHeight="16440" tabRatio="908"/>
  </bookViews>
  <sheets>
    <sheet name="Output" sheetId="6" r:id="rId1"/>
    <sheet name="Summary" sheetId="48" r:id="rId2"/>
    <sheet name="Assumptions" sheetId="3" r:id="rId3"/>
    <sheet name="5 minute settlement" sheetId="19" r:id="rId4"/>
    <sheet name="Security of critical infra." sheetId="20" r:id="rId5"/>
    <sheet name="Replacing EDO fuses" sheetId="37" r:id="rId6"/>
    <sheet name="Solar enablement" sheetId="28" r:id="rId7"/>
    <sheet name="REFCL opex" sheetId="21" r:id="rId8"/>
    <sheet name="HBRA reclassification" sheetId="23" r:id="rId9"/>
    <sheet name="IT cloud solutions" sheetId="35" r:id="rId10"/>
    <sheet name="EPA regulations change" sheetId="36" r:id="rId11"/>
    <sheet name="Increasing insurance premiums" sheetId="39" r:id="rId12"/>
    <sheet name="ESV levy" sheetId="45" r:id="rId13"/>
    <sheet name="Financial year RIN" sheetId="40" r:id="rId14"/>
    <sheet name="RIN" sheetId="25" r:id="rId15"/>
  </sheets>
  <externalReferences>
    <externalReference r:id="rId16"/>
    <externalReference r:id="rId17"/>
    <externalReference r:id="rId18"/>
    <externalReference r:id="rId19"/>
  </externalReferences>
  <definedNames>
    <definedName name="BaseYear">Assumptions!$D$12</definedName>
    <definedName name="conv_18_19">Assumptions!$F$20</definedName>
    <definedName name="conv_19_21">Assumptions!$F$21</definedName>
    <definedName name="conv_21_21">Assumptions!$F$22</definedName>
    <definedName name="CP_cost_split">Assumptions!$D$9</definedName>
    <definedName name="CP_cust_share">Assumptions!$F$27</definedName>
    <definedName name="days_per_year">365.25</definedName>
    <definedName name="PAL_cost_split">Assumptions!$D$10</definedName>
    <definedName name="PAL_count">Summary!$S$21</definedName>
    <definedName name="PAL_cust_share">Assumptions!$F$28</definedName>
    <definedName name="Year_of_Currency">Assumptions!$D$11</definedName>
  </definedNames>
  <calcPr calcId="162913" calcOnSave="0" concurrentCalc="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2" i="20" l="1"/>
  <c r="B48" i="20"/>
  <c r="Q45" i="19"/>
  <c r="P45" i="19"/>
  <c r="C20" i="19"/>
  <c r="P87" i="19"/>
  <c r="O45" i="19"/>
  <c r="O52" i="19"/>
  <c r="N45" i="19"/>
  <c r="M45" i="19"/>
  <c r="M52" i="19"/>
  <c r="L45" i="19"/>
  <c r="L87" i="19"/>
  <c r="K45" i="19"/>
  <c r="K87" i="19"/>
  <c r="Q44" i="19"/>
  <c r="C19" i="19"/>
  <c r="Q86" i="19"/>
  <c r="P44" i="19"/>
  <c r="P86" i="19"/>
  <c r="O44" i="19"/>
  <c r="O51" i="19"/>
  <c r="N44" i="19"/>
  <c r="N86" i="19"/>
  <c r="M44" i="19"/>
  <c r="M86" i="19"/>
  <c r="L44" i="19"/>
  <c r="L51" i="19"/>
  <c r="K44" i="19"/>
  <c r="K51" i="19"/>
  <c r="Q16" i="35"/>
  <c r="Q22" i="35"/>
  <c r="G22" i="35"/>
  <c r="H15" i="3"/>
  <c r="I15" i="3"/>
  <c r="J15" i="3"/>
  <c r="H19" i="3"/>
  <c r="I19" i="3"/>
  <c r="J19" i="3"/>
  <c r="K19" i="3"/>
  <c r="L19" i="3"/>
  <c r="M19" i="3"/>
  <c r="F22" i="3"/>
  <c r="Q23" i="35"/>
  <c r="P16" i="35"/>
  <c r="P22" i="35"/>
  <c r="P23" i="35"/>
  <c r="O16" i="35"/>
  <c r="O22" i="35"/>
  <c r="O23" i="35"/>
  <c r="N16" i="35"/>
  <c r="N22" i="35"/>
  <c r="N23" i="35"/>
  <c r="M16" i="35"/>
  <c r="M22" i="35"/>
  <c r="Q18" i="28"/>
  <c r="P18" i="28"/>
  <c r="P24" i="28"/>
  <c r="P30" i="28"/>
  <c r="O18" i="28"/>
  <c r="O24" i="28"/>
  <c r="O30" i="28"/>
  <c r="N18" i="28"/>
  <c r="N24" i="28"/>
  <c r="M18" i="28"/>
  <c r="D10" i="3"/>
  <c r="Q32" i="21"/>
  <c r="P32" i="21"/>
  <c r="O32" i="21"/>
  <c r="N32" i="21"/>
  <c r="M32" i="21"/>
  <c r="L32" i="21"/>
  <c r="K32" i="21"/>
  <c r="Q31" i="21"/>
  <c r="P31" i="21"/>
  <c r="O31" i="21"/>
  <c r="N31" i="21"/>
  <c r="M31" i="21"/>
  <c r="L31" i="21"/>
  <c r="K31" i="21"/>
  <c r="K45" i="21"/>
  <c r="L45" i="21"/>
  <c r="M45" i="21"/>
  <c r="N45" i="21"/>
  <c r="O45" i="21"/>
  <c r="P45" i="21"/>
  <c r="Q45" i="21"/>
  <c r="K46" i="21"/>
  <c r="L46" i="21"/>
  <c r="M46" i="21"/>
  <c r="N46" i="21"/>
  <c r="O46" i="21"/>
  <c r="P46" i="21"/>
  <c r="Q46" i="21"/>
  <c r="K47" i="21"/>
  <c r="L47" i="21"/>
  <c r="M47" i="21"/>
  <c r="N47" i="21"/>
  <c r="O47" i="21"/>
  <c r="P47" i="21"/>
  <c r="Q47" i="21"/>
  <c r="K48" i="21"/>
  <c r="L48" i="21"/>
  <c r="M48" i="21"/>
  <c r="N48" i="21"/>
  <c r="O48" i="21"/>
  <c r="P48" i="21"/>
  <c r="Q48" i="21"/>
  <c r="L17" i="39"/>
  <c r="M17" i="39"/>
  <c r="N17" i="39"/>
  <c r="O17" i="39"/>
  <c r="P17" i="39"/>
  <c r="Q17" i="39"/>
  <c r="F20" i="48"/>
  <c r="L58" i="19"/>
  <c r="M58" i="19"/>
  <c r="N58" i="19"/>
  <c r="O58" i="19"/>
  <c r="P58" i="19"/>
  <c r="Q58" i="19"/>
  <c r="K58" i="19"/>
  <c r="Q40" i="36"/>
  <c r="P40" i="36"/>
  <c r="O40" i="36"/>
  <c r="N40" i="36"/>
  <c r="M40" i="36"/>
  <c r="G42" i="36"/>
  <c r="M27" i="40"/>
  <c r="J18" i="39"/>
  <c r="L22" i="39"/>
  <c r="M38" i="23"/>
  <c r="D23" i="23"/>
  <c r="K24" i="21"/>
  <c r="M39" i="37"/>
  <c r="M38" i="37"/>
  <c r="D23" i="37"/>
  <c r="M30" i="37"/>
  <c r="D20" i="37"/>
  <c r="M31" i="37"/>
  <c r="M42" i="37"/>
  <c r="N42" i="37"/>
  <c r="O42" i="37"/>
  <c r="P42" i="37"/>
  <c r="Q42" i="37"/>
  <c r="M34" i="37"/>
  <c r="M40" i="37"/>
  <c r="M41" i="37"/>
  <c r="M43" i="37"/>
  <c r="M49" i="37"/>
  <c r="H16" i="48"/>
  <c r="H15" i="48"/>
  <c r="H14" i="48"/>
  <c r="H11" i="48"/>
  <c r="H10" i="48"/>
  <c r="H9" i="48"/>
  <c r="H8" i="48"/>
  <c r="H7" i="48"/>
  <c r="Q3" i="48"/>
  <c r="P3" i="48"/>
  <c r="O3" i="48"/>
  <c r="N3" i="48"/>
  <c r="M3" i="48"/>
  <c r="A2" i="48"/>
  <c r="M19" i="45"/>
  <c r="M28" i="45"/>
  <c r="G40" i="36"/>
  <c r="G45" i="36"/>
  <c r="G23" i="35"/>
  <c r="E22" i="3"/>
  <c r="E21" i="3"/>
  <c r="E20" i="3"/>
  <c r="B21" i="3"/>
  <c r="G51" i="23"/>
  <c r="G27" i="40"/>
  <c r="G28" i="40"/>
  <c r="G30" i="39"/>
  <c r="G31" i="39"/>
  <c r="G64" i="21"/>
  <c r="G63" i="21"/>
  <c r="G33" i="36"/>
  <c r="G32" i="36"/>
  <c r="G31" i="36"/>
  <c r="G30" i="36"/>
  <c r="G29" i="36"/>
  <c r="G28" i="36"/>
  <c r="G27" i="36"/>
  <c r="G26" i="36"/>
  <c r="G25" i="36"/>
  <c r="G24" i="36"/>
  <c r="G23" i="36"/>
  <c r="G20" i="36"/>
  <c r="G44" i="23"/>
  <c r="G43" i="23"/>
  <c r="G42" i="23"/>
  <c r="G39" i="23"/>
  <c r="G38" i="23"/>
  <c r="G35" i="23"/>
  <c r="G24" i="28"/>
  <c r="G18" i="28"/>
  <c r="G50" i="37"/>
  <c r="G43" i="37"/>
  <c r="G42" i="37"/>
  <c r="G41" i="37"/>
  <c r="G39" i="37"/>
  <c r="G38" i="37"/>
  <c r="G35" i="37"/>
  <c r="G34" i="37"/>
  <c r="G32" i="37"/>
  <c r="G31" i="37"/>
  <c r="G30" i="37"/>
  <c r="G25" i="37"/>
  <c r="G24" i="37"/>
  <c r="G23" i="37"/>
  <c r="G22" i="37"/>
  <c r="M22" i="39"/>
  <c r="N22" i="39"/>
  <c r="O22" i="39"/>
  <c r="P22" i="39"/>
  <c r="Q22" i="39"/>
  <c r="K27" i="45"/>
  <c r="A2" i="45"/>
  <c r="B40" i="45"/>
  <c r="N19" i="45"/>
  <c r="N39" i="37"/>
  <c r="O39" i="37"/>
  <c r="P39" i="37"/>
  <c r="Q39" i="37"/>
  <c r="N28" i="45"/>
  <c r="O19" i="45"/>
  <c r="O28" i="45"/>
  <c r="P19" i="45"/>
  <c r="P28" i="45"/>
  <c r="Q19" i="45"/>
  <c r="Q28" i="45"/>
  <c r="L89" i="19"/>
  <c r="L88" i="19"/>
  <c r="K89" i="19"/>
  <c r="K88" i="19"/>
  <c r="Q89" i="19"/>
  <c r="Q88" i="19"/>
  <c r="P89" i="19"/>
  <c r="P88" i="19"/>
  <c r="O89" i="19"/>
  <c r="O88" i="19"/>
  <c r="N89" i="19"/>
  <c r="N88" i="19"/>
  <c r="M89" i="19"/>
  <c r="M88" i="19"/>
  <c r="N87" i="19"/>
  <c r="M87" i="19"/>
  <c r="Q51" i="19"/>
  <c r="N52" i="19"/>
  <c r="B22" i="3"/>
  <c r="B20" i="3"/>
  <c r="N42" i="23"/>
  <c r="O42" i="23"/>
  <c r="P42" i="23"/>
  <c r="Q42" i="23"/>
  <c r="M42" i="23"/>
  <c r="Q38" i="23"/>
  <c r="P38" i="23"/>
  <c r="O38" i="23"/>
  <c r="N38" i="23"/>
  <c r="N39" i="23"/>
  <c r="O39" i="23"/>
  <c r="P39" i="23"/>
  <c r="Q39" i="23"/>
  <c r="M39" i="23"/>
  <c r="N30" i="37"/>
  <c r="O30" i="37"/>
  <c r="P30" i="37"/>
  <c r="Q30" i="37"/>
  <c r="L24" i="21"/>
  <c r="M24" i="21"/>
  <c r="N24" i="21"/>
  <c r="O24" i="21"/>
  <c r="P24" i="21"/>
  <c r="Q24" i="21"/>
  <c r="K25" i="21"/>
  <c r="L25" i="21"/>
  <c r="M25" i="21"/>
  <c r="N25" i="21"/>
  <c r="O25" i="21"/>
  <c r="P25" i="21"/>
  <c r="Q25" i="21"/>
  <c r="K26" i="21"/>
  <c r="L26" i="21"/>
  <c r="M26" i="21"/>
  <c r="N26" i="21"/>
  <c r="O26" i="21"/>
  <c r="P26" i="21"/>
  <c r="Q26" i="21"/>
  <c r="K27" i="21"/>
  <c r="L27" i="21"/>
  <c r="M27" i="21"/>
  <c r="N27" i="21"/>
  <c r="O27" i="21"/>
  <c r="P27" i="21"/>
  <c r="Q27" i="21"/>
  <c r="K28" i="21"/>
  <c r="L28" i="21"/>
  <c r="M28" i="21"/>
  <c r="N28" i="21"/>
  <c r="O28" i="21"/>
  <c r="P28" i="21"/>
  <c r="Q28" i="21"/>
  <c r="K29" i="21"/>
  <c r="L29" i="21"/>
  <c r="M29" i="21"/>
  <c r="N29" i="21"/>
  <c r="O29" i="21"/>
  <c r="P29" i="21"/>
  <c r="Q29" i="21"/>
  <c r="K30" i="21"/>
  <c r="L30" i="21"/>
  <c r="M30" i="21"/>
  <c r="N30" i="21"/>
  <c r="O30" i="21"/>
  <c r="P30" i="21"/>
  <c r="Q30" i="21"/>
  <c r="K33" i="21"/>
  <c r="L33" i="21"/>
  <c r="M33" i="21"/>
  <c r="N33" i="21"/>
  <c r="O33" i="21"/>
  <c r="P33" i="21"/>
  <c r="Q33" i="21"/>
  <c r="K34" i="21"/>
  <c r="L34" i="21"/>
  <c r="M34" i="21"/>
  <c r="N34" i="21"/>
  <c r="O34" i="21"/>
  <c r="P34" i="21"/>
  <c r="Q34" i="21"/>
  <c r="K35" i="21"/>
  <c r="L35" i="21"/>
  <c r="M35" i="21"/>
  <c r="N35" i="21"/>
  <c r="O35" i="21"/>
  <c r="P35" i="21"/>
  <c r="Q35" i="21"/>
  <c r="K36" i="21"/>
  <c r="L36" i="21"/>
  <c r="M36" i="21"/>
  <c r="N36" i="21"/>
  <c r="O36" i="21"/>
  <c r="P36" i="21"/>
  <c r="Q36" i="21"/>
  <c r="K37" i="21"/>
  <c r="L37" i="21"/>
  <c r="M37" i="21"/>
  <c r="N37" i="21"/>
  <c r="O37" i="21"/>
  <c r="P37" i="21"/>
  <c r="Q37" i="21"/>
  <c r="K38" i="21"/>
  <c r="L38" i="21"/>
  <c r="M38" i="21"/>
  <c r="N38" i="21"/>
  <c r="O38" i="21"/>
  <c r="P38" i="21"/>
  <c r="Q38" i="21"/>
  <c r="K39" i="21"/>
  <c r="L39" i="21"/>
  <c r="M39" i="21"/>
  <c r="N39" i="21"/>
  <c r="O39" i="21"/>
  <c r="P39" i="21"/>
  <c r="Q39" i="21"/>
  <c r="K40" i="21"/>
  <c r="L40" i="21"/>
  <c r="M40" i="21"/>
  <c r="N40" i="21"/>
  <c r="O40" i="21"/>
  <c r="P40" i="21"/>
  <c r="Q40" i="21"/>
  <c r="K41" i="21"/>
  <c r="L41" i="21"/>
  <c r="M41" i="21"/>
  <c r="N41" i="21"/>
  <c r="O41" i="21"/>
  <c r="P41" i="21"/>
  <c r="Q41" i="21"/>
  <c r="K42" i="21"/>
  <c r="L42" i="21"/>
  <c r="M42" i="21"/>
  <c r="N42" i="21"/>
  <c r="O42" i="21"/>
  <c r="P42" i="21"/>
  <c r="Q42" i="21"/>
  <c r="K43" i="21"/>
  <c r="L43" i="21"/>
  <c r="M43" i="21"/>
  <c r="N43" i="21"/>
  <c r="O43" i="21"/>
  <c r="P43" i="21"/>
  <c r="Q43" i="21"/>
  <c r="K44" i="21"/>
  <c r="L44" i="21"/>
  <c r="M44" i="21"/>
  <c r="N44" i="21"/>
  <c r="O44" i="21"/>
  <c r="P44" i="21"/>
  <c r="Q44" i="21"/>
  <c r="A2" i="40"/>
  <c r="F12" i="48"/>
  <c r="A2" i="39"/>
  <c r="F13" i="48"/>
  <c r="H13" i="48"/>
  <c r="D30" i="23"/>
  <c r="N44" i="23"/>
  <c r="D29" i="23"/>
  <c r="O43" i="23"/>
  <c r="C32" i="19"/>
  <c r="C33" i="19"/>
  <c r="K51" i="21"/>
  <c r="G21" i="40"/>
  <c r="G20" i="40"/>
  <c r="Q38" i="37"/>
  <c r="P38" i="37"/>
  <c r="O38" i="37"/>
  <c r="N38" i="37"/>
  <c r="A2" i="37"/>
  <c r="A2" i="36"/>
  <c r="B53" i="36"/>
  <c r="A2" i="35"/>
  <c r="B32" i="35"/>
  <c r="G55" i="21"/>
  <c r="G54" i="21"/>
  <c r="G53" i="21"/>
  <c r="G21" i="21"/>
  <c r="G20" i="21"/>
  <c r="G19" i="21"/>
  <c r="G18" i="21"/>
  <c r="A2" i="21"/>
  <c r="F11" i="48"/>
  <c r="A2" i="28"/>
  <c r="B34" i="28"/>
  <c r="K94" i="25"/>
  <c r="J94" i="25"/>
  <c r="I94" i="25"/>
  <c r="H94" i="25"/>
  <c r="G94" i="25"/>
  <c r="F94" i="25"/>
  <c r="E94" i="25"/>
  <c r="D94" i="25"/>
  <c r="K77" i="25"/>
  <c r="J77" i="25"/>
  <c r="I77" i="25"/>
  <c r="H77" i="25"/>
  <c r="G77" i="25"/>
  <c r="F77" i="25"/>
  <c r="E77" i="25"/>
  <c r="K60" i="25"/>
  <c r="J60" i="25"/>
  <c r="I60" i="25"/>
  <c r="H60" i="25"/>
  <c r="G60" i="25"/>
  <c r="F60" i="25"/>
  <c r="E60" i="25"/>
  <c r="K44" i="25"/>
  <c r="J44" i="25"/>
  <c r="I44" i="25"/>
  <c r="H44" i="25"/>
  <c r="G44" i="25"/>
  <c r="F44" i="25"/>
  <c r="E44" i="25"/>
  <c r="F27" i="25"/>
  <c r="E27" i="25"/>
  <c r="A2" i="23"/>
  <c r="F14" i="48"/>
  <c r="A2" i="19"/>
  <c r="A2" i="6"/>
  <c r="A2" i="3"/>
  <c r="D83" i="25"/>
  <c r="Q41" i="36"/>
  <c r="Q42" i="36"/>
  <c r="M41" i="36"/>
  <c r="P41" i="36"/>
  <c r="P42" i="36"/>
  <c r="O41" i="36"/>
  <c r="O42" i="36"/>
  <c r="N41" i="36"/>
  <c r="N42" i="36"/>
  <c r="O23" i="39"/>
  <c r="O24" i="39"/>
  <c r="O30" i="39"/>
  <c r="L23" i="39"/>
  <c r="L24" i="39"/>
  <c r="P55" i="21"/>
  <c r="O54" i="21"/>
  <c r="N53" i="21"/>
  <c r="L55" i="21"/>
  <c r="K54" i="21"/>
  <c r="Q55" i="21"/>
  <c r="P54" i="21"/>
  <c r="O53" i="21"/>
  <c r="M55" i="21"/>
  <c r="L54" i="21"/>
  <c r="K53" i="21"/>
  <c r="Q54" i="21"/>
  <c r="P53" i="21"/>
  <c r="N55" i="21"/>
  <c r="M54" i="21"/>
  <c r="L53" i="21"/>
  <c r="Q53" i="21"/>
  <c r="O55" i="21"/>
  <c r="N54" i="21"/>
  <c r="M53" i="21"/>
  <c r="K55" i="21"/>
  <c r="O27" i="40"/>
  <c r="N27" i="40"/>
  <c r="N40" i="37"/>
  <c r="N41" i="37"/>
  <c r="O40" i="37"/>
  <c r="O41" i="37"/>
  <c r="P40" i="37"/>
  <c r="P41" i="37"/>
  <c r="Q40" i="37"/>
  <c r="Q41" i="37"/>
  <c r="P31" i="37"/>
  <c r="P32" i="37"/>
  <c r="O31" i="37"/>
  <c r="O32" i="37"/>
  <c r="N31" i="37"/>
  <c r="N32" i="37"/>
  <c r="Q31" i="37"/>
  <c r="Q32" i="37"/>
  <c r="M32" i="37"/>
  <c r="M35" i="37"/>
  <c r="N23" i="39"/>
  <c r="N24" i="39"/>
  <c r="N30" i="39"/>
  <c r="M23" i="39"/>
  <c r="M24" i="39"/>
  <c r="M30" i="39"/>
  <c r="Q23" i="39"/>
  <c r="Q24" i="39"/>
  <c r="Q30" i="39"/>
  <c r="N43" i="23"/>
  <c r="P23" i="39"/>
  <c r="P24" i="39"/>
  <c r="P30" i="39"/>
  <c r="P43" i="23"/>
  <c r="O44" i="23"/>
  <c r="M43" i="23"/>
  <c r="Q43" i="23"/>
  <c r="P44" i="23"/>
  <c r="N34" i="37"/>
  <c r="O34" i="37"/>
  <c r="P34" i="37"/>
  <c r="Q34" i="37"/>
  <c r="M44" i="23"/>
  <c r="Q44" i="23"/>
  <c r="C21" i="23"/>
  <c r="C23" i="23"/>
  <c r="K57" i="21"/>
  <c r="P57" i="21"/>
  <c r="M42" i="36"/>
  <c r="M57" i="21"/>
  <c r="O35" i="23"/>
  <c r="O50" i="23"/>
  <c r="M35" i="23"/>
  <c r="M50" i="23"/>
  <c r="O57" i="21"/>
  <c r="Q57" i="21"/>
  <c r="L57" i="21"/>
  <c r="S30" i="39"/>
  <c r="N57" i="21"/>
  <c r="Q27" i="40"/>
  <c r="P27" i="40"/>
  <c r="F20" i="3"/>
  <c r="F21" i="3"/>
  <c r="Q43" i="37"/>
  <c r="Q49" i="37"/>
  <c r="N35" i="23"/>
  <c r="N50" i="23"/>
  <c r="N43" i="37"/>
  <c r="N49" i="37"/>
  <c r="P43" i="37"/>
  <c r="P49" i="37"/>
  <c r="Q35" i="37"/>
  <c r="P35" i="37"/>
  <c r="N35" i="37"/>
  <c r="O35" i="37"/>
  <c r="O43" i="37"/>
  <c r="O49" i="37"/>
  <c r="Q35" i="23"/>
  <c r="Q50" i="23"/>
  <c r="P35" i="23"/>
  <c r="P50" i="23"/>
  <c r="P63" i="21"/>
  <c r="P64" i="21"/>
  <c r="Q63" i="21"/>
  <c r="Q64" i="21"/>
  <c r="M63" i="21"/>
  <c r="N63" i="21"/>
  <c r="N64" i="21"/>
  <c r="O63" i="21"/>
  <c r="O64" i="21"/>
  <c r="M29" i="45"/>
  <c r="M34" i="45"/>
  <c r="O29" i="45"/>
  <c r="O34" i="45"/>
  <c r="O40" i="45"/>
  <c r="P29" i="45"/>
  <c r="P34" i="45"/>
  <c r="P40" i="45"/>
  <c r="Q29" i="45"/>
  <c r="Q34" i="45"/>
  <c r="Q40" i="45"/>
  <c r="N29" i="45"/>
  <c r="N34" i="45"/>
  <c r="N40" i="45"/>
  <c r="Q45" i="36"/>
  <c r="Q50" i="36"/>
  <c r="N45" i="36"/>
  <c r="N50" i="36"/>
  <c r="P45" i="36"/>
  <c r="P50" i="36"/>
  <c r="M45" i="36"/>
  <c r="O45" i="36"/>
  <c r="O50" i="36"/>
  <c r="O51" i="23"/>
  <c r="M28" i="40"/>
  <c r="S27" i="40"/>
  <c r="S50" i="23"/>
  <c r="S49" i="37"/>
  <c r="Q51" i="23"/>
  <c r="M24" i="28"/>
  <c r="M30" i="28"/>
  <c r="Q24" i="28"/>
  <c r="Q30" i="28"/>
  <c r="O31" i="39"/>
  <c r="N50" i="37"/>
  <c r="M50" i="37"/>
  <c r="M55" i="37"/>
  <c r="P31" i="39"/>
  <c r="O50" i="37"/>
  <c r="M42" i="20"/>
  <c r="Q31" i="39"/>
  <c r="P50" i="37"/>
  <c r="N31" i="39"/>
  <c r="M31" i="39"/>
  <c r="Q50" i="37"/>
  <c r="P51" i="23"/>
  <c r="N51" i="23"/>
  <c r="M51" i="23"/>
  <c r="O28" i="40"/>
  <c r="P28" i="40"/>
  <c r="Q28" i="40"/>
  <c r="N28" i="40"/>
  <c r="S63" i="21"/>
  <c r="M64" i="21"/>
  <c r="M69" i="21"/>
  <c r="M50" i="36"/>
  <c r="S45" i="36"/>
  <c r="S50" i="37"/>
  <c r="O42" i="20"/>
  <c r="M40" i="45"/>
  <c r="S40" i="45"/>
  <c r="S34" i="45"/>
  <c r="S31" i="39"/>
  <c r="S51" i="23"/>
  <c r="N56" i="23"/>
  <c r="P36" i="39"/>
  <c r="Q56" i="23"/>
  <c r="O36" i="39"/>
  <c r="N36" i="39"/>
  <c r="P56" i="23"/>
  <c r="M36" i="39"/>
  <c r="Q36" i="39"/>
  <c r="M56" i="23"/>
  <c r="O56" i="23"/>
  <c r="N69" i="21"/>
  <c r="N55" i="37"/>
  <c r="Q55" i="37"/>
  <c r="Q69" i="21"/>
  <c r="P55" i="37"/>
  <c r="O69" i="21"/>
  <c r="P69" i="21"/>
  <c r="O55" i="37"/>
  <c r="N42" i="20"/>
  <c r="S28" i="40"/>
  <c r="S64" i="21"/>
  <c r="S50" i="36"/>
  <c r="P42" i="20"/>
  <c r="M67" i="19"/>
  <c r="Q42" i="20"/>
  <c r="N67" i="19"/>
  <c r="S42" i="20"/>
  <c r="O67" i="19"/>
  <c r="P67" i="19"/>
  <c r="Q67" i="19"/>
  <c r="S67" i="19"/>
  <c r="L39" i="3"/>
  <c r="L40" i="3"/>
  <c r="M34" i="3"/>
  <c r="L34" i="3"/>
  <c r="M39" i="3"/>
  <c r="M40" i="3"/>
  <c r="R28" i="3"/>
  <c r="N34" i="3"/>
  <c r="L28" i="3"/>
  <c r="P28" i="3"/>
  <c r="N28" i="3"/>
  <c r="O28" i="3"/>
  <c r="M28" i="3"/>
  <c r="Q28" i="3"/>
  <c r="N39" i="3"/>
  <c r="N40" i="3"/>
  <c r="P34" i="3"/>
  <c r="O34" i="3"/>
  <c r="O39" i="3"/>
  <c r="O44" i="3"/>
  <c r="Q34" i="3"/>
  <c r="P39" i="3"/>
  <c r="P40" i="3"/>
  <c r="R34" i="3"/>
  <c r="Q39" i="3"/>
  <c r="Q40" i="3"/>
  <c r="R39" i="3"/>
  <c r="R40" i="3"/>
  <c r="M33" i="40"/>
  <c r="Q33" i="40"/>
  <c r="P33" i="40"/>
  <c r="P47" i="20"/>
  <c r="N33" i="40"/>
  <c r="O47" i="20"/>
  <c r="P48" i="20"/>
  <c r="M48" i="20"/>
  <c r="Q48" i="20"/>
  <c r="M17" i="48"/>
  <c r="O33" i="40"/>
  <c r="N34" i="40"/>
  <c r="P34" i="40"/>
  <c r="M47" i="20"/>
  <c r="N47" i="20"/>
  <c r="Q17" i="48"/>
  <c r="P17" i="48"/>
  <c r="N17" i="48"/>
  <c r="O48" i="20"/>
  <c r="N48" i="20"/>
  <c r="O17" i="48"/>
  <c r="O34" i="40"/>
  <c r="Q47" i="20"/>
  <c r="Q34" i="40"/>
  <c r="M34" i="40"/>
  <c r="Q57" i="19"/>
  <c r="N44" i="3"/>
  <c r="S16" i="35"/>
  <c r="O40" i="3"/>
  <c r="R44" i="3"/>
  <c r="B51" i="20"/>
  <c r="L44" i="3"/>
  <c r="L45" i="3"/>
  <c r="P51" i="19"/>
  <c r="O86" i="19"/>
  <c r="F27" i="3"/>
  <c r="L35" i="3"/>
  <c r="M35" i="3"/>
  <c r="N35" i="3"/>
  <c r="O35" i="3"/>
  <c r="P35" i="3"/>
  <c r="Q35" i="3"/>
  <c r="R35" i="3"/>
  <c r="B31" i="39"/>
  <c r="P52" i="19"/>
  <c r="L52" i="19"/>
  <c r="L53" i="19"/>
  <c r="L59" i="19"/>
  <c r="L86" i="19"/>
  <c r="M57" i="19"/>
  <c r="F16" i="48"/>
  <c r="Q52" i="19"/>
  <c r="Q53" i="19"/>
  <c r="Q59" i="19"/>
  <c r="M51" i="19"/>
  <c r="M53" i="19"/>
  <c r="M59" i="19"/>
  <c r="N57" i="19"/>
  <c r="Q87" i="19"/>
  <c r="K57" i="19"/>
  <c r="P57" i="19"/>
  <c r="O87" i="19"/>
  <c r="N51" i="19"/>
  <c r="N53" i="19"/>
  <c r="N59" i="19"/>
  <c r="N30" i="28"/>
  <c r="S24" i="28"/>
  <c r="S22" i="35"/>
  <c r="M23" i="35"/>
  <c r="S30" i="28"/>
  <c r="O53" i="19"/>
  <c r="O59" i="19"/>
  <c r="O57" i="19"/>
  <c r="U45" i="19"/>
  <c r="F28" i="3"/>
  <c r="K52" i="19"/>
  <c r="K53" i="19"/>
  <c r="K59" i="19"/>
  <c r="L57" i="19"/>
  <c r="U44" i="19"/>
  <c r="U3" i="19"/>
  <c r="Q44" i="3"/>
  <c r="P44" i="3"/>
  <c r="M44" i="3"/>
  <c r="K86" i="19"/>
  <c r="B47" i="20"/>
  <c r="B64" i="21"/>
  <c r="B37" i="40"/>
  <c r="B29" i="35"/>
  <c r="F15" i="48"/>
  <c r="B72" i="21"/>
  <c r="B34" i="40"/>
  <c r="B28" i="35"/>
  <c r="B36" i="39"/>
  <c r="B28" i="40"/>
  <c r="B69" i="21"/>
  <c r="B33" i="40"/>
  <c r="H12" i="48"/>
  <c r="B50" i="36"/>
  <c r="S56" i="23"/>
  <c r="B56" i="23"/>
  <c r="B30" i="28"/>
  <c r="F10" i="48"/>
  <c r="S36" i="39"/>
  <c r="B42" i="20"/>
  <c r="B51" i="23"/>
  <c r="B23" i="35"/>
  <c r="F8" i="48"/>
  <c r="B59" i="23"/>
  <c r="S17" i="48"/>
  <c r="S33" i="40"/>
  <c r="S34" i="40"/>
  <c r="S47" i="20"/>
  <c r="S48" i="20"/>
  <c r="S55" i="37"/>
  <c r="B71" i="19"/>
  <c r="B77" i="19"/>
  <c r="B76" i="19"/>
  <c r="B50" i="37"/>
  <c r="B58" i="37"/>
  <c r="F9" i="48"/>
  <c r="B55" i="37"/>
  <c r="S69" i="21"/>
  <c r="B80" i="19"/>
  <c r="F7" i="48"/>
  <c r="P29" i="35"/>
  <c r="N13" i="48"/>
  <c r="Q13" i="48"/>
  <c r="N28" i="35"/>
  <c r="O29" i="35"/>
  <c r="O28" i="35"/>
  <c r="O13" i="48"/>
  <c r="Q28" i="35"/>
  <c r="Q29" i="35"/>
  <c r="N29" i="35"/>
  <c r="M13" i="48"/>
  <c r="M29" i="35"/>
  <c r="P13" i="48"/>
  <c r="P28" i="35"/>
  <c r="M28" i="35"/>
  <c r="Q66" i="19"/>
  <c r="Q61" i="19"/>
  <c r="M66" i="19"/>
  <c r="M61" i="19"/>
  <c r="M45" i="3"/>
  <c r="N45" i="3"/>
  <c r="M32" i="35"/>
  <c r="N66" i="19"/>
  <c r="P53" i="19"/>
  <c r="P59" i="19"/>
  <c r="P61" i="19"/>
  <c r="L61" i="19"/>
  <c r="P66" i="19"/>
  <c r="N61" i="19"/>
  <c r="S28" i="35"/>
  <c r="S29" i="35"/>
  <c r="O45" i="3"/>
  <c r="N68" i="19"/>
  <c r="M68" i="19"/>
  <c r="K61" i="19"/>
  <c r="Q68" i="19"/>
  <c r="O61" i="19"/>
  <c r="O66" i="19"/>
  <c r="S23" i="35"/>
  <c r="O68" i="19"/>
  <c r="S13" i="48"/>
  <c r="M15" i="48"/>
  <c r="Q70" i="19"/>
  <c r="Q71" i="19"/>
  <c r="M72" i="21"/>
  <c r="M34" i="28"/>
  <c r="M59" i="23"/>
  <c r="N70" i="19"/>
  <c r="N71" i="19"/>
  <c r="M51" i="20"/>
  <c r="M37" i="40"/>
  <c r="P68" i="19"/>
  <c r="S68" i="19"/>
  <c r="M58" i="37"/>
  <c r="M53" i="36"/>
  <c r="S66" i="19"/>
  <c r="N53" i="36"/>
  <c r="P45" i="3"/>
  <c r="N59" i="23"/>
  <c r="N37" i="40"/>
  <c r="N58" i="37"/>
  <c r="N72" i="21"/>
  <c r="N51" i="20"/>
  <c r="O70" i="19"/>
  <c r="O71" i="19"/>
  <c r="N32" i="35"/>
  <c r="M70" i="19"/>
  <c r="M71" i="19"/>
  <c r="N34" i="28"/>
  <c r="Q77" i="19"/>
  <c r="N11" i="48"/>
  <c r="M11" i="48"/>
  <c r="N14" i="48"/>
  <c r="N12" i="48"/>
  <c r="M9" i="48"/>
  <c r="M10" i="48"/>
  <c r="N9" i="48"/>
  <c r="M8" i="48"/>
  <c r="N15" i="48"/>
  <c r="M14" i="48"/>
  <c r="N16" i="48"/>
  <c r="N10" i="48"/>
  <c r="N8" i="48"/>
  <c r="O76" i="19"/>
  <c r="M12" i="48"/>
  <c r="M16" i="48"/>
  <c r="M77" i="19"/>
  <c r="Q76" i="19"/>
  <c r="N77" i="19"/>
  <c r="M76" i="19"/>
  <c r="P70" i="19"/>
  <c r="P71" i="19"/>
  <c r="S70" i="19"/>
  <c r="S71" i="19"/>
  <c r="M80" i="19"/>
  <c r="O80" i="19"/>
  <c r="Q45" i="3"/>
  <c r="O53" i="36"/>
  <c r="O58" i="37"/>
  <c r="O72" i="21"/>
  <c r="O37" i="40"/>
  <c r="O51" i="20"/>
  <c r="O34" i="28"/>
  <c r="O59" i="23"/>
  <c r="O32" i="35"/>
  <c r="O7" i="48"/>
  <c r="O12" i="48"/>
  <c r="O10" i="48"/>
  <c r="M7" i="48"/>
  <c r="O15" i="48"/>
  <c r="O77" i="19"/>
  <c r="O8" i="48"/>
  <c r="O16" i="48"/>
  <c r="N76" i="19"/>
  <c r="O11" i="48"/>
  <c r="O14" i="48"/>
  <c r="O9" i="48"/>
  <c r="N80" i="19"/>
  <c r="M20" i="48"/>
  <c r="O20" i="48"/>
  <c r="R45" i="3"/>
  <c r="P53" i="36"/>
  <c r="P72" i="21"/>
  <c r="P34" i="28"/>
  <c r="P58" i="37"/>
  <c r="P51" i="20"/>
  <c r="P59" i="23"/>
  <c r="P37" i="40"/>
  <c r="P32" i="35"/>
  <c r="P77" i="19"/>
  <c r="P14" i="48"/>
  <c r="P16" i="48"/>
  <c r="P76" i="19"/>
  <c r="P9" i="48"/>
  <c r="P12" i="48"/>
  <c r="P8" i="48"/>
  <c r="P10" i="48"/>
  <c r="N7" i="48"/>
  <c r="P15" i="48"/>
  <c r="P11" i="48"/>
  <c r="N20" i="48"/>
  <c r="S76" i="19"/>
  <c r="P80" i="19"/>
  <c r="S77" i="19"/>
  <c r="Q53" i="36"/>
  <c r="S53" i="36"/>
  <c r="Q59" i="23"/>
  <c r="Q58" i="37"/>
  <c r="Q34" i="28"/>
  <c r="Q72" i="21"/>
  <c r="Q51" i="20"/>
  <c r="S51" i="20"/>
  <c r="Q37" i="40"/>
  <c r="Q32" i="35"/>
  <c r="Q80" i="19"/>
  <c r="Q11" i="48"/>
  <c r="Q8" i="48"/>
  <c r="P7" i="48"/>
  <c r="Q15" i="48"/>
  <c r="Q14" i="48"/>
  <c r="Q7" i="48"/>
  <c r="Q9" i="48"/>
  <c r="Q10" i="48"/>
  <c r="Q12" i="48"/>
  <c r="Q16" i="48"/>
  <c r="P20" i="48"/>
  <c r="Q20" i="48"/>
  <c r="S7" i="48"/>
  <c r="S11" i="48"/>
  <c r="S15" i="48"/>
  <c r="S10" i="48"/>
  <c r="S12" i="48"/>
  <c r="S9" i="48"/>
  <c r="S16" i="48"/>
  <c r="S8" i="48"/>
  <c r="S14" i="48"/>
  <c r="S72" i="21"/>
  <c r="S32" i="35"/>
  <c r="S34" i="28"/>
  <c r="S37" i="40"/>
  <c r="S58" i="37"/>
  <c r="S59" i="23"/>
  <c r="S80" i="19"/>
  <c r="C14" i="48"/>
  <c r="D14" i="48"/>
  <c r="C12" i="48"/>
  <c r="D12" i="48"/>
  <c r="C7" i="48"/>
  <c r="D7" i="48"/>
  <c r="S21" i="48"/>
  <c r="A8" i="6"/>
  <c r="S20" i="48"/>
  <c r="C13" i="48"/>
  <c r="D13" i="48"/>
  <c r="C17" i="48"/>
  <c r="D17" i="48"/>
  <c r="C9" i="48"/>
  <c r="D9" i="48"/>
  <c r="C11" i="48"/>
  <c r="D11" i="48"/>
  <c r="C16" i="48"/>
  <c r="D16" i="48"/>
  <c r="C15" i="48"/>
  <c r="D15" i="48"/>
  <c r="C8" i="48"/>
  <c r="D8" i="48"/>
  <c r="C10" i="48"/>
  <c r="D10" i="48"/>
  <c r="Q8" i="6"/>
  <c r="K17" i="25"/>
  <c r="O8" i="6"/>
  <c r="I17" i="25"/>
  <c r="P8" i="6"/>
  <c r="J17" i="25"/>
  <c r="M8" i="6"/>
  <c r="G17" i="25"/>
  <c r="B8" i="6"/>
  <c r="A9" i="6"/>
  <c r="N8" i="6"/>
  <c r="H17" i="25"/>
  <c r="B7" i="6"/>
  <c r="P7" i="6"/>
  <c r="J16" i="25"/>
  <c r="M7" i="6"/>
  <c r="G16" i="25"/>
  <c r="O7" i="6"/>
  <c r="I16" i="25"/>
  <c r="N7" i="6"/>
  <c r="H16" i="25"/>
  <c r="Q7" i="6"/>
  <c r="K16" i="25"/>
  <c r="B16" i="25"/>
  <c r="B17" i="25"/>
  <c r="S8" i="6"/>
  <c r="S7" i="6"/>
  <c r="N9" i="6"/>
  <c r="H18" i="25"/>
  <c r="Q9" i="6"/>
  <c r="K18" i="25"/>
  <c r="P9" i="6"/>
  <c r="J18" i="25"/>
  <c r="B9" i="6"/>
  <c r="M9" i="6"/>
  <c r="G18" i="25"/>
  <c r="O9" i="6"/>
  <c r="I18" i="25"/>
  <c r="A10" i="6"/>
  <c r="B18" i="25"/>
  <c r="S9" i="6"/>
  <c r="B10" i="6"/>
  <c r="A11" i="6"/>
  <c r="Q10" i="6"/>
  <c r="K19" i="25"/>
  <c r="O10" i="6"/>
  <c r="I19" i="25"/>
  <c r="N10" i="6"/>
  <c r="H19" i="25"/>
  <c r="P10" i="6"/>
  <c r="J19" i="25"/>
  <c r="M10" i="6"/>
  <c r="G19" i="25"/>
  <c r="B19" i="25"/>
  <c r="S10" i="6"/>
  <c r="O11" i="6"/>
  <c r="I20" i="25"/>
  <c r="P11" i="6"/>
  <c r="J20" i="25"/>
  <c r="B11" i="6"/>
  <c r="N11" i="6"/>
  <c r="H20" i="25"/>
  <c r="Q11" i="6"/>
  <c r="K20" i="25"/>
  <c r="A12" i="6"/>
  <c r="M11" i="6"/>
  <c r="G20" i="25"/>
  <c r="B20" i="25"/>
  <c r="S11" i="6"/>
  <c r="N12" i="6"/>
  <c r="H21" i="25"/>
  <c r="P12" i="6"/>
  <c r="J21" i="25"/>
  <c r="B12" i="6"/>
  <c r="Q12" i="6"/>
  <c r="K21" i="25"/>
  <c r="M12" i="6"/>
  <c r="G21" i="25"/>
  <c r="A13" i="6"/>
  <c r="O12" i="6"/>
  <c r="I21" i="25"/>
  <c r="B21" i="25"/>
  <c r="A14" i="6"/>
  <c r="N13" i="6"/>
  <c r="H22" i="25"/>
  <c r="Q13" i="6"/>
  <c r="K22" i="25"/>
  <c r="O13" i="6"/>
  <c r="I22" i="25"/>
  <c r="B13" i="6"/>
  <c r="P13" i="6"/>
  <c r="J22" i="25"/>
  <c r="M13" i="6"/>
  <c r="G22" i="25"/>
  <c r="S12" i="6"/>
  <c r="B22" i="25"/>
  <c r="S13" i="6"/>
  <c r="N14" i="6"/>
  <c r="H23" i="25"/>
  <c r="A15" i="6"/>
  <c r="B14" i="6"/>
  <c r="B23" i="25"/>
  <c r="P14" i="6"/>
  <c r="J23" i="25"/>
  <c r="M14" i="6"/>
  <c r="G23" i="25"/>
  <c r="O14" i="6"/>
  <c r="I23" i="25"/>
  <c r="Q14" i="6"/>
  <c r="K23" i="25"/>
  <c r="M15" i="6"/>
  <c r="G24" i="25"/>
  <c r="B15" i="6"/>
  <c r="B24" i="25"/>
  <c r="N15" i="6"/>
  <c r="H24" i="25"/>
  <c r="A16" i="6"/>
  <c r="P15" i="6"/>
  <c r="J24" i="25"/>
  <c r="O15" i="6"/>
  <c r="I24" i="25"/>
  <c r="Q15" i="6"/>
  <c r="K24" i="25"/>
  <c r="S14" i="6"/>
  <c r="A17" i="6"/>
  <c r="B16" i="6"/>
  <c r="B25" i="25"/>
  <c r="N16" i="6"/>
  <c r="H25" i="25"/>
  <c r="M16" i="6"/>
  <c r="G25" i="25"/>
  <c r="O16" i="6"/>
  <c r="I25" i="25"/>
  <c r="Q16" i="6"/>
  <c r="K25" i="25"/>
  <c r="P16" i="6"/>
  <c r="J25" i="25"/>
  <c r="S15" i="6"/>
  <c r="M17" i="6"/>
  <c r="G26" i="25"/>
  <c r="N17" i="6"/>
  <c r="O17" i="6"/>
  <c r="P17" i="6"/>
  <c r="A18" i="6"/>
  <c r="B17" i="6"/>
  <c r="B26" i="25"/>
  <c r="Q17" i="6"/>
  <c r="S16" i="6"/>
  <c r="G27" i="25"/>
  <c r="Q20" i="6"/>
  <c r="K26" i="25"/>
  <c r="O20" i="6"/>
  <c r="I26" i="25"/>
  <c r="N20" i="6"/>
  <c r="H26" i="25"/>
  <c r="P20" i="6"/>
  <c r="J26" i="25"/>
  <c r="S17" i="6"/>
  <c r="O18" i="6"/>
  <c r="Q18" i="6"/>
  <c r="B18" i="6"/>
  <c r="M18" i="6"/>
  <c r="P18" i="6"/>
  <c r="N18" i="6"/>
  <c r="D2" i="6"/>
  <c r="M20" i="6"/>
  <c r="J27" i="25"/>
  <c r="H27" i="25"/>
  <c r="K27" i="25"/>
  <c r="I27" i="25"/>
  <c r="S20" i="6"/>
  <c r="S18" i="6"/>
</calcChain>
</file>

<file path=xl/sharedStrings.xml><?xml version="1.0" encoding="utf-8"?>
<sst xmlns="http://schemas.openxmlformats.org/spreadsheetml/2006/main" count="817" uniqueCount="283">
  <si>
    <t>HBRA zone reclassification</t>
  </si>
  <si>
    <t>Opex Step Changes</t>
  </si>
  <si>
    <t>Inflation</t>
  </si>
  <si>
    <t>General assumptions</t>
  </si>
  <si>
    <t>Business</t>
  </si>
  <si>
    <t>VPN</t>
  </si>
  <si>
    <t>Total</t>
  </si>
  <si>
    <t>Customer numbers</t>
  </si>
  <si>
    <t>CitiPower</t>
  </si>
  <si>
    <t>Powercor</t>
  </si>
  <si>
    <t>% share of VPN</t>
  </si>
  <si>
    <t>Calculations</t>
  </si>
  <si>
    <t>Labour Growth Escalation</t>
  </si>
  <si>
    <t>Weighted average price change</t>
  </si>
  <si>
    <t>Powercor Labour</t>
  </si>
  <si>
    <t>Powercor Non Labour</t>
  </si>
  <si>
    <t>Check</t>
  </si>
  <si>
    <t>Maintenance - Vegetation</t>
  </si>
  <si>
    <t>Maintenance - Distribution assets</t>
  </si>
  <si>
    <t>2.17 STEP CHANGES</t>
  </si>
  <si>
    <r>
      <t xml:space="preserve">There are </t>
    </r>
    <r>
      <rPr>
        <b/>
        <sz val="11"/>
        <color rgb="FFFF0000"/>
        <rFont val="Calibri"/>
        <family val="2"/>
        <scheme val="minor"/>
      </rPr>
      <t>FIVE</t>
    </r>
    <r>
      <rPr>
        <sz val="11"/>
        <rFont val="Calibri"/>
        <family val="2"/>
        <scheme val="minor"/>
      </rPr>
      <t xml:space="preserve"> tables on this worksheet. Each table has been 'grouped' (and 'sub-grouped') for easy navigation. See the </t>
    </r>
    <r>
      <rPr>
        <i/>
        <sz val="11"/>
        <rFont val="Calibri"/>
        <family val="2"/>
        <scheme val="minor"/>
      </rPr>
      <t>Instructions</t>
    </r>
    <r>
      <rPr>
        <sz val="11"/>
        <rFont val="Calibri"/>
        <family val="2"/>
        <scheme val="minor"/>
      </rPr>
      <t xml:space="preserve"> sheet on how to group or ungroup data.</t>
    </r>
  </si>
  <si>
    <t>Instructions</t>
  </si>
  <si>
    <t xml:space="preserve"> The total category specific forecast in Table 2.17.5 must reconcile (in each year) to the total category specific forecasts for each year in Table 2.16.1 and Table 2.16.3 of worksheet '2.16 Opex Summary'.</t>
  </si>
  <si>
    <t xml:space="preserve">2.17.1 - STEP CHANGES FOR STANDARD CONTROL SERVICES - FORECAST OPEX </t>
  </si>
  <si>
    <t>EXPENDITURE</t>
  </si>
  <si>
    <t>Step change</t>
  </si>
  <si>
    <t>Description</t>
  </si>
  <si>
    <t>2.17.2 -   STEP CHANGES FOR STANDARD CONTROL SERVICES - FORECAST CAPEX</t>
  </si>
  <si>
    <t>2.17.3 - STEP CHANGES FOR DUAL FUNCTION ASSETS - FORECAST OPEX</t>
  </si>
  <si>
    <t>2.17.4 - STEP CHANGES FOR DUAL FUNCTION ASSETS - FORECAST CAPEX</t>
  </si>
  <si>
    <t>2.17.5 - FORECAST CATEGORY SPECIFIC OPEX</t>
  </si>
  <si>
    <t>Category</t>
  </si>
  <si>
    <t>Year of currency for inputs</t>
  </si>
  <si>
    <t>PAL_cost_split</t>
  </si>
  <si>
    <t>CP_cost_split</t>
  </si>
  <si>
    <t>Number of spans within existing LBRA "Food Belt" boundary</t>
  </si>
  <si>
    <t>Less number of LBRA spans located within reasonable and larger populated regional centres</t>
  </si>
  <si>
    <t>Management costs</t>
  </si>
  <si>
    <t>Lightening arrestor: Regulators</t>
  </si>
  <si>
    <t>Lightening arrestor installation per site</t>
  </si>
  <si>
    <t>2021 - 2025</t>
  </si>
  <si>
    <t>CP_cust_share</t>
  </si>
  <si>
    <t>PAL_cust_share</t>
  </si>
  <si>
    <t>Security of critical infrastructure</t>
  </si>
  <si>
    <t>The indentified need</t>
  </si>
  <si>
    <t>Reported Dollars for 2021-26</t>
  </si>
  <si>
    <t>2019/20</t>
  </si>
  <si>
    <t>2020/21</t>
  </si>
  <si>
    <t>2021/22</t>
  </si>
  <si>
    <t>2022/23</t>
  </si>
  <si>
    <t>2023/24</t>
  </si>
  <si>
    <t>2024/25</t>
  </si>
  <si>
    <t>2025/26</t>
  </si>
  <si>
    <t>Assumptions</t>
  </si>
  <si>
    <t>Unit cost of WAN bandwith per meter read</t>
  </si>
  <si>
    <t>Meter read exception rate</t>
  </si>
  <si>
    <t>PAL 30-minute reading meters</t>
  </si>
  <si>
    <t>CP 30-minute reading meters</t>
  </si>
  <si>
    <t>CP 5-minute reading meters</t>
  </si>
  <si>
    <t>Increased WAN capacity</t>
  </si>
  <si>
    <t>Additional Redshift node costs</t>
  </si>
  <si>
    <t>5 minute settlement</t>
  </si>
  <si>
    <t>Manual data exception processing</t>
  </si>
  <si>
    <t>per ZSS</t>
  </si>
  <si>
    <t>per feeder</t>
  </si>
  <si>
    <t>Camperdown</t>
  </si>
  <si>
    <t>Colac</t>
  </si>
  <si>
    <t>Castlemaine</t>
  </si>
  <si>
    <t>Maryborough</t>
  </si>
  <si>
    <t>Winchelsea</t>
  </si>
  <si>
    <t>Eaglehawk</t>
  </si>
  <si>
    <t>Ballarat North</t>
  </si>
  <si>
    <t>Ballarat South</t>
  </si>
  <si>
    <t>Bendigo TS</t>
  </si>
  <si>
    <t>Bendigo</t>
  </si>
  <si>
    <t>Charlton</t>
  </si>
  <si>
    <t>Geelong</t>
  </si>
  <si>
    <t>Stawell</t>
  </si>
  <si>
    <t>Ararat</t>
  </si>
  <si>
    <t>Corio</t>
  </si>
  <si>
    <t>Koroit</t>
  </si>
  <si>
    <t>Terang</t>
  </si>
  <si>
    <t>Hamilton</t>
  </si>
  <si>
    <t>Merbein</t>
  </si>
  <si>
    <t>Technical support</t>
  </si>
  <si>
    <t>Rebalancing works</t>
  </si>
  <si>
    <t>Compliance testing</t>
  </si>
  <si>
    <t>Unit cost of incremental technical support</t>
  </si>
  <si>
    <t>Unit cost of incremental re-balancing works</t>
  </si>
  <si>
    <t>Unit cost of incremental re-balancing works - per feeder</t>
  </si>
  <si>
    <t>Unit cost of incremental compliance testing - per feeder</t>
  </si>
  <si>
    <t>PAL 30 min data</t>
  </si>
  <si>
    <t>PAL 5 min data</t>
  </si>
  <si>
    <t>CP 30 min data</t>
  </si>
  <si>
    <t>CP 5 min data</t>
  </si>
  <si>
    <t>IT cloud solutions</t>
  </si>
  <si>
    <t>EPA regulations change</t>
  </si>
  <si>
    <t>Woodend</t>
  </si>
  <si>
    <t>Number of EDO fuses in ELCAs</t>
  </si>
  <si>
    <t>Number of EDO fuses in HBRAs (other than ELCAs)</t>
  </si>
  <si>
    <t>Number of EDO fuses replaced per year in ELCAs</t>
  </si>
  <si>
    <t>Number of EDO fuses replaced per year in HBRAs</t>
  </si>
  <si>
    <t>Option 1 - Replace all EDOs in ELCAs</t>
  </si>
  <si>
    <t>Blended unit cost of installation of EDO fuse</t>
  </si>
  <si>
    <t>Blended unit cost of installation of fault tamer</t>
  </si>
  <si>
    <t>Total cost</t>
  </si>
  <si>
    <t>Incremental cost</t>
  </si>
  <si>
    <t>Avoidance of f-factor scheme penalty</t>
  </si>
  <si>
    <t>Incremental cost net of f-factor scheme penalty avoidance</t>
  </si>
  <si>
    <t>Solar enablement</t>
  </si>
  <si>
    <t>Contamination database maintenance</t>
  </si>
  <si>
    <t xml:space="preserve">Contamination site assessments </t>
  </si>
  <si>
    <t>Contamination remediation</t>
  </si>
  <si>
    <t>Asset Network Management Tool (SmartTool)</t>
  </si>
  <si>
    <t>Asbestos removal</t>
  </si>
  <si>
    <t>Lead paint removal</t>
  </si>
  <si>
    <t>Noise assessment</t>
  </si>
  <si>
    <t>Noise Improvement Plan Update</t>
  </si>
  <si>
    <t>Noise management procedure / operational standard</t>
  </si>
  <si>
    <t>Asbestos assessment program at second-tier sites</t>
  </si>
  <si>
    <t>PCB clean-up / removal at CP sites</t>
  </si>
  <si>
    <t>POWERCOR</t>
  </si>
  <si>
    <t>Nominal</t>
  </si>
  <si>
    <t>2018/19</t>
  </si>
  <si>
    <t>Cost per exception</t>
  </si>
  <si>
    <t>PAL 5-minute reading meters</t>
  </si>
  <si>
    <t>Total f-factor saving from removing all EDO fuses</t>
  </si>
  <si>
    <t>Average f-factor saving per EDO fuse</t>
  </si>
  <si>
    <t>Option 2 - Replace all EDOs in ELCAs and EDOs in HBRAs other than ELCAs as part of maintenance</t>
  </si>
  <si>
    <t>RIN audit</t>
  </si>
  <si>
    <t>Internal RIN expenditure</t>
  </si>
  <si>
    <t>Gisborne</t>
  </si>
  <si>
    <t>Source</t>
  </si>
  <si>
    <t>The step change will have no affect on capital expenditure</t>
  </si>
  <si>
    <t>Effect on opex and capex</t>
  </si>
  <si>
    <r>
      <t>2021</t>
    </r>
    <r>
      <rPr>
        <b/>
        <sz val="10"/>
        <color theme="1"/>
        <rFont val="Verdana"/>
        <family val="2"/>
      </rPr>
      <t>−</t>
    </r>
    <r>
      <rPr>
        <b/>
        <sz val="10"/>
        <color theme="1"/>
        <rFont val="Calibri"/>
        <family val="2"/>
        <scheme val="minor"/>
      </rPr>
      <t>2026</t>
    </r>
  </si>
  <si>
    <t>The identified need</t>
  </si>
  <si>
    <t>The step change will result in an increase in IT-related operating expenditure incremental to the base year, increasing total operating expenditure</t>
  </si>
  <si>
    <t>The step change will result in an increase in network management-related operating expenditure incremental to the base year, increasing total operating expenditure</t>
  </si>
  <si>
    <t>The step change will result in an increase in REFCL-related operating expenditure incremental to the base year, increasing total operating expenditure</t>
  </si>
  <si>
    <t>The step change is in addition to the capital expenditure related to REFCLs</t>
  </si>
  <si>
    <t>Time spent per exception</t>
  </si>
  <si>
    <t>Hours</t>
  </si>
  <si>
    <t>%</t>
  </si>
  <si>
    <t>$</t>
  </si>
  <si>
    <t>Figure: Increase in meter reads over time</t>
  </si>
  <si>
    <t>The step change is in addition to the capital expenditure related to 5-minute settlement</t>
  </si>
  <si>
    <t>Replacing EDO fuses with fault tamers</t>
  </si>
  <si>
    <t>The step change will result in an increase in maintenance operating expenditure incremental to the base year, increasing total operating expenditure</t>
  </si>
  <si>
    <t>The step change will not result in a change in capital expenditure</t>
  </si>
  <si>
    <t>2019 actuals</t>
  </si>
  <si>
    <t>Feeders</t>
  </si>
  <si>
    <t>Cost of inspection per pole</t>
  </si>
  <si>
    <t>2018 actuals</t>
  </si>
  <si>
    <t>One off cut to meet HBRA corridor clearance</t>
  </si>
  <si>
    <t>One-off cut of overhang spans to meeting HBRA standards</t>
  </si>
  <si>
    <t>One-off cut to meet HBRA corridor clearance standards</t>
  </si>
  <si>
    <t>One off cut of overhang spans</t>
  </si>
  <si>
    <t>ESV, forum 30/04/2019</t>
  </si>
  <si>
    <t>2018 actual</t>
  </si>
  <si>
    <t>The step change is in addition to the capital expenditure related to new EPA regulations</t>
  </si>
  <si>
    <t>The step change will result in an increase in insurance premiums operating expenditure incremental to the base year, increasing total operating expenditure</t>
  </si>
  <si>
    <t>The step change does not impact capital expenditure</t>
  </si>
  <si>
    <t>Bushfire insurance premiums</t>
  </si>
  <si>
    <t>Weighting</t>
  </si>
  <si>
    <t>Tb</t>
  </si>
  <si>
    <t>Total cost - fault timer installation</t>
  </si>
  <si>
    <t>The step change will result in an increase in IT and corporate services operating expenditure incremental to the base year, increasing total operating expenditure.</t>
  </si>
  <si>
    <t>Nominal $k</t>
  </si>
  <si>
    <t>Calendar year inflation</t>
  </si>
  <si>
    <t>Cumulative calendar year inflation</t>
  </si>
  <si>
    <t>Financial year inflation</t>
  </si>
  <si>
    <t>ESV levy</t>
  </si>
  <si>
    <t>Cumulative financial year inflation</t>
  </si>
  <si>
    <t>Zone Sub Stations with REFCLs</t>
  </si>
  <si>
    <t>Opex starts</t>
  </si>
  <si>
    <t>Management of vegetation management/cutting  (hours)</t>
  </si>
  <si>
    <t>Lightning arrestor installations</t>
  </si>
  <si>
    <t>Upgrade of LV spreaders at distribution substations</t>
  </si>
  <si>
    <t>Number</t>
  </si>
  <si>
    <t>Number of poles moved to HBRA</t>
  </si>
  <si>
    <t>Total WAN capacity costs</t>
  </si>
  <si>
    <t>Total Redshift node costs</t>
  </si>
  <si>
    <t>Cost of additional HBRA annual pole inspections</t>
  </si>
  <si>
    <t>Unit cost ($k 2018 /ea)</t>
  </si>
  <si>
    <t>Base year</t>
  </si>
  <si>
    <t>Input</t>
  </si>
  <si>
    <t>From another model</t>
  </si>
  <si>
    <t>Annual cost of FTE for manual data exceptions</t>
  </si>
  <si>
    <t>Manual data exceptions</t>
  </si>
  <si>
    <t>Size</t>
  </si>
  <si>
    <t>Nodes</t>
  </si>
  <si>
    <t>Storage</t>
  </si>
  <si>
    <t>Reads per day</t>
  </si>
  <si>
    <t>Total Meter reads per day - 30 min reading meters</t>
  </si>
  <si>
    <t>Total Meter reads per day - 5 min reading meters</t>
  </si>
  <si>
    <t>Cost pa</t>
  </si>
  <si>
    <t>Meter reading interval</t>
  </si>
  <si>
    <t>Summary</t>
  </si>
  <si>
    <t>Total Cost</t>
  </si>
  <si>
    <t>$k 2019</t>
  </si>
  <si>
    <t>$k 2021/22</t>
  </si>
  <si>
    <t>Total step change</t>
  </si>
  <si>
    <t>Per day</t>
  </si>
  <si>
    <t>CY2019</t>
  </si>
  <si>
    <t>CY2020</t>
  </si>
  <si>
    <t>FY21/22</t>
  </si>
  <si>
    <t>FY22/23</t>
  </si>
  <si>
    <t>FY23/24</t>
  </si>
  <si>
    <t>FY24/25</t>
  </si>
  <si>
    <t>FY25/26</t>
  </si>
  <si>
    <t>Year</t>
  </si>
  <si>
    <t>Less current fuse replacement expenditure in HBRAs (other than ELCAs)</t>
  </si>
  <si>
    <t>Less current fuse replacement expenditure in ELCAs</t>
  </si>
  <si>
    <t>Number of meters</t>
  </si>
  <si>
    <t>CitiPower proportion of costs</t>
  </si>
  <si>
    <t>Powercor proportion of costs</t>
  </si>
  <si>
    <t>Cumulative labour escalation</t>
  </si>
  <si>
    <t>EGWWW</t>
  </si>
  <si>
    <t>Part years</t>
  </si>
  <si>
    <t>CPA REFCLs Tranche 2</t>
  </si>
  <si>
    <t>Powercor base year cost in 2019</t>
  </si>
  <si>
    <t>$k $2020/21</t>
  </si>
  <si>
    <t>Powercor incremental cost</t>
  </si>
  <si>
    <t>With real escalation</t>
  </si>
  <si>
    <t>PAL_wtd_ave_price</t>
  </si>
  <si>
    <t xml:space="preserve"> Less 2019 base year cost</t>
  </si>
  <si>
    <t>Base year cost in 2019</t>
  </si>
  <si>
    <t>year ending September</t>
  </si>
  <si>
    <t>Powercor base year cost</t>
  </si>
  <si>
    <t>Powercor ESV levy forecast cost</t>
  </si>
  <si>
    <t>Less Powercor base year cost in 2019</t>
  </si>
  <si>
    <t>Ranking</t>
  </si>
  <si>
    <t>Total step changes</t>
  </si>
  <si>
    <t>Allocation between Powercor and CitiPower</t>
  </si>
  <si>
    <t>Forecast
($0's, real December 2020)</t>
  </si>
  <si>
    <t>REGULATORY REPORTING STATEMENT</t>
  </si>
  <si>
    <t>Australian Distribution Co. (Victoria)</t>
  </si>
  <si>
    <t>2021 to 2025</t>
  </si>
  <si>
    <t>Forecast
($0's, real June 2021)</t>
  </si>
  <si>
    <t>Complete the Tables below in accordance with the regulatory information notice. If Australian Distribution Co. (Vic) does not own any dual function assets,Table 2.17.3 and 2.17.4 may be left blank.
The total step changes in Table 2.17.1 and Table 2.17.3 must reconcile (in each year) to the total step changes for each year in Table 2.16.1 and Table 2.16.3 of worksheet '2.16 Opex Summary', respectively.</t>
  </si>
  <si>
    <t>Code</t>
  </si>
  <si>
    <t>Sheet Name</t>
  </si>
  <si>
    <t>Annual cost of data processing node</t>
  </si>
  <si>
    <t>Manual exceptions labour required</t>
  </si>
  <si>
    <t>The step change will result in an increase in inspections, vegetation management and maintenance operating expenditure incremental to the base year, increasing total operating expenditure</t>
  </si>
  <si>
    <t>2019-20</t>
  </si>
  <si>
    <t>2020-21</t>
  </si>
  <si>
    <t>2021-22</t>
  </si>
  <si>
    <t>2022-23</t>
  </si>
  <si>
    <t>2023-24</t>
  </si>
  <si>
    <t>2024-25</t>
  </si>
  <si>
    <t>2025-26</t>
  </si>
  <si>
    <t>Less 2019 base year cost</t>
  </si>
  <si>
    <t>Powercor Incremental cost compared with base year</t>
  </si>
  <si>
    <t>Costs</t>
  </si>
  <si>
    <t>Step change name</t>
  </si>
  <si>
    <t>Number of step changes</t>
  </si>
  <si>
    <t>Waurn Ponds</t>
  </si>
  <si>
    <t>Torquay</t>
  </si>
  <si>
    <t>Ballarat West</t>
  </si>
  <si>
    <t>Powercor Summary</t>
  </si>
  <si>
    <t xml:space="preserve">REFCL on-going operating expenditure </t>
  </si>
  <si>
    <t>Recurrent in nature, starting 2021/22</t>
  </si>
  <si>
    <t>Recurrent in nature for the duration of replacement program</t>
  </si>
  <si>
    <t>Mostly non-recurrent in nature due to requirement to achieve HBRA standards early in the period</t>
  </si>
  <si>
    <t>Real price change</t>
  </si>
  <si>
    <t>Powercor Cumulative price change</t>
  </si>
  <si>
    <t>The step change will result in an efficient trade-off between operating expenditure and capital expenditure, with the effect of reducing network augmentation capital expenditure.</t>
  </si>
  <si>
    <t>The step change will result in an efficient trade-off between operating expenditure and capital expenditure, with a reduction in IT infrastructure capital expenditure.</t>
  </si>
  <si>
    <t>The step change will result in an increase in licencing operating expenditure incremental to the base year, increasing total operating expenditure</t>
  </si>
  <si>
    <t>The step change will result in an increase in corporate services operating expenditure incremental to the base year, increasing total operating expenditure</t>
  </si>
  <si>
    <t xml:space="preserve">To comply with the 5-minute settlement rule change </t>
  </si>
  <si>
    <t>Increase in opearating expenditure in zones reclassified from low to high bushfire risk</t>
  </si>
  <si>
    <t>To comply with new critical infrastructure system and data control regulatory obligations</t>
  </si>
  <si>
    <t>To comply with the Amended Bushfire Mitigation Regulations</t>
  </si>
  <si>
    <t>Operating expenditure associated with enabling more solar on the network</t>
  </si>
  <si>
    <t>Prepare and audit an additional RIN on annual basis for calendar year accounts</t>
  </si>
  <si>
    <t>To comply with new Environmental Protection Act and draft regulations</t>
  </si>
  <si>
    <t>Material increase in insurance premiums due to worsening global insurance market conditions</t>
  </si>
  <si>
    <t>Material increase in ESV levy</t>
  </si>
  <si>
    <t>Material increase in fuse maintenance to reduce the risk of EDO fuses starting a bushfire</t>
  </si>
  <si>
    <t xml:space="preserve">Reducing costs and delivering customer benefits by migrating IT infrastructure to cloud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</si>
</sst>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9">
    <numFmt numFmtId="6" formatCode="&quot;$&quot;#,##0;[Red]\-&quot;$&quot;#,##0"/>
    <numFmt numFmtId="8" formatCode="&quot;$&quot;#,##0.00;[Red]\-&quot;$&quot;#,##0.00"/>
    <numFmt numFmtId="44" formatCode="_-&quot;$&quot;* #,##0.00_-;\-&quot;$&quot;* #,##0.00_-;_-&quot;$&quot;* &quot;-&quot;??_-;_-@_-"/>
    <numFmt numFmtId="43" formatCode="_-* #,##0.00_-;\-* #,##0.00_-;_-* &quot;-&quot;??_-;_-@_-"/>
    <numFmt numFmtId="164" formatCode="0.0000"/>
    <numFmt numFmtId="165" formatCode="#,##0;[Red]\(#,##0\);&quot;-&quot;"/>
    <numFmt numFmtId="166" formatCode="#,##0;\(#,##0\);&quot;-&quot;"/>
    <numFmt numFmtId="167" formatCode="0.0%"/>
    <numFmt numFmtId="168" formatCode="#,##0.0000;\(#,##0.0000\);&quot;-&quot;"/>
    <numFmt numFmtId="169" formatCode="#,##0.0000000;\(#,##0.0000000\);&quot;-&quot;"/>
    <numFmt numFmtId="170" formatCode="0.000"/>
    <numFmt numFmtId="171" formatCode="_-* #,##0_-;\-* #,##0_-;_-* &quot;-&quot;??_-;_-@_-"/>
    <numFmt numFmtId="172" formatCode="&quot;$k $&quot;#"/>
    <numFmt numFmtId="173" formatCode="_-&quot;$&quot;* #,##0_-;\-&quot;$&quot;* #,##0_-;_-&quot;$&quot;* &quot;-&quot;??_-;_-@_-"/>
    <numFmt numFmtId="174" formatCode="&quot;$&quot;#,##0;[Red]\-&quot;$&quot;#,##0;\ &quot;-&quot;"/>
    <numFmt numFmtId="175" formatCode="0.0000%"/>
    <numFmt numFmtId="176" formatCode="#;\ \-#;\ &quot;-&quot;"/>
    <numFmt numFmtId="177" formatCode="_-* #,##0.000_-;\-* #,##0.000_-;_-* &quot;-&quot;??_-;_-@_-"/>
    <numFmt numFmtId="178" formatCode="0.0"/>
    <numFmt numFmtId="179" formatCode="0\ &quot;mins&quot;"/>
    <numFmt numFmtId="180" formatCode="_-&quot;$&quot;* #,##0.000_-;\-&quot;$&quot;* #,##0.000_-;_-&quot;$&quot;* &quot;-&quot;???_-;_-@_-"/>
    <numFmt numFmtId="181" formatCode="0%;[Red]\ \ \-0%;\ &quot;-&quot;"/>
    <numFmt numFmtId="182" formatCode="0\ &quot;Tb&quot;"/>
    <numFmt numFmtId="183" formatCode="&quot;$&quot;#"/>
    <numFmt numFmtId="184" formatCode="#,##0;[Red]\-#,##0;\ &quot;-&quot;"/>
    <numFmt numFmtId="185" formatCode="&quot;$ &quot;#"/>
    <numFmt numFmtId="186" formatCode="#,##0_ ;[Red]\-#,##0\ ;\ &quot;-&quot;"/>
    <numFmt numFmtId="187" formatCode="_-&quot;$&quot;\ #,##0.00_-;\-&quot;$&quot;\ #,##0.00_-;_-&quot;$&quot;* &quot;-&quot;??_-;_-@_-"/>
    <numFmt numFmtId="188" formatCode="_-* #,##0_-;[Red]\(#,##0\)_-;_-* &quot;-&quot;??_-;_-@_-"/>
  </numFmts>
  <fonts count="65" x14ac:knownFonts="1">
    <font>
      <sz val="10"/>
      <color theme="1"/>
      <name val="Verdana"/>
      <family val="2"/>
    </font>
    <font>
      <sz val="10"/>
      <color theme="1"/>
      <name val="Verdana"/>
      <family val="2"/>
    </font>
    <font>
      <b/>
      <sz val="10"/>
      <color theme="1"/>
      <name val="Calibri"/>
      <family val="2"/>
    </font>
    <font>
      <sz val="10"/>
      <color theme="1"/>
      <name val="Calibri"/>
      <family val="2"/>
      <scheme val="minor"/>
    </font>
    <font>
      <b/>
      <sz val="10"/>
      <color theme="1"/>
      <name val="Calibri"/>
      <family val="2"/>
      <scheme val="minor"/>
    </font>
    <font>
      <b/>
      <sz val="16"/>
      <color theme="1"/>
      <name val="Calibri"/>
      <family val="2"/>
      <scheme val="minor"/>
    </font>
    <font>
      <sz val="10"/>
      <name val="Calibri"/>
      <family val="2"/>
      <scheme val="minor"/>
    </font>
    <font>
      <i/>
      <sz val="9"/>
      <color theme="1"/>
      <name val="Calibri"/>
      <family val="2"/>
      <scheme val="minor"/>
    </font>
    <font>
      <i/>
      <sz val="14"/>
      <name val="Calibri"/>
      <family val="2"/>
    </font>
    <font>
      <sz val="10"/>
      <color rgb="FFFF0000"/>
      <name val="Calibri"/>
      <family val="2"/>
      <scheme val="minor"/>
    </font>
    <font>
      <b/>
      <sz val="8"/>
      <name val="Arial"/>
      <family val="2"/>
    </font>
    <font>
      <sz val="8"/>
      <color theme="1"/>
      <name val="Calibri"/>
      <family val="2"/>
      <scheme val="minor"/>
    </font>
    <font>
      <sz val="10"/>
      <color theme="1"/>
      <name val="Wingdings 2"/>
      <family val="1"/>
      <charset val="2"/>
    </font>
    <font>
      <b/>
      <sz val="10"/>
      <name val="Calibri"/>
      <family val="2"/>
      <scheme val="minor"/>
    </font>
    <font>
      <sz val="11"/>
      <color theme="1"/>
      <name val="Arial"/>
      <family val="2"/>
    </font>
    <font>
      <b/>
      <sz val="16"/>
      <color theme="0"/>
      <name val="Arial"/>
      <family val="2"/>
    </font>
    <font>
      <b/>
      <sz val="20"/>
      <color theme="0"/>
      <name val="Arial"/>
      <family val="2"/>
    </font>
    <font>
      <b/>
      <sz val="16"/>
      <color indexed="9"/>
      <name val="Calibri"/>
      <family val="2"/>
      <scheme val="minor"/>
    </font>
    <font>
      <b/>
      <sz val="16"/>
      <color theme="0"/>
      <name val="Calibri"/>
      <family val="2"/>
      <scheme val="minor"/>
    </font>
    <font>
      <b/>
      <sz val="16"/>
      <color indexed="9"/>
      <name val="Arial"/>
      <family val="2"/>
    </font>
    <font>
      <sz val="10"/>
      <name val="Arial"/>
      <family val="2"/>
    </font>
    <font>
      <sz val="11"/>
      <name val="Calibri"/>
      <family val="2"/>
      <scheme val="minor"/>
    </font>
    <font>
      <b/>
      <sz val="11"/>
      <color rgb="FFFF0000"/>
      <name val="Calibri"/>
      <family val="2"/>
      <scheme val="minor"/>
    </font>
    <font>
      <i/>
      <sz val="11"/>
      <name val="Calibri"/>
      <family val="2"/>
      <scheme val="minor"/>
    </font>
    <font>
      <b/>
      <sz val="10"/>
      <name val="Arial"/>
      <family val="2"/>
    </font>
    <font>
      <sz val="9"/>
      <name val="Arial"/>
      <family val="2"/>
    </font>
    <font>
      <sz val="14"/>
      <color theme="1"/>
      <name val="Calibri"/>
      <family val="2"/>
      <scheme val="minor"/>
    </font>
    <font>
      <b/>
      <sz val="12"/>
      <color theme="0"/>
      <name val="Arial"/>
      <family val="2"/>
    </font>
    <font>
      <b/>
      <sz val="10"/>
      <color indexed="8"/>
      <name val="Arial"/>
      <family val="2"/>
    </font>
    <font>
      <b/>
      <i/>
      <sz val="8"/>
      <color rgb="FFFF0000"/>
      <name val="Calibri"/>
      <family val="2"/>
      <scheme val="minor"/>
    </font>
    <font>
      <b/>
      <sz val="8"/>
      <color rgb="FFFF0000"/>
      <name val="Arial"/>
      <family val="2"/>
    </font>
    <font>
      <sz val="10"/>
      <color rgb="FFFF0000"/>
      <name val="Arial"/>
      <family val="2"/>
    </font>
    <font>
      <i/>
      <sz val="9"/>
      <name val="Calibri"/>
      <family val="2"/>
      <scheme val="minor"/>
    </font>
    <font>
      <i/>
      <sz val="8"/>
      <color theme="0" tint="-0.34998626667073579"/>
      <name val="Calibri"/>
      <family val="2"/>
      <scheme val="minor"/>
    </font>
    <font>
      <b/>
      <i/>
      <sz val="9"/>
      <color theme="1"/>
      <name val="Calibri"/>
      <family val="2"/>
      <scheme val="minor"/>
    </font>
    <font>
      <i/>
      <sz val="10"/>
      <color theme="1"/>
      <name val="Calibri"/>
      <family val="2"/>
      <scheme val="minor"/>
    </font>
    <font>
      <i/>
      <sz val="10"/>
      <color theme="1" tint="0.499984740745262"/>
      <name val="Calibri"/>
      <family val="2"/>
      <scheme val="minor"/>
    </font>
    <font>
      <sz val="10"/>
      <color rgb="FF0000FF"/>
      <name val="Calibri"/>
      <family val="2"/>
      <scheme val="minor"/>
    </font>
    <font>
      <b/>
      <sz val="10"/>
      <color rgb="FFFF0000"/>
      <name val="Calibri"/>
      <family val="2"/>
      <scheme val="minor"/>
    </font>
    <font>
      <b/>
      <sz val="11"/>
      <color rgb="FFFF33CC"/>
      <name val="Calibri"/>
      <family val="2"/>
      <scheme val="minor"/>
    </font>
    <font>
      <b/>
      <sz val="10"/>
      <color theme="1"/>
      <name val="Verdana"/>
      <family val="2"/>
    </font>
    <font>
      <b/>
      <i/>
      <sz val="9"/>
      <name val="Calibri"/>
      <family val="2"/>
      <scheme val="minor"/>
    </font>
    <font>
      <b/>
      <i/>
      <sz val="10"/>
      <color theme="1"/>
      <name val="Calibri"/>
      <family val="2"/>
      <scheme val="minor"/>
    </font>
    <font>
      <b/>
      <sz val="10"/>
      <color rgb="FF000000"/>
      <name val="Calibri"/>
      <family val="2"/>
    </font>
    <font>
      <sz val="10"/>
      <color rgb="FF000000"/>
      <name val="Calibri"/>
      <family val="2"/>
    </font>
    <font>
      <sz val="9"/>
      <name val="Calibri"/>
      <family val="2"/>
      <scheme val="minor"/>
    </font>
    <font>
      <i/>
      <sz val="9"/>
      <color rgb="FF0000FF"/>
      <name val="Calibri"/>
      <family val="2"/>
      <scheme val="minor"/>
    </font>
    <font>
      <sz val="10"/>
      <color theme="3"/>
      <name val="Arial"/>
      <family val="2"/>
    </font>
    <font>
      <i/>
      <sz val="10"/>
      <color theme="1"/>
      <name val="Calibri"/>
      <family val="2"/>
    </font>
    <font>
      <b/>
      <i/>
      <sz val="10"/>
      <color theme="1"/>
      <name val="Calibri"/>
      <family val="2"/>
    </font>
    <font>
      <sz val="10"/>
      <color theme="3"/>
      <name val="Calibri"/>
      <family val="2"/>
      <scheme val="minor"/>
    </font>
    <font>
      <sz val="10"/>
      <color theme="3" tint="-0.499984740745262"/>
      <name val="Calibri"/>
      <family val="2"/>
      <scheme val="minor"/>
    </font>
    <font>
      <i/>
      <sz val="10"/>
      <color rgb="FF0000FF"/>
      <name val="Calibri"/>
      <family val="2"/>
      <scheme val="minor"/>
    </font>
    <font>
      <sz val="8"/>
      <color theme="0" tint="-0.499984740745262"/>
      <name val="Calibri"/>
      <family val="2"/>
      <scheme val="minor"/>
    </font>
    <font>
      <b/>
      <sz val="10"/>
      <color theme="0" tint="-0.499984740745262"/>
      <name val="Calibri"/>
      <family val="2"/>
      <scheme val="minor"/>
    </font>
    <font>
      <sz val="10"/>
      <color theme="1" tint="0.499984740745262"/>
      <name val="Calibri"/>
      <family val="2"/>
      <scheme val="minor"/>
    </font>
    <font>
      <sz val="9"/>
      <color theme="1"/>
      <name val="Calibri"/>
      <family val="2"/>
      <scheme val="minor"/>
    </font>
    <font>
      <b/>
      <sz val="9"/>
      <color theme="1"/>
      <name val="Calibri"/>
      <family val="2"/>
      <scheme val="minor"/>
    </font>
    <font>
      <i/>
      <sz val="9"/>
      <color theme="0" tint="-0.34998626667073579"/>
      <name val="Calibri"/>
      <family val="2"/>
      <scheme val="minor"/>
    </font>
    <font>
      <i/>
      <sz val="10"/>
      <name val="Calibri"/>
      <family val="2"/>
    </font>
    <font>
      <sz val="8"/>
      <color theme="1" tint="0.499984740745262"/>
      <name val="Calibri"/>
      <family val="2"/>
      <scheme val="minor"/>
    </font>
    <font>
      <sz val="9"/>
      <color rgb="FF0000FF"/>
      <name val="Calibri"/>
      <family val="2"/>
      <scheme val="minor"/>
    </font>
    <font>
      <sz val="9"/>
      <color theme="1" tint="0.499984740745262"/>
      <name val="Calibri"/>
      <family val="2"/>
      <scheme val="minor"/>
    </font>
    <font>
      <sz val="10"/>
      <color rgb="FF00B050"/>
      <name val="Calibri"/>
      <family val="2"/>
      <scheme val="minor"/>
    </font>
    <font>
      <b/>
      <sz val="10"/>
      <color rgb="FF00B050"/>
      <name val="Calibri"/>
      <family val="2"/>
      <scheme val="minor"/>
    </font>
  </fonts>
  <fills count="21">
    <fill>
      <patternFill patternType="none"/>
    </fill>
    <fill>
      <patternFill patternType="gray125"/>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theme="1"/>
        <bgColor indexed="64"/>
      </patternFill>
    </fill>
    <fill>
      <patternFill patternType="solid">
        <fgColor indexed="8"/>
        <bgColor indexed="64"/>
      </patternFill>
    </fill>
    <fill>
      <patternFill patternType="solid">
        <fgColor theme="0" tint="-0.499984740745262"/>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14996795556505021"/>
        <bgColor indexed="64"/>
      </patternFill>
    </fill>
    <fill>
      <patternFill patternType="solid">
        <fgColor indexed="65"/>
        <bgColor theme="0"/>
      </patternFill>
    </fill>
    <fill>
      <patternFill patternType="solid">
        <fgColor theme="0"/>
        <bgColor theme="0"/>
      </patternFill>
    </fill>
    <fill>
      <patternFill patternType="solid">
        <fgColor rgb="FFFFFFCC"/>
        <bgColor theme="0"/>
      </patternFill>
    </fill>
    <fill>
      <patternFill patternType="solid">
        <fgColor rgb="FFCCFFFF"/>
        <bgColor indexed="64"/>
      </patternFill>
    </fill>
    <fill>
      <patternFill patternType="solid">
        <fgColor theme="0" tint="-4.9989318521683403E-2"/>
        <bgColor indexed="64"/>
      </patternFill>
    </fill>
    <fill>
      <patternFill patternType="solid">
        <fgColor theme="1" tint="4.9989318521683403E-2"/>
        <bgColor indexed="64"/>
      </patternFill>
    </fill>
    <fill>
      <patternFill patternType="solid">
        <fgColor rgb="FFFFFFCC"/>
        <bgColor rgb="FF000000"/>
      </patternFill>
    </fill>
  </fills>
  <borders count="60">
    <border>
      <left/>
      <right/>
      <top/>
      <bottom/>
      <diagonal/>
    </border>
    <border>
      <left/>
      <right/>
      <top/>
      <bottom style="thin">
        <color indexed="64"/>
      </bottom>
      <diagonal/>
    </border>
    <border>
      <left/>
      <right/>
      <top style="thin">
        <color indexed="64"/>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auto="1"/>
      </right>
      <top/>
      <bottom style="thin">
        <color auto="1"/>
      </bottom>
      <diagonal/>
    </border>
    <border>
      <left style="medium">
        <color indexed="64"/>
      </left>
      <right/>
      <top style="medium">
        <color auto="1"/>
      </top>
      <bottom style="medium">
        <color auto="1"/>
      </bottom>
      <diagonal/>
    </border>
    <border>
      <left style="medium">
        <color auto="1"/>
      </left>
      <right style="thin">
        <color theme="0" tint="-0.24994659260841701"/>
      </right>
      <top style="medium">
        <color indexed="64"/>
      </top>
      <bottom style="thin">
        <color theme="0" tint="-0.24994659260841701"/>
      </bottom>
      <diagonal/>
    </border>
    <border>
      <left style="thin">
        <color theme="0" tint="-0.24994659260841701"/>
      </left>
      <right style="thin">
        <color theme="0" tint="-0.24994659260841701"/>
      </right>
      <top style="medium">
        <color indexed="64"/>
      </top>
      <bottom style="thin">
        <color theme="0" tint="-0.24994659260841701"/>
      </bottom>
      <diagonal/>
    </border>
    <border>
      <left style="thin">
        <color theme="0" tint="-0.24994659260841701"/>
      </left>
      <right style="medium">
        <color auto="1"/>
      </right>
      <top style="medium">
        <color indexed="64"/>
      </top>
      <bottom style="thin">
        <color theme="0" tint="-0.24994659260841701"/>
      </bottom>
      <diagonal/>
    </border>
    <border>
      <left style="medium">
        <color auto="1"/>
      </left>
      <right style="thin">
        <color theme="0" tint="-0.24994659260841701"/>
      </right>
      <top style="thin">
        <color theme="0" tint="-0.24994659260841701"/>
      </top>
      <bottom style="medium">
        <color indexed="64"/>
      </bottom>
      <diagonal/>
    </border>
    <border>
      <left style="thin">
        <color theme="0" tint="-0.24994659260841701"/>
      </left>
      <right style="thin">
        <color theme="0" tint="-0.24994659260841701"/>
      </right>
      <top style="thin">
        <color theme="0" tint="-0.24994659260841701"/>
      </top>
      <bottom style="medium">
        <color auto="1"/>
      </bottom>
      <diagonal/>
    </border>
    <border>
      <left style="thin">
        <color theme="0" tint="-0.24994659260841701"/>
      </left>
      <right style="medium">
        <color auto="1"/>
      </right>
      <top style="thin">
        <color theme="0" tint="-0.24994659260841701"/>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theme="0" tint="-0.24994659260841701"/>
      </right>
      <top/>
      <bottom style="medium">
        <color indexed="64"/>
      </bottom>
      <diagonal/>
    </border>
    <border>
      <left style="thin">
        <color theme="0" tint="-0.24994659260841701"/>
      </left>
      <right style="thin">
        <color theme="0" tint="-0.24994659260841701"/>
      </right>
      <top/>
      <bottom style="medium">
        <color indexed="64"/>
      </bottom>
      <diagonal/>
    </border>
    <border>
      <left style="thin">
        <color theme="0" tint="-0.24994659260841701"/>
      </left>
      <right style="medium">
        <color indexed="64"/>
      </right>
      <top/>
      <bottom style="medium">
        <color indexed="64"/>
      </bottom>
      <diagonal/>
    </border>
    <border>
      <left style="medium">
        <color auto="1"/>
      </left>
      <right style="thin">
        <color indexed="64"/>
      </right>
      <top style="medium">
        <color indexed="64"/>
      </top>
      <bottom style="thin">
        <color theme="0" tint="-0.24994659260841701"/>
      </bottom>
      <diagonal/>
    </border>
    <border>
      <left style="thin">
        <color auto="1"/>
      </left>
      <right/>
      <top/>
      <bottom style="thin">
        <color theme="0" tint="-0.24994659260841701"/>
      </bottom>
      <diagonal/>
    </border>
    <border>
      <left/>
      <right style="medium">
        <color indexed="64"/>
      </right>
      <top/>
      <bottom style="thin">
        <color theme="0" tint="-0.24994659260841701"/>
      </bottom>
      <diagonal/>
    </border>
    <border>
      <left/>
      <right style="thin">
        <color theme="0" tint="-0.24994659260841701"/>
      </right>
      <top/>
      <bottom style="thin">
        <color theme="0" tint="-0.24994659260841701"/>
      </bottom>
      <diagonal/>
    </border>
    <border>
      <left style="thin">
        <color theme="0" tint="-0.24994659260841701"/>
      </left>
      <right style="thin">
        <color indexed="64"/>
      </right>
      <top style="medium">
        <color auto="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medium">
        <color auto="1"/>
      </left>
      <right style="thin">
        <color indexed="64"/>
      </right>
      <top style="thin">
        <color theme="0" tint="-0.24994659260841701"/>
      </top>
      <bottom style="thin">
        <color theme="0" tint="-0.24994659260841701"/>
      </bottom>
      <diagonal/>
    </border>
    <border>
      <left style="thin">
        <color auto="1"/>
      </left>
      <right/>
      <top style="thin">
        <color theme="0" tint="-0.24994659260841701"/>
      </top>
      <bottom style="thin">
        <color theme="0" tint="-0.24994659260841701"/>
      </bottom>
      <diagonal/>
    </border>
    <border>
      <left/>
      <right style="medium">
        <color auto="1"/>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medium">
        <color auto="1"/>
      </right>
      <top style="thin">
        <color theme="0" tint="-0.24994659260841701"/>
      </top>
      <bottom style="thin">
        <color theme="0" tint="-0.24994659260841701"/>
      </bottom>
      <diagonal/>
    </border>
    <border>
      <left style="medium">
        <color auto="1"/>
      </left>
      <right style="thin">
        <color indexed="64"/>
      </right>
      <top style="thin">
        <color theme="0" tint="-0.24994659260841701"/>
      </top>
      <bottom style="medium">
        <color indexed="64"/>
      </bottom>
      <diagonal/>
    </border>
    <border>
      <left style="thin">
        <color theme="0" tint="-0.24994659260841701"/>
      </left>
      <right style="thin">
        <color auto="1"/>
      </right>
      <top style="thin">
        <color theme="0" tint="-0.24994659260841701"/>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theme="0" tint="-0.24994659260841701"/>
      </right>
      <top style="medium">
        <color indexed="64"/>
      </top>
      <bottom style="thin">
        <color theme="0" tint="-0.24994659260841701"/>
      </bottom>
      <diagonal/>
    </border>
    <border>
      <left/>
      <right style="thin">
        <color theme="0" tint="-0.24994659260841701"/>
      </right>
      <top style="thin">
        <color theme="0" tint="-0.24994659260841701"/>
      </top>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n">
        <color indexed="64"/>
      </right>
      <top style="thin">
        <color theme="0" tint="-0.24994659260841701"/>
      </top>
      <bottom/>
      <diagonal/>
    </border>
    <border>
      <left/>
      <right style="medium">
        <color indexed="64"/>
      </right>
      <top/>
      <bottom/>
      <diagonal/>
    </border>
    <border>
      <left/>
      <right style="thin">
        <color theme="0" tint="-0.24994659260841701"/>
      </right>
      <top style="medium">
        <color indexed="64"/>
      </top>
      <bottom style="medium">
        <color auto="1"/>
      </bottom>
      <diagonal/>
    </border>
    <border>
      <left style="thin">
        <color theme="0" tint="-0.24994659260841701"/>
      </left>
      <right style="thin">
        <color theme="0" tint="-0.24994659260841701"/>
      </right>
      <top style="medium">
        <color indexed="64"/>
      </top>
      <bottom style="medium">
        <color indexed="64"/>
      </bottom>
      <diagonal/>
    </border>
    <border>
      <left style="thin">
        <color theme="0" tint="-0.24994659260841701"/>
      </left>
      <right style="thin">
        <color indexed="64"/>
      </right>
      <top style="medium">
        <color indexed="64"/>
      </top>
      <bottom style="medium">
        <color indexed="64"/>
      </bottom>
      <diagonal/>
    </border>
    <border>
      <left style="thin">
        <color indexed="64"/>
      </left>
      <right style="medium">
        <color indexed="64"/>
      </right>
      <top style="medium">
        <color indexed="64"/>
      </top>
      <bottom style="thin">
        <color theme="0" tint="-0.24994659260841701"/>
      </bottom>
      <diagonal/>
    </border>
    <border>
      <left style="thin">
        <color theme="0" tint="-0.24994659260841701"/>
      </left>
      <right style="thin">
        <color indexed="64"/>
      </right>
      <top/>
      <bottom style="thin">
        <color theme="0" tint="-0.24994659260841701"/>
      </bottom>
      <diagonal/>
    </border>
    <border>
      <left style="thin">
        <color indexed="64"/>
      </left>
      <right style="medium">
        <color indexed="64"/>
      </right>
      <top style="thin">
        <color theme="0" tint="-0.24994659260841701"/>
      </top>
      <bottom style="thin">
        <color theme="0" tint="-0.24994659260841701"/>
      </bottom>
      <diagonal/>
    </border>
    <border>
      <left/>
      <right/>
      <top style="thin">
        <color indexed="64"/>
      </top>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
      <left style="hair">
        <color auto="1"/>
      </left>
      <right style="hair">
        <color auto="1"/>
      </right>
      <top style="hair">
        <color auto="1"/>
      </top>
      <bottom style="hair">
        <color auto="1"/>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medium">
        <color indexed="64"/>
      </top>
      <bottom style="thin">
        <color rgb="FFA6A6A6"/>
      </bottom>
      <diagonal/>
    </border>
    <border>
      <left style="thin">
        <color theme="0" tint="-0.24994659260841701"/>
      </left>
      <right style="medium">
        <color indexed="64"/>
      </right>
      <top/>
      <bottom style="thin">
        <color theme="0" tint="-0.24994659260841701"/>
      </bottom>
      <diagonal/>
    </border>
    <border>
      <left style="medium">
        <color indexed="64"/>
      </left>
      <right style="thin">
        <color theme="0" tint="-0.24994659260841701"/>
      </right>
      <top style="thin">
        <color theme="0" tint="-0.24994659260841701"/>
      </top>
      <bottom style="thin">
        <color theme="0" tint="-0.24994659260841701"/>
      </bottom>
      <diagonal/>
    </border>
    <border>
      <left/>
      <right style="thin">
        <color theme="0" tint="-0.24994659260841701"/>
      </right>
      <top style="thin">
        <color theme="0" tint="-0.24994659260841701"/>
      </top>
      <bottom style="medium">
        <color indexed="64"/>
      </bottom>
      <diagonal/>
    </border>
  </borders>
  <cellStyleXfs count="11">
    <xf numFmtId="0" fontId="0" fillId="0" borderId="0"/>
    <xf numFmtId="43" fontId="1" fillId="0" borderId="0" applyFont="0" applyFill="0" applyBorder="0" applyAlignment="0" applyProtection="0"/>
    <xf numFmtId="9" fontId="1" fillId="0" borderId="0" applyFont="0" applyFill="0" applyBorder="0" applyAlignment="0" applyProtection="0"/>
    <xf numFmtId="49" fontId="15" fillId="7" borderId="0">
      <alignment vertical="center"/>
    </xf>
    <xf numFmtId="0" fontId="19" fillId="9" borderId="0">
      <alignment horizontal="left" vertical="center"/>
      <protection locked="0"/>
    </xf>
    <xf numFmtId="0" fontId="27" fillId="7" borderId="9">
      <alignment vertical="center"/>
    </xf>
    <xf numFmtId="171" fontId="28" fillId="13" borderId="36" applyBorder="0">
      <alignment horizontal="right" vertical="center"/>
    </xf>
    <xf numFmtId="44" fontId="1" fillId="0" borderId="0" applyFont="0" applyFill="0" applyBorder="0" applyAlignment="0" applyProtection="0"/>
    <xf numFmtId="0" fontId="47" fillId="3" borderId="52" applyNumberFormat="0" applyAlignment="0">
      <alignment horizontal="right"/>
      <protection locked="0"/>
    </xf>
    <xf numFmtId="49" fontId="20" fillId="3" borderId="32" applyAlignment="0">
      <alignment horizontal="left" vertical="center" wrapText="1"/>
      <protection locked="0"/>
    </xf>
    <xf numFmtId="188" fontId="21" fillId="20" borderId="56" applyBorder="0">
      <alignment horizontal="right"/>
      <protection locked="0"/>
    </xf>
  </cellStyleXfs>
  <cellXfs count="394">
    <xf numFmtId="0" fontId="0" fillId="0" borderId="0" xfId="0"/>
    <xf numFmtId="0" fontId="3" fillId="0" borderId="0" xfId="0" applyFont="1"/>
    <xf numFmtId="0" fontId="4" fillId="2" borderId="1" xfId="0" applyFont="1" applyFill="1" applyBorder="1"/>
    <xf numFmtId="0" fontId="5" fillId="0" borderId="0" xfId="0" applyFont="1"/>
    <xf numFmtId="164" fontId="3" fillId="0" borderId="0" xfId="0" applyNumberFormat="1" applyFont="1"/>
    <xf numFmtId="0" fontId="4" fillId="0" borderId="0" xfId="0" applyFont="1"/>
    <xf numFmtId="6" fontId="7" fillId="0" borderId="0" xfId="0" applyNumberFormat="1" applyFont="1" applyAlignment="1">
      <alignment horizontal="right"/>
    </xf>
    <xf numFmtId="0" fontId="4" fillId="2" borderId="1" xfId="0" applyFont="1" applyFill="1" applyBorder="1" applyAlignment="1">
      <alignment horizontal="right"/>
    </xf>
    <xf numFmtId="0" fontId="8" fillId="0" borderId="0" xfId="0" applyFont="1"/>
    <xf numFmtId="166" fontId="3" fillId="0" borderId="0" xfId="0" applyNumberFormat="1" applyFont="1"/>
    <xf numFmtId="166" fontId="4" fillId="0" borderId="0" xfId="0" applyNumberFormat="1" applyFont="1"/>
    <xf numFmtId="167" fontId="3" fillId="0" borderId="0" xfId="2" applyNumberFormat="1" applyFont="1"/>
    <xf numFmtId="0" fontId="4" fillId="0" borderId="0" xfId="0" applyFont="1" applyFill="1" applyBorder="1"/>
    <xf numFmtId="0" fontId="4" fillId="0" borderId="0" xfId="0" applyFont="1" applyFill="1" applyBorder="1" applyAlignment="1">
      <alignment horizontal="right"/>
    </xf>
    <xf numFmtId="0" fontId="3" fillId="0" borderId="0" xfId="0" applyFont="1" applyFill="1"/>
    <xf numFmtId="165" fontId="6" fillId="0" borderId="0" xfId="0" applyNumberFormat="1" applyFont="1" applyFill="1"/>
    <xf numFmtId="10" fontId="3" fillId="0" borderId="0" xfId="2" applyNumberFormat="1" applyFont="1" applyFill="1"/>
    <xf numFmtId="168" fontId="3" fillId="0" borderId="0" xfId="0" applyNumberFormat="1" applyFont="1"/>
    <xf numFmtId="169" fontId="3" fillId="0" borderId="0" xfId="0" applyNumberFormat="1" applyFont="1"/>
    <xf numFmtId="9" fontId="3" fillId="0" borderId="0" xfId="2" applyNumberFormat="1" applyFont="1"/>
    <xf numFmtId="0" fontId="2" fillId="0" borderId="0" xfId="0" applyFont="1" applyFill="1" applyBorder="1"/>
    <xf numFmtId="170" fontId="3" fillId="0" borderId="0" xfId="0" applyNumberFormat="1" applyFont="1" applyFill="1" applyBorder="1"/>
    <xf numFmtId="0" fontId="9" fillId="0" borderId="0" xfId="0" applyFont="1"/>
    <xf numFmtId="166" fontId="3" fillId="0" borderId="2" xfId="0" applyNumberFormat="1" applyFont="1" applyBorder="1"/>
    <xf numFmtId="166" fontId="4" fillId="0" borderId="2" xfId="0" applyNumberFormat="1" applyFont="1" applyBorder="1"/>
    <xf numFmtId="0" fontId="12" fillId="0" borderId="0" xfId="0" applyFont="1" applyAlignment="1">
      <alignment horizontal="center" vertical="center"/>
    </xf>
    <xf numFmtId="166" fontId="9" fillId="0" borderId="0" xfId="0" applyNumberFormat="1" applyFont="1"/>
    <xf numFmtId="0" fontId="11" fillId="0" borderId="0" xfId="0" applyFont="1"/>
    <xf numFmtId="0" fontId="6" fillId="0" borderId="0" xfId="0" applyFont="1" applyFill="1"/>
    <xf numFmtId="3" fontId="6" fillId="0" borderId="0" xfId="0" applyNumberFormat="1" applyFont="1" applyFill="1"/>
    <xf numFmtId="0" fontId="3" fillId="0" borderId="0" xfId="0" applyFont="1" applyAlignment="1">
      <alignment horizontal="right"/>
    </xf>
    <xf numFmtId="0" fontId="14" fillId="6" borderId="0" xfId="0" applyFont="1" applyFill="1" applyProtection="1"/>
    <xf numFmtId="0" fontId="16" fillId="7" borderId="0" xfId="3" quotePrefix="1" applyNumberFormat="1" applyFont="1">
      <alignment vertical="center"/>
    </xf>
    <xf numFmtId="0" fontId="17" fillId="8" borderId="0" xfId="0" applyFont="1" applyFill="1" applyBorder="1" applyProtection="1"/>
    <xf numFmtId="49" fontId="16" fillId="7" borderId="0" xfId="3" applyFont="1">
      <alignment vertical="center"/>
    </xf>
    <xf numFmtId="0" fontId="16" fillId="7" borderId="0" xfId="3" applyNumberFormat="1" applyFont="1" applyAlignment="1">
      <alignment horizontal="left" vertical="center"/>
    </xf>
    <xf numFmtId="0" fontId="18" fillId="8" borderId="0" xfId="0" applyFont="1" applyFill="1" applyBorder="1" applyProtection="1"/>
    <xf numFmtId="0" fontId="19" fillId="9" borderId="0" xfId="4" applyProtection="1">
      <alignment horizontal="left" vertical="center"/>
    </xf>
    <xf numFmtId="0" fontId="20" fillId="0" borderId="0" xfId="0" applyFont="1" applyFill="1" applyAlignment="1" applyProtection="1">
      <alignment vertical="top" wrapText="1"/>
    </xf>
    <xf numFmtId="0" fontId="6" fillId="6" borderId="0" xfId="0" applyFont="1" applyFill="1" applyProtection="1"/>
    <xf numFmtId="0" fontId="24" fillId="0" borderId="0" xfId="0" applyFont="1" applyFill="1" applyAlignment="1" applyProtection="1">
      <alignment horizontal="left" vertical="center" wrapText="1"/>
    </xf>
    <xf numFmtId="0" fontId="26" fillId="6" borderId="0" xfId="0" applyFont="1" applyFill="1" applyProtection="1"/>
    <xf numFmtId="0" fontId="27" fillId="7" borderId="9" xfId="5">
      <alignment vertical="center"/>
    </xf>
    <xf numFmtId="0" fontId="0" fillId="0" borderId="0" xfId="0" applyFill="1" applyBorder="1" applyAlignment="1">
      <alignment horizontal="center"/>
    </xf>
    <xf numFmtId="0" fontId="24" fillId="0" borderId="16" xfId="0" applyFont="1" applyFill="1" applyBorder="1" applyAlignment="1">
      <alignment horizontal="center" vertical="center" wrapText="1"/>
    </xf>
    <xf numFmtId="0" fontId="24" fillId="12" borderId="18" xfId="0" applyFont="1" applyFill="1" applyBorder="1" applyAlignment="1" applyProtection="1">
      <alignment horizontal="center" vertical="center" wrapText="1"/>
    </xf>
    <xf numFmtId="0" fontId="24" fillId="12" borderId="19" xfId="0" applyFont="1" applyFill="1" applyBorder="1" applyAlignment="1" applyProtection="1">
      <alignment horizontal="center" vertical="center" wrapText="1"/>
    </xf>
    <xf numFmtId="0" fontId="24" fillId="11" borderId="19" xfId="0" applyFont="1" applyFill="1" applyBorder="1" applyAlignment="1" applyProtection="1">
      <alignment horizontal="center" vertical="center" wrapText="1"/>
    </xf>
    <xf numFmtId="0" fontId="24" fillId="11" borderId="20" xfId="0" applyFont="1" applyFill="1" applyBorder="1" applyAlignment="1" applyProtection="1">
      <alignment horizontal="center" vertical="center" wrapText="1"/>
    </xf>
    <xf numFmtId="171" fontId="28" fillId="13" borderId="36" xfId="6" applyBorder="1">
      <alignment horizontal="right" vertical="center"/>
    </xf>
    <xf numFmtId="0" fontId="29" fillId="0" borderId="39" xfId="0" applyFont="1" applyFill="1" applyBorder="1" applyAlignment="1">
      <alignment horizontal="center"/>
    </xf>
    <xf numFmtId="0" fontId="30" fillId="0" borderId="1" xfId="0" applyFont="1" applyFill="1" applyBorder="1" applyAlignment="1">
      <alignment horizontal="center" vertical="center"/>
    </xf>
    <xf numFmtId="0" fontId="30" fillId="0" borderId="8" xfId="0" applyFont="1" applyFill="1" applyBorder="1" applyAlignment="1">
      <alignment horizontal="center" vertical="center"/>
    </xf>
    <xf numFmtId="0" fontId="0" fillId="6" borderId="0" xfId="0" applyFill="1"/>
    <xf numFmtId="0" fontId="0" fillId="6" borderId="0" xfId="0" applyFill="1" applyAlignment="1"/>
    <xf numFmtId="0" fontId="27" fillId="4" borderId="9" xfId="5" applyFill="1">
      <alignment vertical="center"/>
    </xf>
    <xf numFmtId="0" fontId="0" fillId="4" borderId="0" xfId="0" applyFill="1"/>
    <xf numFmtId="0" fontId="0" fillId="4" borderId="0" xfId="0" applyFill="1" applyBorder="1" applyAlignment="1">
      <alignment horizontal="center"/>
    </xf>
    <xf numFmtId="0" fontId="24" fillId="4" borderId="16" xfId="0" applyFont="1" applyFill="1" applyBorder="1" applyAlignment="1">
      <alignment horizontal="center" vertical="center" wrapText="1"/>
    </xf>
    <xf numFmtId="0" fontId="24" fillId="4" borderId="18" xfId="0" applyFont="1" applyFill="1" applyBorder="1" applyAlignment="1" applyProtection="1">
      <alignment horizontal="center" vertical="center" wrapText="1"/>
    </xf>
    <xf numFmtId="0" fontId="24" fillId="4" borderId="19" xfId="0" applyFont="1" applyFill="1" applyBorder="1" applyAlignment="1" applyProtection="1">
      <alignment horizontal="center" vertical="center" wrapText="1"/>
    </xf>
    <xf numFmtId="0" fontId="24" fillId="4" borderId="20" xfId="0" applyFont="1" applyFill="1" applyBorder="1" applyAlignment="1" applyProtection="1">
      <alignment horizontal="center" vertical="center" wrapText="1"/>
    </xf>
    <xf numFmtId="4" fontId="20" fillId="4" borderId="21" xfId="0" applyNumberFormat="1" applyFont="1" applyFill="1" applyBorder="1" applyAlignment="1" applyProtection="1">
      <alignment horizontal="left" vertical="center"/>
      <protection locked="0"/>
    </xf>
    <xf numFmtId="0" fontId="20" fillId="4" borderId="40" xfId="0" applyFont="1" applyFill="1" applyBorder="1" applyAlignment="1">
      <alignment horizontal="right" vertical="center"/>
    </xf>
    <xf numFmtId="0" fontId="20" fillId="4" borderId="25" xfId="0" applyFont="1" applyFill="1" applyBorder="1" applyAlignment="1">
      <alignment horizontal="right" vertical="center"/>
    </xf>
    <xf numFmtId="0" fontId="0" fillId="4" borderId="40" xfId="0" applyFont="1" applyFill="1" applyBorder="1" applyAlignment="1">
      <alignment horizontal="right" vertical="top" wrapText="1"/>
    </xf>
    <xf numFmtId="0" fontId="0" fillId="4" borderId="11" xfId="0" applyFont="1" applyFill="1" applyBorder="1" applyAlignment="1">
      <alignment horizontal="right" vertical="top" wrapText="1"/>
    </xf>
    <xf numFmtId="0" fontId="0" fillId="4" borderId="25" xfId="0" applyFont="1" applyFill="1" applyBorder="1" applyAlignment="1">
      <alignment horizontal="right" vertical="top" wrapText="1"/>
    </xf>
    <xf numFmtId="4" fontId="20" fillId="4" borderId="27" xfId="0" applyNumberFormat="1" applyFont="1" applyFill="1" applyBorder="1" applyAlignment="1" applyProtection="1">
      <alignment horizontal="left" vertical="center"/>
      <protection locked="0"/>
    </xf>
    <xf numFmtId="0" fontId="20" fillId="4" borderId="30" xfId="0" applyFont="1" applyFill="1" applyBorder="1" applyAlignment="1">
      <alignment horizontal="right" vertical="center"/>
    </xf>
    <xf numFmtId="0" fontId="20" fillId="4" borderId="31" xfId="0" applyFont="1" applyFill="1" applyBorder="1" applyAlignment="1">
      <alignment horizontal="right" vertical="center"/>
    </xf>
    <xf numFmtId="0" fontId="0" fillId="4" borderId="30" xfId="0" applyFont="1" applyFill="1" applyBorder="1" applyAlignment="1">
      <alignment horizontal="right" vertical="top" wrapText="1"/>
    </xf>
    <xf numFmtId="0" fontId="0" fillId="4" borderId="32" xfId="0" applyFont="1" applyFill="1" applyBorder="1" applyAlignment="1">
      <alignment horizontal="right" vertical="top" wrapText="1"/>
    </xf>
    <xf numFmtId="0" fontId="0" fillId="4" borderId="31" xfId="0" applyFont="1" applyFill="1" applyBorder="1" applyAlignment="1">
      <alignment horizontal="right" vertical="top" wrapText="1"/>
    </xf>
    <xf numFmtId="4" fontId="31" fillId="4" borderId="27" xfId="0" applyNumberFormat="1" applyFont="1" applyFill="1" applyBorder="1" applyAlignment="1" applyProtection="1">
      <alignment horizontal="left" vertical="center"/>
      <protection locked="0"/>
    </xf>
    <xf numFmtId="4" fontId="31" fillId="4" borderId="34" xfId="0" applyNumberFormat="1" applyFont="1" applyFill="1" applyBorder="1" applyAlignment="1" applyProtection="1">
      <alignment horizontal="left" vertical="center"/>
      <protection locked="0"/>
    </xf>
    <xf numFmtId="0" fontId="20" fillId="4" borderId="41" xfId="0" applyFont="1" applyFill="1" applyBorder="1" applyAlignment="1">
      <alignment horizontal="right" vertical="center"/>
    </xf>
    <xf numFmtId="0" fontId="20" fillId="4" borderId="35" xfId="0" applyFont="1" applyFill="1" applyBorder="1" applyAlignment="1">
      <alignment horizontal="right" vertical="center"/>
    </xf>
    <xf numFmtId="0" fontId="0" fillId="4" borderId="41" xfId="0" applyFont="1" applyFill="1" applyBorder="1" applyAlignment="1">
      <alignment horizontal="right" vertical="top" wrapText="1"/>
    </xf>
    <xf numFmtId="0" fontId="0" fillId="4" borderId="42" xfId="0" applyFont="1" applyFill="1" applyBorder="1" applyAlignment="1">
      <alignment horizontal="right" vertical="top" wrapText="1"/>
    </xf>
    <xf numFmtId="0" fontId="0" fillId="4" borderId="43" xfId="0" applyFont="1" applyFill="1" applyBorder="1" applyAlignment="1">
      <alignment horizontal="right" vertical="top" wrapText="1"/>
    </xf>
    <xf numFmtId="171" fontId="28" fillId="4" borderId="36" xfId="6" applyFill="1" applyBorder="1">
      <alignment horizontal="right" vertical="center"/>
    </xf>
    <xf numFmtId="171" fontId="28" fillId="4" borderId="37" xfId="6" applyFill="1" applyBorder="1">
      <alignment horizontal="right" vertical="center"/>
    </xf>
    <xf numFmtId="0" fontId="29" fillId="4" borderId="39" xfId="0" applyFont="1" applyFill="1" applyBorder="1" applyAlignment="1">
      <alignment horizontal="center"/>
    </xf>
    <xf numFmtId="0" fontId="30" fillId="4" borderId="1" xfId="0" applyFont="1" applyFill="1" applyBorder="1" applyAlignment="1">
      <alignment horizontal="center" vertical="center"/>
    </xf>
    <xf numFmtId="0" fontId="30" fillId="4" borderId="8" xfId="0" applyFont="1" applyFill="1" applyBorder="1" applyAlignment="1">
      <alignment horizontal="center" vertical="center"/>
    </xf>
    <xf numFmtId="0" fontId="0" fillId="4" borderId="0" xfId="0" applyFill="1" applyAlignment="1"/>
    <xf numFmtId="0" fontId="0" fillId="4" borderId="44" xfId="0" applyFill="1" applyBorder="1"/>
    <xf numFmtId="0" fontId="0" fillId="4" borderId="44" xfId="0" applyFill="1" applyBorder="1" applyAlignment="1">
      <alignment horizontal="center"/>
    </xf>
    <xf numFmtId="0" fontId="24" fillId="4" borderId="17" xfId="0" applyFont="1" applyFill="1" applyBorder="1" applyAlignment="1">
      <alignment horizontal="center" vertical="center" wrapText="1"/>
    </xf>
    <xf numFmtId="0" fontId="24" fillId="4" borderId="45" xfId="0" applyFont="1" applyFill="1" applyBorder="1" applyAlignment="1" applyProtection="1">
      <alignment horizontal="center" vertical="center" wrapText="1"/>
    </xf>
    <xf numFmtId="0" fontId="24" fillId="4" borderId="46" xfId="0" applyFont="1" applyFill="1" applyBorder="1" applyAlignment="1" applyProtection="1">
      <alignment horizontal="center" vertical="center" wrapText="1"/>
    </xf>
    <xf numFmtId="0" fontId="24" fillId="4" borderId="47" xfId="0" applyFont="1" applyFill="1" applyBorder="1" applyAlignment="1" applyProtection="1">
      <alignment horizontal="center" vertical="center" wrapText="1"/>
    </xf>
    <xf numFmtId="4" fontId="20" fillId="4" borderId="48" xfId="0" applyNumberFormat="1" applyFont="1" applyFill="1" applyBorder="1" applyAlignment="1" applyProtection="1">
      <alignment horizontal="left" vertical="center"/>
      <protection locked="0"/>
    </xf>
    <xf numFmtId="0" fontId="0" fillId="4" borderId="26" xfId="0" applyFont="1" applyFill="1" applyBorder="1" applyAlignment="1">
      <alignment horizontal="right" vertical="top" wrapText="1"/>
    </xf>
    <xf numFmtId="0" fontId="20" fillId="4" borderId="24" xfId="0" applyFont="1" applyFill="1" applyBorder="1" applyAlignment="1">
      <alignment horizontal="right" vertical="center"/>
    </xf>
    <xf numFmtId="0" fontId="20" fillId="4" borderId="49" xfId="0" applyFont="1" applyFill="1" applyBorder="1" applyAlignment="1">
      <alignment horizontal="right" vertical="center"/>
    </xf>
    <xf numFmtId="0" fontId="0" fillId="4" borderId="24" xfId="0" applyFont="1" applyFill="1" applyBorder="1" applyAlignment="1">
      <alignment horizontal="right" vertical="top" wrapText="1"/>
    </xf>
    <xf numFmtId="4" fontId="20" fillId="4" borderId="50" xfId="0" applyNumberFormat="1" applyFont="1" applyFill="1" applyBorder="1" applyAlignment="1" applyProtection="1">
      <alignment horizontal="left" vertical="center"/>
      <protection locked="0"/>
    </xf>
    <xf numFmtId="165" fontId="3" fillId="0" borderId="0" xfId="0" applyNumberFormat="1" applyFont="1"/>
    <xf numFmtId="171" fontId="3" fillId="0" borderId="0" xfId="1" applyNumberFormat="1" applyFont="1"/>
    <xf numFmtId="172" fontId="32" fillId="0" borderId="0" xfId="0" applyNumberFormat="1" applyFont="1" applyFill="1"/>
    <xf numFmtId="0" fontId="33" fillId="0" borderId="0" xfId="0" applyFont="1"/>
    <xf numFmtId="0" fontId="3" fillId="6" borderId="0" xfId="0" applyFont="1" applyFill="1"/>
    <xf numFmtId="166" fontId="3" fillId="6" borderId="0" xfId="0" applyNumberFormat="1" applyFont="1" applyFill="1"/>
    <xf numFmtId="10" fontId="3" fillId="6" borderId="0" xfId="2" applyNumberFormat="1" applyFont="1" applyFill="1"/>
    <xf numFmtId="166" fontId="3" fillId="0" borderId="0" xfId="0" applyNumberFormat="1" applyFont="1" applyFill="1"/>
    <xf numFmtId="6" fontId="35" fillId="0" borderId="0" xfId="0" quotePrefix="1" applyNumberFormat="1" applyFont="1"/>
    <xf numFmtId="0" fontId="36" fillId="0" borderId="0" xfId="0" applyFont="1"/>
    <xf numFmtId="174" fontId="3" fillId="0" borderId="0" xfId="0" applyNumberFormat="1" applyFont="1"/>
    <xf numFmtId="0" fontId="4" fillId="0" borderId="0" xfId="0" applyFont="1" applyBorder="1"/>
    <xf numFmtId="0" fontId="3" fillId="0" borderId="0" xfId="0" applyFont="1" applyAlignment="1">
      <alignment vertical="top"/>
    </xf>
    <xf numFmtId="38" fontId="13" fillId="0" borderId="0" xfId="0" applyNumberFormat="1" applyFont="1" applyAlignment="1">
      <alignment horizontal="right" vertical="top"/>
    </xf>
    <xf numFmtId="0" fontId="4" fillId="0" borderId="2" xfId="0" applyFont="1" applyBorder="1"/>
    <xf numFmtId="174" fontId="4" fillId="0" borderId="2" xfId="0" applyNumberFormat="1" applyFont="1" applyBorder="1"/>
    <xf numFmtId="6" fontId="3" fillId="0" borderId="0" xfId="0" quotePrefix="1" applyNumberFormat="1" applyFont="1"/>
    <xf numFmtId="0" fontId="3" fillId="0" borderId="0" xfId="0" applyFont="1" applyAlignment="1">
      <alignment wrapText="1"/>
    </xf>
    <xf numFmtId="0" fontId="4" fillId="0" borderId="0" xfId="0" applyFont="1" applyAlignment="1">
      <alignment horizontal="right"/>
    </xf>
    <xf numFmtId="165" fontId="13" fillId="0" borderId="0" xfId="0" applyNumberFormat="1" applyFont="1" applyFill="1"/>
    <xf numFmtId="0" fontId="38" fillId="0" borderId="0" xfId="0" applyFont="1"/>
    <xf numFmtId="43" fontId="3" fillId="0" borderId="0" xfId="0" applyNumberFormat="1" applyFont="1"/>
    <xf numFmtId="43" fontId="3" fillId="0" borderId="0" xfId="1" applyNumberFormat="1" applyFont="1"/>
    <xf numFmtId="171" fontId="6" fillId="6" borderId="0" xfId="1" applyNumberFormat="1" applyFont="1" applyFill="1" applyAlignment="1">
      <alignment horizontal="right"/>
    </xf>
    <xf numFmtId="3" fontId="6" fillId="6" borderId="0" xfId="0" applyNumberFormat="1" applyFont="1" applyFill="1" applyAlignment="1">
      <alignment horizontal="right"/>
    </xf>
    <xf numFmtId="0" fontId="3" fillId="0" borderId="0" xfId="0" applyFont="1" applyBorder="1"/>
    <xf numFmtId="0" fontId="35" fillId="0" borderId="0" xfId="0" applyFont="1"/>
    <xf numFmtId="0" fontId="5" fillId="14" borderId="0" xfId="0" applyFont="1" applyFill="1"/>
    <xf numFmtId="0" fontId="3" fillId="14" borderId="0" xfId="0" applyFont="1" applyFill="1"/>
    <xf numFmtId="0" fontId="8" fillId="14" borderId="0" xfId="0" applyFont="1" applyFill="1"/>
    <xf numFmtId="0" fontId="4" fillId="14" borderId="0" xfId="0" applyFont="1" applyFill="1" applyAlignment="1">
      <alignment horizontal="right"/>
    </xf>
    <xf numFmtId="166" fontId="3" fillId="14" borderId="0" xfId="0" applyNumberFormat="1" applyFont="1" applyFill="1"/>
    <xf numFmtId="171" fontId="3" fillId="14" borderId="0" xfId="1" applyNumberFormat="1" applyFont="1" applyFill="1"/>
    <xf numFmtId="0" fontId="3" fillId="14" borderId="0" xfId="0" applyFont="1" applyFill="1" applyAlignment="1">
      <alignment horizontal="right"/>
    </xf>
    <xf numFmtId="0" fontId="38" fillId="0" borderId="0" xfId="0" applyFont="1"/>
    <xf numFmtId="0" fontId="3" fillId="6" borderId="0" xfId="0" applyFont="1" applyFill="1" applyAlignment="1">
      <alignment wrapText="1"/>
    </xf>
    <xf numFmtId="165" fontId="4" fillId="0" borderId="0" xfId="0" applyNumberFormat="1" applyFont="1"/>
    <xf numFmtId="0" fontId="3" fillId="0" borderId="0" xfId="0" applyFont="1" applyFill="1" applyBorder="1"/>
    <xf numFmtId="176" fontId="3" fillId="0" borderId="0" xfId="0" applyNumberFormat="1" applyFont="1"/>
    <xf numFmtId="0" fontId="39" fillId="0" borderId="0" xfId="0" applyFont="1"/>
    <xf numFmtId="0" fontId="6" fillId="0" borderId="0" xfId="0" applyFont="1"/>
    <xf numFmtId="165" fontId="6" fillId="6" borderId="0" xfId="0" applyNumberFormat="1" applyFont="1" applyFill="1"/>
    <xf numFmtId="0" fontId="43" fillId="0" borderId="0" xfId="0" applyFont="1" applyAlignment="1">
      <alignment vertical="center"/>
    </xf>
    <xf numFmtId="0" fontId="44" fillId="0" borderId="0" xfId="0" applyFont="1" applyAlignment="1">
      <alignment vertical="center"/>
    </xf>
    <xf numFmtId="171" fontId="3" fillId="6" borderId="0" xfId="1" applyNumberFormat="1" applyFont="1" applyFill="1"/>
    <xf numFmtId="0" fontId="4" fillId="0" borderId="0" xfId="0" applyFont="1" applyAlignment="1">
      <alignment horizontal="left"/>
    </xf>
    <xf numFmtId="0" fontId="44" fillId="6" borderId="0" xfId="0" applyFont="1" applyFill="1" applyAlignment="1">
      <alignment vertical="center"/>
    </xf>
    <xf numFmtId="0" fontId="3" fillId="15" borderId="0" xfId="0" applyFont="1" applyFill="1"/>
    <xf numFmtId="0" fontId="37" fillId="3" borderId="0" xfId="0" applyFont="1" applyFill="1"/>
    <xf numFmtId="178" fontId="3" fillId="0" borderId="0" xfId="0" applyNumberFormat="1" applyFont="1"/>
    <xf numFmtId="0" fontId="3" fillId="0" borderId="0" xfId="0" applyFont="1" applyAlignment="1">
      <alignment horizontal="left" wrapText="1"/>
    </xf>
    <xf numFmtId="9" fontId="3" fillId="0" borderId="0" xfId="2" applyFont="1"/>
    <xf numFmtId="10" fontId="37" fillId="3" borderId="0" xfId="8" applyNumberFormat="1" applyFont="1" applyFill="1" applyBorder="1" applyAlignment="1">
      <alignment horizontal="center"/>
      <protection locked="0"/>
    </xf>
    <xf numFmtId="164" fontId="6" fillId="0" borderId="0" xfId="8" applyNumberFormat="1" applyFont="1" applyFill="1" applyBorder="1" applyAlignment="1">
      <alignment horizontal="center"/>
      <protection locked="0"/>
    </xf>
    <xf numFmtId="9" fontId="3" fillId="0" borderId="0" xfId="2" applyNumberFormat="1" applyFont="1" applyFill="1"/>
    <xf numFmtId="170" fontId="37" fillId="3" borderId="0" xfId="0" applyNumberFormat="1" applyFont="1" applyFill="1" applyBorder="1"/>
    <xf numFmtId="175" fontId="37" fillId="3" borderId="0" xfId="2" applyNumberFormat="1" applyFont="1" applyFill="1" applyAlignment="1">
      <alignment horizontal="right"/>
    </xf>
    <xf numFmtId="173" fontId="37" fillId="3" borderId="0" xfId="7" applyNumberFormat="1" applyFont="1" applyFill="1" applyAlignment="1">
      <alignment horizontal="right"/>
    </xf>
    <xf numFmtId="177" fontId="37" fillId="3" borderId="0" xfId="1" applyNumberFormat="1" applyFont="1" applyFill="1" applyAlignment="1">
      <alignment horizontal="right"/>
    </xf>
    <xf numFmtId="44" fontId="37" fillId="3" borderId="0" xfId="7" applyNumberFormat="1" applyFont="1" applyFill="1" applyAlignment="1">
      <alignment horizontal="right"/>
    </xf>
    <xf numFmtId="0" fontId="13" fillId="0" borderId="0" xfId="0" applyFont="1" applyFill="1"/>
    <xf numFmtId="180" fontId="3" fillId="6" borderId="0" xfId="0" applyNumberFormat="1" applyFont="1" applyFill="1"/>
    <xf numFmtId="0" fontId="3" fillId="0" borderId="0" xfId="0" applyFont="1" applyAlignment="1">
      <alignment horizontal="left"/>
    </xf>
    <xf numFmtId="0" fontId="44" fillId="0" borderId="0" xfId="0" applyFont="1" applyAlignment="1">
      <alignment horizontal="left" vertical="center"/>
    </xf>
    <xf numFmtId="173" fontId="37" fillId="3" borderId="0" xfId="7" applyNumberFormat="1" applyFont="1" applyFill="1" applyBorder="1" applyAlignment="1">
      <alignment horizontal="right" vertical="top"/>
    </xf>
    <xf numFmtId="0" fontId="37" fillId="3" borderId="0" xfId="0" applyFont="1" applyFill="1" applyAlignment="1">
      <alignment horizontal="center"/>
    </xf>
    <xf numFmtId="0" fontId="4" fillId="0" borderId="0" xfId="0" applyFont="1" applyAlignment="1"/>
    <xf numFmtId="0" fontId="3" fillId="0" borderId="51" xfId="0" applyFont="1" applyBorder="1"/>
    <xf numFmtId="0" fontId="35" fillId="14" borderId="0" xfId="0" applyFont="1" applyFill="1"/>
    <xf numFmtId="181" fontId="37" fillId="3" borderId="0" xfId="0" applyNumberFormat="1" applyFont="1" applyFill="1"/>
    <xf numFmtId="0" fontId="48" fillId="0" borderId="0" xfId="0" applyFont="1" applyFill="1" applyBorder="1"/>
    <xf numFmtId="0" fontId="49" fillId="0" borderId="0" xfId="0" applyFont="1" applyFill="1" applyBorder="1"/>
    <xf numFmtId="0" fontId="42" fillId="0" borderId="0" xfId="0" applyFont="1" applyFill="1" applyBorder="1"/>
    <xf numFmtId="10" fontId="37" fillId="3" borderId="0" xfId="8" applyNumberFormat="1" applyFont="1" applyFill="1" applyBorder="1" applyAlignment="1">
      <alignment horizontal="left"/>
      <protection locked="0"/>
    </xf>
    <xf numFmtId="166" fontId="51" fillId="17" borderId="0" xfId="0" applyNumberFormat="1" applyFont="1" applyFill="1"/>
    <xf numFmtId="2" fontId="37" fillId="3" borderId="0" xfId="8" applyNumberFormat="1" applyFont="1" applyFill="1" applyBorder="1" applyAlignment="1">
      <alignment horizontal="center"/>
      <protection locked="0"/>
    </xf>
    <xf numFmtId="9" fontId="51" fillId="17" borderId="0" xfId="2" applyNumberFormat="1" applyFont="1" applyFill="1"/>
    <xf numFmtId="178" fontId="52" fillId="3" borderId="0" xfId="0" applyNumberFormat="1" applyFont="1" applyFill="1" applyBorder="1"/>
    <xf numFmtId="170" fontId="3" fillId="0" borderId="53" xfId="0" applyNumberFormat="1" applyFont="1" applyFill="1" applyBorder="1"/>
    <xf numFmtId="0" fontId="53" fillId="0" borderId="0" xfId="0" applyFont="1"/>
    <xf numFmtId="3" fontId="50" fillId="17" borderId="0" xfId="0" applyNumberFormat="1" applyFont="1" applyFill="1" applyAlignment="1">
      <alignment horizontal="right"/>
    </xf>
    <xf numFmtId="0" fontId="35" fillId="0" borderId="51" xfId="0" applyFont="1" applyBorder="1"/>
    <xf numFmtId="172" fontId="32" fillId="0" borderId="0" xfId="0" applyNumberFormat="1" applyFont="1" applyFill="1" applyAlignment="1">
      <alignment horizontal="left"/>
    </xf>
    <xf numFmtId="1" fontId="37" fillId="3" borderId="0" xfId="0" applyNumberFormat="1" applyFont="1" applyFill="1"/>
    <xf numFmtId="3" fontId="37" fillId="3" borderId="0" xfId="0" applyNumberFormat="1" applyFont="1" applyFill="1"/>
    <xf numFmtId="0" fontId="3" fillId="0" borderId="0" xfId="0" applyFont="1" applyAlignment="1">
      <alignment horizontal="center"/>
    </xf>
    <xf numFmtId="172" fontId="32" fillId="0" borderId="0" xfId="0" applyNumberFormat="1" applyFont="1" applyFill="1" applyAlignment="1">
      <alignment horizontal="center"/>
    </xf>
    <xf numFmtId="0" fontId="13" fillId="0" borderId="51" xfId="0" applyFont="1" applyFill="1" applyBorder="1"/>
    <xf numFmtId="179" fontId="54" fillId="0" borderId="51" xfId="0" applyNumberFormat="1" applyFont="1" applyFill="1" applyBorder="1"/>
    <xf numFmtId="0" fontId="4" fillId="0" borderId="51" xfId="0" applyFont="1" applyBorder="1"/>
    <xf numFmtId="171" fontId="13" fillId="6" borderId="51" xfId="1" applyNumberFormat="1" applyFont="1" applyFill="1" applyBorder="1" applyAlignment="1">
      <alignment horizontal="right"/>
    </xf>
    <xf numFmtId="0" fontId="3" fillId="0" borderId="1" xfId="0" applyFont="1" applyFill="1" applyBorder="1"/>
    <xf numFmtId="179" fontId="37" fillId="3" borderId="0" xfId="0" applyNumberFormat="1" applyFont="1" applyFill="1" applyAlignment="1">
      <alignment horizontal="left"/>
    </xf>
    <xf numFmtId="179" fontId="55" fillId="0" borderId="0" xfId="0" applyNumberFormat="1" applyFont="1" applyFill="1" applyAlignment="1">
      <alignment horizontal="left"/>
    </xf>
    <xf numFmtId="182" fontId="37" fillId="3" borderId="0" xfId="0" applyNumberFormat="1" applyFont="1" applyFill="1" applyAlignment="1">
      <alignment horizontal="left"/>
    </xf>
    <xf numFmtId="183" fontId="32" fillId="0" borderId="0" xfId="0" applyNumberFormat="1" applyFont="1" applyFill="1" applyAlignment="1">
      <alignment horizontal="left"/>
    </xf>
    <xf numFmtId="174" fontId="3" fillId="0" borderId="54" xfId="0" applyNumberFormat="1" applyFont="1" applyBorder="1"/>
    <xf numFmtId="184" fontId="3" fillId="0" borderId="54" xfId="0" applyNumberFormat="1" applyFont="1" applyBorder="1"/>
    <xf numFmtId="185" fontId="32" fillId="0" borderId="0" xfId="0" applyNumberFormat="1" applyFont="1" applyFill="1" applyAlignment="1">
      <alignment horizontal="left"/>
    </xf>
    <xf numFmtId="185" fontId="32" fillId="0" borderId="2" xfId="0" applyNumberFormat="1" applyFont="1" applyFill="1" applyBorder="1" applyAlignment="1">
      <alignment horizontal="left"/>
    </xf>
    <xf numFmtId="0" fontId="3" fillId="0" borderId="1" xfId="0" applyFont="1" applyFill="1" applyBorder="1" applyAlignment="1">
      <alignment horizontal="center"/>
    </xf>
    <xf numFmtId="0" fontId="3" fillId="0" borderId="1" xfId="0" applyFont="1" applyFill="1" applyBorder="1" applyAlignment="1">
      <alignment horizontal="left"/>
    </xf>
    <xf numFmtId="166" fontId="37" fillId="3" borderId="0" xfId="0" applyNumberFormat="1" applyFont="1" applyFill="1"/>
    <xf numFmtId="0" fontId="3" fillId="0" borderId="0" xfId="0" applyFont="1" applyAlignment="1">
      <alignment horizontal="left" wrapText="1"/>
    </xf>
    <xf numFmtId="171" fontId="28" fillId="13" borderId="36" xfId="6" applyBorder="1">
      <alignment horizontal="right" vertical="center"/>
    </xf>
    <xf numFmtId="0" fontId="55" fillId="0" borderId="0" xfId="0" applyFont="1"/>
    <xf numFmtId="0" fontId="36" fillId="0" borderId="0" xfId="0" applyFont="1" applyAlignment="1">
      <alignment horizontal="right"/>
    </xf>
    <xf numFmtId="3" fontId="36" fillId="0" borderId="0" xfId="0" applyNumberFormat="1" applyFont="1" applyFill="1" applyAlignment="1">
      <alignment horizontal="right"/>
    </xf>
    <xf numFmtId="44" fontId="3" fillId="0" borderId="0" xfId="0" applyNumberFormat="1" applyFont="1"/>
    <xf numFmtId="0" fontId="4" fillId="0" borderId="54" xfId="0" applyFont="1" applyBorder="1"/>
    <xf numFmtId="166" fontId="4" fillId="6" borderId="54" xfId="0" applyNumberFormat="1" applyFont="1" applyFill="1" applyBorder="1"/>
    <xf numFmtId="171" fontId="3" fillId="0" borderId="0" xfId="1" applyNumberFormat="1" applyFont="1" applyFill="1"/>
    <xf numFmtId="0" fontId="3" fillId="0" borderId="0" xfId="0" applyFont="1" applyFill="1" applyAlignment="1">
      <alignment horizontal="left" indent="1"/>
    </xf>
    <xf numFmtId="166" fontId="4" fillId="6" borderId="0" xfId="0" applyNumberFormat="1" applyFont="1" applyFill="1" applyBorder="1"/>
    <xf numFmtId="0" fontId="3" fillId="0" borderId="0" xfId="0" applyFont="1" applyAlignment="1">
      <alignment horizontal="left" indent="1"/>
    </xf>
    <xf numFmtId="0" fontId="2" fillId="2" borderId="1" xfId="0" applyFont="1" applyFill="1" applyBorder="1"/>
    <xf numFmtId="10" fontId="51" fillId="17" borderId="0" xfId="2" applyNumberFormat="1" applyFont="1" applyFill="1"/>
    <xf numFmtId="174" fontId="4" fillId="0" borderId="54" xfId="0" applyNumberFormat="1" applyFont="1" applyBorder="1"/>
    <xf numFmtId="184" fontId="4" fillId="0" borderId="54" xfId="0" applyNumberFormat="1" applyFont="1" applyBorder="1"/>
    <xf numFmtId="174" fontId="3" fillId="0" borderId="55" xfId="0" applyNumberFormat="1" applyFont="1" applyBorder="1"/>
    <xf numFmtId="184" fontId="3" fillId="0" borderId="55" xfId="0" applyNumberFormat="1" applyFont="1" applyBorder="1"/>
    <xf numFmtId="8" fontId="35" fillId="0" borderId="0" xfId="0" applyNumberFormat="1" applyFont="1" applyBorder="1" applyAlignment="1">
      <alignment horizontal="left"/>
    </xf>
    <xf numFmtId="0" fontId="3" fillId="0" borderId="0" xfId="0" applyFont="1" applyAlignment="1"/>
    <xf numFmtId="171" fontId="37" fillId="16" borderId="0" xfId="1" applyNumberFormat="1" applyFont="1" applyFill="1"/>
    <xf numFmtId="171" fontId="3" fillId="0" borderId="0" xfId="0" applyNumberFormat="1" applyFont="1"/>
    <xf numFmtId="170" fontId="3" fillId="0" borderId="0" xfId="0" applyNumberFormat="1" applyFont="1"/>
    <xf numFmtId="184" fontId="4" fillId="0" borderId="55" xfId="0" applyNumberFormat="1" applyFont="1" applyBorder="1"/>
    <xf numFmtId="9" fontId="37" fillId="3" borderId="0" xfId="0" applyNumberFormat="1" applyFont="1" applyFill="1"/>
    <xf numFmtId="0" fontId="3" fillId="14" borderId="0" xfId="0" applyFont="1" applyFill="1" applyAlignment="1">
      <alignment horizontal="left" indent="1"/>
    </xf>
    <xf numFmtId="171" fontId="3" fillId="14" borderId="0" xfId="0" applyNumberFormat="1" applyFont="1" applyFill="1"/>
    <xf numFmtId="0" fontId="4" fillId="2" borderId="1" xfId="0" applyFont="1" applyFill="1" applyBorder="1" applyAlignment="1">
      <alignment horizontal="left"/>
    </xf>
    <xf numFmtId="174" fontId="7" fillId="0" borderId="54" xfId="0" applyNumberFormat="1" applyFont="1" applyBorder="1" applyAlignment="1">
      <alignment horizontal="left"/>
    </xf>
    <xf numFmtId="174" fontId="34" fillId="0" borderId="54" xfId="0" applyNumberFormat="1" applyFont="1" applyBorder="1" applyAlignment="1">
      <alignment horizontal="left"/>
    </xf>
    <xf numFmtId="172" fontId="41" fillId="0" borderId="54" xfId="0" applyNumberFormat="1" applyFont="1" applyFill="1" applyBorder="1" applyAlignment="1">
      <alignment horizontal="left"/>
    </xf>
    <xf numFmtId="172" fontId="41" fillId="0" borderId="0" xfId="0" applyNumberFormat="1" applyFont="1" applyFill="1" applyBorder="1" applyAlignment="1">
      <alignment horizontal="left"/>
    </xf>
    <xf numFmtId="0" fontId="4" fillId="0" borderId="0" xfId="0" applyFont="1" applyFill="1" applyBorder="1" applyAlignment="1">
      <alignment horizontal="left"/>
    </xf>
    <xf numFmtId="174" fontId="35" fillId="0" borderId="0" xfId="0" applyNumberFormat="1" applyFont="1" applyBorder="1" applyAlignment="1">
      <alignment horizontal="left"/>
    </xf>
    <xf numFmtId="172" fontId="32" fillId="0" borderId="51" xfId="0" applyNumberFormat="1" applyFont="1" applyFill="1" applyBorder="1" applyAlignment="1">
      <alignment horizontal="left"/>
    </xf>
    <xf numFmtId="0" fontId="35" fillId="0" borderId="51" xfId="0" applyFont="1" applyBorder="1" applyAlignment="1">
      <alignment horizontal="left"/>
    </xf>
    <xf numFmtId="174" fontId="35" fillId="0" borderId="55" xfId="0" applyNumberFormat="1" applyFont="1" applyBorder="1" applyAlignment="1">
      <alignment horizontal="left"/>
    </xf>
    <xf numFmtId="174" fontId="42" fillId="0" borderId="54" xfId="0" applyNumberFormat="1" applyFont="1" applyBorder="1" applyAlignment="1">
      <alignment horizontal="left"/>
    </xf>
    <xf numFmtId="174" fontId="4" fillId="0" borderId="54" xfId="0" applyNumberFormat="1" applyFont="1" applyBorder="1" applyAlignment="1">
      <alignment horizontal="left"/>
    </xf>
    <xf numFmtId="0" fontId="3" fillId="14" borderId="0" xfId="0" applyFont="1" applyFill="1" applyAlignment="1">
      <alignment horizontal="left"/>
    </xf>
    <xf numFmtId="0" fontId="3" fillId="15" borderId="0" xfId="0" applyFont="1" applyFill="1" applyAlignment="1">
      <alignment horizontal="left"/>
    </xf>
    <xf numFmtId="0" fontId="4" fillId="0" borderId="2" xfId="0" applyFont="1" applyBorder="1" applyAlignment="1">
      <alignment horizontal="left"/>
    </xf>
    <xf numFmtId="0" fontId="6" fillId="0" borderId="0" xfId="0" applyFont="1" applyFill="1" applyAlignment="1">
      <alignment horizontal="left"/>
    </xf>
    <xf numFmtId="0" fontId="33" fillId="0" borderId="0" xfId="0" applyFont="1" applyAlignment="1">
      <alignment horizontal="left"/>
    </xf>
    <xf numFmtId="0" fontId="3" fillId="0" borderId="51" xfId="0" applyFont="1" applyBorder="1" applyAlignment="1">
      <alignment horizontal="left"/>
    </xf>
    <xf numFmtId="0" fontId="3" fillId="0" borderId="0" xfId="0" applyFont="1" applyBorder="1" applyAlignment="1">
      <alignment horizontal="left"/>
    </xf>
    <xf numFmtId="0" fontId="4" fillId="0" borderId="0" xfId="0" applyFont="1" applyBorder="1" applyAlignment="1">
      <alignment horizontal="left"/>
    </xf>
    <xf numFmtId="172" fontId="41" fillId="0" borderId="0" xfId="0" applyNumberFormat="1" applyFont="1" applyFill="1" applyAlignment="1">
      <alignment horizontal="left"/>
    </xf>
    <xf numFmtId="174" fontId="35" fillId="0" borderId="54" xfId="0" applyNumberFormat="1" applyFont="1" applyBorder="1" applyAlignment="1">
      <alignment horizontal="left"/>
    </xf>
    <xf numFmtId="172" fontId="45" fillId="0" borderId="0" xfId="0" applyNumberFormat="1" applyFont="1" applyFill="1" applyAlignment="1">
      <alignment horizontal="left"/>
    </xf>
    <xf numFmtId="174" fontId="3" fillId="0" borderId="55" xfId="0" applyNumberFormat="1" applyFont="1" applyBorder="1" applyAlignment="1">
      <alignment horizontal="left"/>
    </xf>
    <xf numFmtId="172" fontId="32" fillId="0" borderId="0" xfId="0" applyNumberFormat="1" applyFont="1" applyFill="1" applyBorder="1" applyAlignment="1">
      <alignment horizontal="left"/>
    </xf>
    <xf numFmtId="0" fontId="3" fillId="0" borderId="0" xfId="0" applyFont="1" applyFill="1" applyAlignment="1">
      <alignment horizontal="left"/>
    </xf>
    <xf numFmtId="0" fontId="4" fillId="0" borderId="54" xfId="0" applyFont="1" applyBorder="1" applyAlignment="1">
      <alignment horizontal="left"/>
    </xf>
    <xf numFmtId="174" fontId="3" fillId="0" borderId="54" xfId="0" applyNumberFormat="1" applyFont="1" applyBorder="1" applyAlignment="1">
      <alignment horizontal="left"/>
    </xf>
    <xf numFmtId="0" fontId="4" fillId="0" borderId="51" xfId="0" applyFont="1" applyBorder="1" applyAlignment="1">
      <alignment horizontal="left"/>
    </xf>
    <xf numFmtId="174" fontId="4" fillId="0" borderId="2" xfId="0" applyNumberFormat="1" applyFont="1" applyBorder="1" applyAlignment="1">
      <alignment horizontal="left"/>
    </xf>
    <xf numFmtId="0" fontId="56" fillId="0" borderId="0" xfId="0" applyFont="1" applyAlignment="1">
      <alignment horizontal="left"/>
    </xf>
    <xf numFmtId="0" fontId="57" fillId="2" borderId="1" xfId="0" applyFont="1" applyFill="1" applyBorder="1" applyAlignment="1">
      <alignment horizontal="left"/>
    </xf>
    <xf numFmtId="174" fontId="7" fillId="0" borderId="0" xfId="0" applyNumberFormat="1" applyFont="1" applyBorder="1" applyAlignment="1">
      <alignment horizontal="left"/>
    </xf>
    <xf numFmtId="0" fontId="57" fillId="0" borderId="0" xfId="0" applyFont="1" applyFill="1" applyBorder="1" applyAlignment="1">
      <alignment horizontal="left"/>
    </xf>
    <xf numFmtId="172" fontId="32" fillId="0" borderId="54" xfId="0" applyNumberFormat="1" applyFont="1" applyFill="1" applyBorder="1" applyAlignment="1">
      <alignment horizontal="left"/>
    </xf>
    <xf numFmtId="172" fontId="46" fillId="3" borderId="0" xfId="0" applyNumberFormat="1" applyFont="1" applyFill="1" applyAlignment="1">
      <alignment horizontal="left"/>
    </xf>
    <xf numFmtId="0" fontId="45" fillId="0" borderId="0" xfId="0" applyFont="1" applyFill="1" applyAlignment="1">
      <alignment horizontal="left"/>
    </xf>
    <xf numFmtId="0" fontId="58" fillId="0" borderId="0" xfId="0" applyFont="1" applyAlignment="1">
      <alignment horizontal="left"/>
    </xf>
    <xf numFmtId="0" fontId="59" fillId="0" borderId="0" xfId="0" applyFont="1"/>
    <xf numFmtId="172" fontId="32" fillId="6" borderId="0" xfId="0" applyNumberFormat="1" applyFont="1" applyFill="1" applyAlignment="1">
      <alignment horizontal="left"/>
    </xf>
    <xf numFmtId="165" fontId="3" fillId="17" borderId="0" xfId="0" applyNumberFormat="1" applyFont="1" applyFill="1" applyBorder="1"/>
    <xf numFmtId="0" fontId="60" fillId="0" borderId="0" xfId="0" applyFont="1"/>
    <xf numFmtId="174" fontId="4" fillId="0" borderId="0" xfId="0" applyNumberFormat="1" applyFont="1" applyBorder="1"/>
    <xf numFmtId="174" fontId="34" fillId="0" borderId="0" xfId="0" applyNumberFormat="1" applyFont="1" applyBorder="1" applyAlignment="1">
      <alignment horizontal="left"/>
    </xf>
    <xf numFmtId="174" fontId="4" fillId="0" borderId="0" xfId="0" applyNumberFormat="1" applyFont="1" applyBorder="1" applyAlignment="1">
      <alignment horizontal="left"/>
    </xf>
    <xf numFmtId="184" fontId="4" fillId="0" borderId="0" xfId="0" applyNumberFormat="1" applyFont="1" applyBorder="1"/>
    <xf numFmtId="184" fontId="3" fillId="0" borderId="0" xfId="0" applyNumberFormat="1" applyFont="1" applyBorder="1"/>
    <xf numFmtId="174" fontId="3" fillId="0" borderId="0" xfId="0" applyNumberFormat="1" applyFont="1" applyBorder="1"/>
    <xf numFmtId="0" fontId="55" fillId="0" borderId="0" xfId="0" applyFont="1" applyAlignment="1">
      <alignment horizontal="right"/>
    </xf>
    <xf numFmtId="0" fontId="2" fillId="2" borderId="1" xfId="0" applyFont="1" applyFill="1" applyBorder="1" applyAlignment="1">
      <alignment horizontal="center"/>
    </xf>
    <xf numFmtId="43" fontId="4" fillId="0" borderId="0" xfId="0" applyNumberFormat="1" applyFont="1"/>
    <xf numFmtId="10" fontId="37" fillId="17" borderId="0" xfId="8" applyNumberFormat="1" applyFont="1" applyFill="1" applyBorder="1" applyAlignment="1">
      <alignment horizontal="center"/>
      <protection locked="0"/>
    </xf>
    <xf numFmtId="186" fontId="4" fillId="0" borderId="2" xfId="0" applyNumberFormat="1" applyFont="1" applyBorder="1"/>
    <xf numFmtId="9" fontId="37" fillId="3" borderId="0" xfId="0" applyNumberFormat="1" applyFont="1" applyFill="1" applyAlignment="1">
      <alignment horizontal="left"/>
    </xf>
    <xf numFmtId="0" fontId="3" fillId="0" borderId="1" xfId="0" applyFont="1" applyBorder="1"/>
    <xf numFmtId="0" fontId="37" fillId="0" borderId="0" xfId="0" applyFont="1" applyAlignment="1">
      <alignment horizontal="left"/>
    </xf>
    <xf numFmtId="165" fontId="37" fillId="3" borderId="0" xfId="0" applyNumberFormat="1" applyFont="1" applyFill="1"/>
    <xf numFmtId="171" fontId="37" fillId="3" borderId="0" xfId="1" applyNumberFormat="1" applyFont="1" applyFill="1"/>
    <xf numFmtId="3" fontId="37" fillId="3" borderId="0" xfId="0" applyNumberFormat="1" applyFont="1" applyFill="1" applyAlignment="1">
      <alignment horizontal="right"/>
    </xf>
    <xf numFmtId="44" fontId="37" fillId="3" borderId="0" xfId="7" applyFont="1" applyFill="1"/>
    <xf numFmtId="187" fontId="37" fillId="3" borderId="0" xfId="7" applyNumberFormat="1" applyFont="1" applyFill="1"/>
    <xf numFmtId="0" fontId="37" fillId="3" borderId="0" xfId="0" applyFont="1" applyFill="1" applyAlignment="1">
      <alignment horizontal="right"/>
    </xf>
    <xf numFmtId="9" fontId="37" fillId="3" borderId="0" xfId="2" applyFont="1" applyFill="1" applyAlignment="1">
      <alignment horizontal="right"/>
    </xf>
    <xf numFmtId="183" fontId="61" fillId="3" borderId="0" xfId="0" applyNumberFormat="1" applyFont="1" applyFill="1" applyAlignment="1">
      <alignment horizontal="left"/>
    </xf>
    <xf numFmtId="0" fontId="62" fillId="0" borderId="0" xfId="0" applyFont="1"/>
    <xf numFmtId="0" fontId="62" fillId="0" borderId="0" xfId="0" applyFont="1" applyAlignment="1">
      <alignment horizontal="center"/>
    </xf>
    <xf numFmtId="179" fontId="6" fillId="0" borderId="0" xfId="0" applyNumberFormat="1" applyFont="1" applyFill="1" applyAlignment="1">
      <alignment horizontal="left"/>
    </xf>
    <xf numFmtId="184" fontId="4" fillId="0" borderId="2" xfId="0" applyNumberFormat="1" applyFont="1" applyBorder="1"/>
    <xf numFmtId="0" fontId="63" fillId="0" borderId="0" xfId="0" applyFont="1" applyAlignment="1">
      <alignment horizontal="left"/>
    </xf>
    <xf numFmtId="0" fontId="3" fillId="18" borderId="0" xfId="0" applyFont="1" applyFill="1" applyAlignment="1">
      <alignment horizontal="right"/>
    </xf>
    <xf numFmtId="186" fontId="3" fillId="18" borderId="0" xfId="0" applyNumberFormat="1" applyFont="1" applyFill="1"/>
    <xf numFmtId="0" fontId="13" fillId="0" borderId="1" xfId="0" applyFont="1" applyFill="1" applyBorder="1"/>
    <xf numFmtId="0" fontId="6" fillId="0" borderId="1" xfId="0" applyFont="1" applyFill="1" applyBorder="1"/>
    <xf numFmtId="172" fontId="32" fillId="0" borderId="1" xfId="0" applyNumberFormat="1" applyFont="1" applyFill="1" applyBorder="1" applyAlignment="1">
      <alignment horizontal="center"/>
    </xf>
    <xf numFmtId="172" fontId="32" fillId="0" borderId="1" xfId="0" applyNumberFormat="1" applyFont="1" applyFill="1" applyBorder="1" applyAlignment="1">
      <alignment horizontal="left"/>
    </xf>
    <xf numFmtId="0" fontId="3" fillId="0" borderId="1" xfId="0" applyFont="1" applyBorder="1" applyAlignment="1">
      <alignment horizontal="left"/>
    </xf>
    <xf numFmtId="172" fontId="32" fillId="0" borderId="1" xfId="0" applyNumberFormat="1" applyFont="1" applyFill="1" applyBorder="1"/>
    <xf numFmtId="0" fontId="64" fillId="0" borderId="0" xfId="0" applyFont="1"/>
    <xf numFmtId="171" fontId="37" fillId="3" borderId="51" xfId="1" applyNumberFormat="1" applyFont="1" applyFill="1" applyBorder="1"/>
    <xf numFmtId="0" fontId="36" fillId="3" borderId="0" xfId="0" applyFont="1" applyFill="1" applyAlignment="1">
      <alignment horizontal="left"/>
    </xf>
    <xf numFmtId="0" fontId="36" fillId="0" borderId="0" xfId="0" applyFont="1" applyAlignment="1">
      <alignment horizontal="left"/>
    </xf>
    <xf numFmtId="0" fontId="36" fillId="0" borderId="0" xfId="0" applyFont="1" applyAlignment="1">
      <alignment horizontal="center"/>
    </xf>
    <xf numFmtId="166" fontId="36" fillId="0" borderId="0" xfId="0" applyNumberFormat="1" applyFont="1"/>
    <xf numFmtId="172" fontId="46" fillId="3" borderId="0" xfId="0" quotePrefix="1" applyNumberFormat="1" applyFont="1" applyFill="1" applyAlignment="1">
      <alignment horizontal="left"/>
    </xf>
    <xf numFmtId="174" fontId="4" fillId="0" borderId="55" xfId="0" applyNumberFormat="1" applyFont="1" applyBorder="1"/>
    <xf numFmtId="174" fontId="34" fillId="0" borderId="55" xfId="0" applyNumberFormat="1" applyFont="1" applyBorder="1" applyAlignment="1">
      <alignment horizontal="left"/>
    </xf>
    <xf numFmtId="174" fontId="4" fillId="0" borderId="55" xfId="0" applyNumberFormat="1" applyFont="1" applyBorder="1" applyAlignment="1">
      <alignment horizontal="left"/>
    </xf>
    <xf numFmtId="166" fontId="6" fillId="7" borderId="0" xfId="0" applyNumberFormat="1" applyFont="1" applyFill="1"/>
    <xf numFmtId="0" fontId="6" fillId="7" borderId="0" xfId="0" applyFont="1" applyFill="1"/>
    <xf numFmtId="166" fontId="6" fillId="7" borderId="0" xfId="0" applyNumberFormat="1" applyFont="1" applyFill="1" applyBorder="1"/>
    <xf numFmtId="165" fontId="6" fillId="7" borderId="0" xfId="0" applyNumberFormat="1" applyFont="1" applyFill="1"/>
    <xf numFmtId="171" fontId="28" fillId="4" borderId="36" xfId="6" applyFill="1" applyBorder="1">
      <alignment horizontal="right" vertical="center"/>
    </xf>
    <xf numFmtId="0" fontId="24" fillId="4" borderId="16" xfId="0" applyFont="1" applyFill="1" applyBorder="1" applyAlignment="1">
      <alignment horizontal="center" vertical="center" wrapText="1"/>
    </xf>
    <xf numFmtId="0" fontId="3" fillId="19" borderId="0" xfId="0" applyFont="1" applyFill="1"/>
    <xf numFmtId="0" fontId="3" fillId="19" borderId="0" xfId="0" applyFont="1" applyFill="1" applyAlignment="1">
      <alignment horizontal="left" indent="1"/>
    </xf>
    <xf numFmtId="9" fontId="6" fillId="19" borderId="0" xfId="2" applyNumberFormat="1" applyFont="1" applyFill="1" applyAlignment="1">
      <alignment horizontal="left"/>
    </xf>
    <xf numFmtId="0" fontId="6" fillId="19" borderId="0" xfId="0" applyFont="1" applyFill="1"/>
    <xf numFmtId="0" fontId="35" fillId="19" borderId="0" xfId="0" applyFont="1" applyFill="1"/>
    <xf numFmtId="0" fontId="4" fillId="19" borderId="0" xfId="0" applyFont="1" applyFill="1"/>
    <xf numFmtId="0" fontId="42" fillId="19" borderId="0" xfId="0" applyFont="1" applyFill="1"/>
    <xf numFmtId="49" fontId="20" fillId="3" borderId="10" xfId="9" applyBorder="1" applyAlignment="1">
      <alignment vertical="top" wrapText="1"/>
      <protection locked="0"/>
    </xf>
    <xf numFmtId="188" fontId="21" fillId="20" borderId="24" xfId="10" applyBorder="1">
      <alignment horizontal="right"/>
      <protection locked="0"/>
    </xf>
    <xf numFmtId="188" fontId="21" fillId="20" borderId="25" xfId="10" applyBorder="1">
      <alignment horizontal="right"/>
      <protection locked="0"/>
    </xf>
    <xf numFmtId="188" fontId="21" fillId="20" borderId="26" xfId="10" applyBorder="1">
      <alignment horizontal="right"/>
      <protection locked="0"/>
    </xf>
    <xf numFmtId="188" fontId="21" fillId="20" borderId="57" xfId="10" applyBorder="1">
      <alignment horizontal="right"/>
      <protection locked="0"/>
    </xf>
    <xf numFmtId="49" fontId="20" fillId="3" borderId="58" xfId="9" applyBorder="1" applyAlignment="1">
      <alignment vertical="top" wrapText="1"/>
      <protection locked="0"/>
    </xf>
    <xf numFmtId="188" fontId="21" fillId="20" borderId="30" xfId="10" applyBorder="1">
      <alignment horizontal="right"/>
      <protection locked="0"/>
    </xf>
    <xf numFmtId="188" fontId="21" fillId="20" borderId="31" xfId="10" applyBorder="1">
      <alignment horizontal="right"/>
      <protection locked="0"/>
    </xf>
    <xf numFmtId="188" fontId="21" fillId="20" borderId="32" xfId="10" applyBorder="1">
      <alignment horizontal="right"/>
      <protection locked="0"/>
    </xf>
    <xf numFmtId="188" fontId="21" fillId="20" borderId="33" xfId="10" applyBorder="1">
      <alignment horizontal="right"/>
      <protection locked="0"/>
    </xf>
    <xf numFmtId="49" fontId="20" fillId="3" borderId="13" xfId="9" applyBorder="1" applyAlignment="1">
      <alignment vertical="top" wrapText="1"/>
      <protection locked="0"/>
    </xf>
    <xf numFmtId="188" fontId="21" fillId="20" borderId="59" xfId="10" applyBorder="1">
      <alignment horizontal="right"/>
      <protection locked="0"/>
    </xf>
    <xf numFmtId="188" fontId="21" fillId="20" borderId="35" xfId="10" applyBorder="1">
      <alignment horizontal="right"/>
      <protection locked="0"/>
    </xf>
    <xf numFmtId="188" fontId="21" fillId="20" borderId="14" xfId="10" applyBorder="1">
      <alignment horizontal="right"/>
      <protection locked="0"/>
    </xf>
    <xf numFmtId="188" fontId="21" fillId="20" borderId="15" xfId="10" applyBorder="1">
      <alignment horizontal="right"/>
      <protection locked="0"/>
    </xf>
    <xf numFmtId="4" fontId="20" fillId="4" borderId="21" xfId="0" applyNumberFormat="1" applyFont="1" applyFill="1" applyBorder="1" applyAlignment="1" applyProtection="1">
      <alignment horizontal="left" vertical="center" wrapText="1"/>
      <protection locked="0"/>
    </xf>
    <xf numFmtId="4" fontId="20" fillId="4" borderId="27" xfId="0" applyNumberFormat="1" applyFont="1" applyFill="1" applyBorder="1" applyAlignment="1" applyProtection="1">
      <alignment horizontal="left" vertical="center" wrapText="1"/>
      <protection locked="0"/>
    </xf>
    <xf numFmtId="4" fontId="31" fillId="4" borderId="34" xfId="0" applyNumberFormat="1" applyFont="1" applyFill="1" applyBorder="1" applyAlignment="1" applyProtection="1">
      <alignment horizontal="left" vertical="center" wrapText="1"/>
      <protection locked="0"/>
    </xf>
    <xf numFmtId="0" fontId="0" fillId="4" borderId="35" xfId="0" applyFont="1" applyFill="1" applyBorder="1" applyAlignment="1">
      <alignment horizontal="right" vertical="top" wrapText="1"/>
    </xf>
    <xf numFmtId="0" fontId="6" fillId="7" borderId="0" xfId="0" applyFont="1" applyFill="1" applyAlignment="1">
      <alignment horizontal="left"/>
    </xf>
    <xf numFmtId="0" fontId="3" fillId="7" borderId="0" xfId="0" applyFont="1" applyFill="1"/>
    <xf numFmtId="0" fontId="3" fillId="7" borderId="0" xfId="0" applyFont="1" applyFill="1" applyAlignment="1">
      <alignment horizontal="left"/>
    </xf>
    <xf numFmtId="0" fontId="13" fillId="7" borderId="0" xfId="0" applyFont="1" applyFill="1" applyAlignment="1">
      <alignment horizontal="left"/>
    </xf>
    <xf numFmtId="0" fontId="4" fillId="7" borderId="0" xfId="0" applyFont="1" applyFill="1"/>
    <xf numFmtId="0" fontId="3" fillId="0" borderId="0" xfId="0" applyFont="1" applyAlignment="1">
      <alignment horizontal="left" wrapText="1"/>
    </xf>
    <xf numFmtId="171" fontId="28" fillId="4" borderId="9" xfId="6" applyFill="1" applyBorder="1">
      <alignment horizontal="right" vertical="center"/>
    </xf>
    <xf numFmtId="171" fontId="28" fillId="4" borderId="36" xfId="6" applyFill="1" applyBorder="1">
      <alignment horizontal="right" vertical="center"/>
    </xf>
    <xf numFmtId="0" fontId="24" fillId="4" borderId="0" xfId="0" applyFont="1" applyFill="1" applyBorder="1" applyAlignment="1">
      <alignment horizontal="center" vertical="center" wrapText="1"/>
    </xf>
    <xf numFmtId="0" fontId="24" fillId="4" borderId="44" xfId="0" applyFont="1" applyFill="1" applyBorder="1" applyAlignment="1">
      <alignment horizontal="center" vertical="center" wrapText="1"/>
    </xf>
    <xf numFmtId="4" fontId="20" fillId="4" borderId="22" xfId="0" applyNumberFormat="1" applyFont="1" applyFill="1" applyBorder="1" applyAlignment="1" applyProtection="1">
      <alignment vertical="top" wrapText="1"/>
      <protection locked="0"/>
    </xf>
    <xf numFmtId="4" fontId="20" fillId="4" borderId="23" xfId="0" applyNumberFormat="1" applyFont="1" applyFill="1" applyBorder="1" applyAlignment="1" applyProtection="1">
      <alignment vertical="top" wrapText="1"/>
      <protection locked="0"/>
    </xf>
    <xf numFmtId="4" fontId="20" fillId="4" borderId="28" xfId="0" applyNumberFormat="1" applyFont="1" applyFill="1" applyBorder="1" applyAlignment="1" applyProtection="1">
      <alignment vertical="top" wrapText="1"/>
      <protection locked="0"/>
    </xf>
    <xf numFmtId="4" fontId="20" fillId="4" borderId="29" xfId="0" applyNumberFormat="1" applyFont="1" applyFill="1" applyBorder="1" applyAlignment="1" applyProtection="1">
      <alignment vertical="top" wrapText="1"/>
      <protection locked="0"/>
    </xf>
    <xf numFmtId="0" fontId="24" fillId="4" borderId="13" xfId="0" applyFont="1" applyFill="1" applyBorder="1" applyAlignment="1">
      <alignment horizontal="center" vertical="center" wrapText="1"/>
    </xf>
    <xf numFmtId="0" fontId="24" fillId="4" borderId="14" xfId="0" applyFont="1" applyFill="1" applyBorder="1" applyAlignment="1">
      <alignment horizontal="center" vertical="center" wrapText="1"/>
    </xf>
    <xf numFmtId="0" fontId="24" fillId="4" borderId="15" xfId="0" applyFont="1" applyFill="1" applyBorder="1" applyAlignment="1">
      <alignment horizontal="center" vertical="center" wrapText="1"/>
    </xf>
    <xf numFmtId="0" fontId="24" fillId="4" borderId="16" xfId="0" applyFont="1" applyFill="1" applyBorder="1" applyAlignment="1">
      <alignment horizontal="center" vertical="center" wrapText="1"/>
    </xf>
    <xf numFmtId="0" fontId="24" fillId="4" borderId="17" xfId="0" applyFont="1" applyFill="1" applyBorder="1" applyAlignment="1">
      <alignment horizontal="center" vertical="center" wrapText="1"/>
    </xf>
    <xf numFmtId="0" fontId="10" fillId="4" borderId="38" xfId="0" applyFont="1" applyFill="1" applyBorder="1" applyAlignment="1">
      <alignment horizontal="right" vertical="center"/>
    </xf>
    <xf numFmtId="0" fontId="10" fillId="4" borderId="39" xfId="0" applyFont="1" applyFill="1" applyBorder="1" applyAlignment="1">
      <alignment horizontal="right" vertical="center"/>
    </xf>
    <xf numFmtId="0" fontId="24" fillId="4" borderId="10" xfId="0" applyFont="1" applyFill="1" applyBorder="1" applyAlignment="1">
      <alignment horizontal="center" vertical="center" wrapText="1"/>
    </xf>
    <xf numFmtId="0" fontId="24" fillId="4" borderId="11" xfId="0" applyFont="1" applyFill="1" applyBorder="1" applyAlignment="1">
      <alignment horizontal="center" vertical="center" wrapText="1"/>
    </xf>
    <xf numFmtId="0" fontId="24" fillId="4" borderId="12" xfId="0" applyFont="1" applyFill="1" applyBorder="1" applyAlignment="1">
      <alignment horizontal="center" vertical="center" wrapText="1"/>
    </xf>
    <xf numFmtId="0" fontId="10" fillId="0" borderId="38" xfId="0" applyFont="1" applyFill="1" applyBorder="1" applyAlignment="1">
      <alignment horizontal="right" vertical="center"/>
    </xf>
    <xf numFmtId="0" fontId="10" fillId="0" borderId="39" xfId="0" applyFont="1" applyFill="1" applyBorder="1" applyAlignment="1">
      <alignment horizontal="right" vertical="center"/>
    </xf>
    <xf numFmtId="49" fontId="20" fillId="3" borderId="32" xfId="9" applyBorder="1" applyAlignment="1">
      <alignment vertical="top" wrapText="1"/>
      <protection locked="0"/>
    </xf>
    <xf numFmtId="49" fontId="20" fillId="3" borderId="33" xfId="9" applyBorder="1" applyAlignment="1">
      <alignment vertical="top" wrapText="1"/>
      <protection locked="0"/>
    </xf>
    <xf numFmtId="0" fontId="21" fillId="10" borderId="3" xfId="0" applyFont="1" applyFill="1" applyBorder="1" applyAlignment="1" applyProtection="1">
      <alignment horizontal="left" vertical="center" wrapText="1"/>
    </xf>
    <xf numFmtId="0" fontId="21" fillId="10" borderId="4" xfId="0" applyFont="1" applyFill="1" applyBorder="1" applyAlignment="1" applyProtection="1">
      <alignment horizontal="left" vertical="center" wrapText="1"/>
    </xf>
    <xf numFmtId="0" fontId="25" fillId="5" borderId="5" xfId="0" applyFont="1" applyFill="1" applyBorder="1" applyAlignment="1">
      <alignment horizontal="left" vertical="top" wrapText="1"/>
    </xf>
    <xf numFmtId="0" fontId="25" fillId="5" borderId="6" xfId="0" applyFont="1" applyFill="1" applyBorder="1" applyAlignment="1">
      <alignment horizontal="left" vertical="top" wrapText="1"/>
    </xf>
    <xf numFmtId="0" fontId="25" fillId="5" borderId="7" xfId="0" applyFont="1" applyFill="1" applyBorder="1" applyAlignment="1">
      <alignment horizontal="left" vertical="top" wrapText="1"/>
    </xf>
    <xf numFmtId="0" fontId="25" fillId="5" borderId="8" xfId="0" applyFont="1" applyFill="1" applyBorder="1" applyAlignment="1">
      <alignment horizontal="left" vertical="top" wrapText="1"/>
    </xf>
    <xf numFmtId="171" fontId="28" fillId="13" borderId="9" xfId="6" applyBorder="1">
      <alignment horizontal="right" vertical="center"/>
    </xf>
    <xf numFmtId="171" fontId="28" fillId="13" borderId="36" xfId="6" applyBorder="1">
      <alignment horizontal="right" vertical="center"/>
    </xf>
    <xf numFmtId="0" fontId="24" fillId="11" borderId="10" xfId="0" applyFont="1" applyFill="1" applyBorder="1" applyAlignment="1">
      <alignment horizontal="center" vertical="center" wrapText="1"/>
    </xf>
    <xf numFmtId="0" fontId="24" fillId="11" borderId="11" xfId="0" applyFont="1" applyFill="1" applyBorder="1" applyAlignment="1">
      <alignment horizontal="center" vertical="center" wrapText="1"/>
    </xf>
    <xf numFmtId="0" fontId="24" fillId="11" borderId="12" xfId="0" applyFont="1" applyFill="1" applyBorder="1" applyAlignment="1">
      <alignment horizontal="center" vertical="center" wrapText="1"/>
    </xf>
    <xf numFmtId="0" fontId="24" fillId="11" borderId="13" xfId="0" applyFont="1" applyFill="1" applyBorder="1" applyAlignment="1">
      <alignment horizontal="center" vertical="center" wrapText="1"/>
    </xf>
    <xf numFmtId="0" fontId="24" fillId="11" borderId="14" xfId="0" applyFont="1" applyFill="1" applyBorder="1" applyAlignment="1">
      <alignment horizontal="center" vertical="center" wrapText="1"/>
    </xf>
    <xf numFmtId="0" fontId="24" fillId="11" borderId="15" xfId="0" applyFont="1" applyFill="1" applyBorder="1" applyAlignment="1">
      <alignment horizontal="center" vertical="center" wrapText="1"/>
    </xf>
    <xf numFmtId="0" fontId="24" fillId="0" borderId="16" xfId="0" applyFont="1" applyFill="1" applyBorder="1" applyAlignment="1">
      <alignment horizontal="center" vertical="center" wrapText="1"/>
    </xf>
    <xf numFmtId="0" fontId="24" fillId="0" borderId="17" xfId="0" applyFont="1" applyFill="1" applyBorder="1" applyAlignment="1">
      <alignment horizontal="center" vertical="center" wrapText="1"/>
    </xf>
    <xf numFmtId="49" fontId="20" fillId="3" borderId="11" xfId="9" applyBorder="1" applyAlignment="1">
      <alignment vertical="top" wrapText="1"/>
      <protection locked="0"/>
    </xf>
    <xf numFmtId="49" fontId="20" fillId="3" borderId="12" xfId="9" applyBorder="1" applyAlignment="1">
      <alignment vertical="top" wrapText="1"/>
      <protection locked="0"/>
    </xf>
  </cellXfs>
  <cellStyles count="11">
    <cellStyle name="Comma" xfId="1" builtinId="3"/>
    <cellStyle name="Currency" xfId="7" builtinId="4"/>
    <cellStyle name="dms_1" xfId="5"/>
    <cellStyle name="dms_NUM" xfId="10"/>
    <cellStyle name="dms_Row1" xfId="9"/>
    <cellStyle name="dms_T1" xfId="6"/>
    <cellStyle name="dms_TopHeader" xfId="3"/>
    <cellStyle name="Normal" xfId="0" builtinId="0"/>
    <cellStyle name="Percent" xfId="2" builtinId="5"/>
    <cellStyle name="TableLvl2" xfId="4"/>
    <cellStyle name="User_Input_Actual" xfId="8"/>
  </cellStyles>
  <dxfs count="18">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1499679555650502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24994659260841701"/>
        </patternFill>
      </fill>
    </dxf>
    <dxf>
      <fill>
        <patternFill>
          <bgColor theme="0" tint="-0.24994659260841701"/>
        </patternFill>
      </fill>
    </dxf>
    <dxf>
      <fill>
        <patternFill>
          <bgColor theme="0" tint="-0.24994659260841701"/>
        </patternFill>
      </fill>
    </dxf>
    <dxf>
      <font>
        <b/>
        <i val="0"/>
        <color theme="0"/>
      </font>
      <fill>
        <patternFill>
          <bgColor rgb="FFFF0000"/>
        </patternFill>
      </fill>
    </dxf>
  </dxfs>
  <tableStyles count="0" defaultTableStyle="TableStyleMedium2" defaultPivotStyle="PivotStyleLight16"/>
  <colors>
    <mruColors>
      <color rgb="FF0000FF"/>
      <color rgb="FFFFFFCC"/>
      <color rgb="FF00FFFF"/>
      <color rgb="FFFF99FF"/>
      <color rgb="FFFF33CC"/>
      <color rgb="FFFF66CC"/>
      <color rgb="FFCCFFFF"/>
      <color rgb="FF00FF00"/>
      <color rgb="FFFFCCFF"/>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'5 minute settlement'!$B$86</c:f>
              <c:strCache>
                <c:ptCount val="1"/>
                <c:pt idx="0">
                  <c:v>PAL 30 min data</c:v>
                </c:pt>
              </c:strCache>
            </c:strRef>
          </c:tx>
          <c:spPr>
            <a:solidFill>
              <a:srgbClr val="C00000"/>
            </a:solidFill>
          </c:spPr>
          <c:invertIfNegative val="0"/>
          <c:cat>
            <c:strRef>
              <c:f>'5 minute settlement'!$K$64:$R$64</c:f>
              <c:strCache>
                <c:ptCount val="7"/>
                <c:pt idx="0">
                  <c:v>2019</c:v>
                </c:pt>
                <c:pt idx="1">
                  <c:v>2020</c:v>
                </c:pt>
                <c:pt idx="2">
                  <c:v>2021/22</c:v>
                </c:pt>
                <c:pt idx="3">
                  <c:v>2022/23</c:v>
                </c:pt>
                <c:pt idx="4">
                  <c:v>2023/24</c:v>
                </c:pt>
                <c:pt idx="5">
                  <c:v>2024/25</c:v>
                </c:pt>
                <c:pt idx="6">
                  <c:v>2025/26</c:v>
                </c:pt>
              </c:strCache>
            </c:strRef>
          </c:cat>
          <c:val>
            <c:numRef>
              <c:f>'5 minute settlement'!$K$86:$Q$86</c:f>
              <c:numCache>
                <c:formatCode>_-* #,##0_-;\-* #,##0_-;_-* "-"??_-;_-@_-</c:formatCode>
                <c:ptCount val="7"/>
                <c:pt idx="0">
                  <c:v>42740109.704427943</c:v>
                </c:pt>
                <c:pt idx="1">
                  <c:v>43745079.212576441</c:v>
                </c:pt>
                <c:pt idx="2">
                  <c:v>39667183.864005864</c:v>
                </c:pt>
                <c:pt idx="3">
                  <c:v>38916368.29052192</c:v>
                </c:pt>
                <c:pt idx="4">
                  <c:v>38044041.66193004</c:v>
                </c:pt>
                <c:pt idx="5">
                  <c:v>36970661.258993253</c:v>
                </c:pt>
                <c:pt idx="6">
                  <c:v>35753448.293284915</c:v>
                </c:pt>
              </c:numCache>
            </c:numRef>
          </c:val>
          <c:extLst>
            <c:ext xmlns:c16="http://schemas.microsoft.com/office/drawing/2014/chart" uri="{C3380CC4-5D6E-409C-BE32-E72D297353CC}">
              <c16:uniqueId val="{00000000-AA77-4ABB-86BB-BF4EDE3D3B86}"/>
            </c:ext>
          </c:extLst>
        </c:ser>
        <c:ser>
          <c:idx val="2"/>
          <c:order val="1"/>
          <c:tx>
            <c:strRef>
              <c:f>'5 minute settlement'!$B$88</c:f>
              <c:strCache>
                <c:ptCount val="1"/>
                <c:pt idx="0">
                  <c:v>CP 30 min data</c:v>
                </c:pt>
              </c:strCache>
            </c:strRef>
          </c:tx>
          <c:spPr>
            <a:solidFill>
              <a:schemeClr val="accent1">
                <a:lumMod val="75000"/>
              </a:schemeClr>
            </a:solidFill>
          </c:spPr>
          <c:invertIfNegative val="0"/>
          <c:cat>
            <c:strRef>
              <c:f>'5 minute settlement'!$K$64:$R$64</c:f>
              <c:strCache>
                <c:ptCount val="7"/>
                <c:pt idx="0">
                  <c:v>2019</c:v>
                </c:pt>
                <c:pt idx="1">
                  <c:v>2020</c:v>
                </c:pt>
                <c:pt idx="2">
                  <c:v>2021/22</c:v>
                </c:pt>
                <c:pt idx="3">
                  <c:v>2022/23</c:v>
                </c:pt>
                <c:pt idx="4">
                  <c:v>2023/24</c:v>
                </c:pt>
                <c:pt idx="5">
                  <c:v>2024/25</c:v>
                </c:pt>
                <c:pt idx="6">
                  <c:v>2025/26</c:v>
                </c:pt>
              </c:strCache>
            </c:strRef>
          </c:cat>
          <c:val>
            <c:numRef>
              <c:f>'5 minute settlement'!$K$88:$Q$88</c:f>
              <c:numCache>
                <c:formatCode>_-* #,##0_-;\-* #,##0_-;_-* "-"??_-;_-@_-</c:formatCode>
                <c:ptCount val="7"/>
                <c:pt idx="0">
                  <c:v>16401320.784736022</c:v>
                </c:pt>
                <c:pt idx="1">
                  <c:v>16662428.536395773</c:v>
                </c:pt>
                <c:pt idx="2">
                  <c:v>15331865.196207717</c:v>
                </c:pt>
                <c:pt idx="3">
                  <c:v>15040146.677188002</c:v>
                </c:pt>
                <c:pt idx="4">
                  <c:v>14703517.508593727</c:v>
                </c:pt>
                <c:pt idx="5">
                  <c:v>14319299.684452619</c:v>
                </c:pt>
                <c:pt idx="6">
                  <c:v>13843825.420097401</c:v>
                </c:pt>
              </c:numCache>
            </c:numRef>
          </c:val>
          <c:extLst>
            <c:ext xmlns:c16="http://schemas.microsoft.com/office/drawing/2014/chart" uri="{C3380CC4-5D6E-409C-BE32-E72D297353CC}">
              <c16:uniqueId val="{00000001-AA77-4ABB-86BB-BF4EDE3D3B86}"/>
            </c:ext>
          </c:extLst>
        </c:ser>
        <c:ser>
          <c:idx val="1"/>
          <c:order val="2"/>
          <c:tx>
            <c:strRef>
              <c:f>'5 minute settlement'!$B$87</c:f>
              <c:strCache>
                <c:ptCount val="1"/>
                <c:pt idx="0">
                  <c:v>PAL 5 min data</c:v>
                </c:pt>
              </c:strCache>
            </c:strRef>
          </c:tx>
          <c:spPr>
            <a:solidFill>
              <a:srgbClr val="FF5050"/>
            </a:solidFill>
          </c:spPr>
          <c:invertIfNegative val="0"/>
          <c:cat>
            <c:strRef>
              <c:f>'5 minute settlement'!$K$64:$R$64</c:f>
              <c:strCache>
                <c:ptCount val="7"/>
                <c:pt idx="0">
                  <c:v>2019</c:v>
                </c:pt>
                <c:pt idx="1">
                  <c:v>2020</c:v>
                </c:pt>
                <c:pt idx="2">
                  <c:v>2021/22</c:v>
                </c:pt>
                <c:pt idx="3">
                  <c:v>2022/23</c:v>
                </c:pt>
                <c:pt idx="4">
                  <c:v>2023/24</c:v>
                </c:pt>
                <c:pt idx="5">
                  <c:v>2024/25</c:v>
                </c:pt>
                <c:pt idx="6">
                  <c:v>2025/26</c:v>
                </c:pt>
              </c:strCache>
            </c:strRef>
          </c:cat>
          <c:val>
            <c:numRef>
              <c:f>'5 minute settlement'!$K$87:$Q$87</c:f>
              <c:numCache>
                <c:formatCode>_-* #,##0_-;\-* #,##0_-;_-* "-"??_-;_-@_-</c:formatCode>
                <c:ptCount val="7"/>
                <c:pt idx="0">
                  <c:v>0</c:v>
                </c:pt>
                <c:pt idx="1">
                  <c:v>0</c:v>
                </c:pt>
                <c:pt idx="2">
                  <c:v>35288559.388969973</c:v>
                </c:pt>
                <c:pt idx="3">
                  <c:v>47409847.145179123</c:v>
                </c:pt>
                <c:pt idx="4">
                  <c:v>58682711.390425391</c:v>
                </c:pt>
                <c:pt idx="5">
                  <c:v>71124173.788741499</c:v>
                </c:pt>
                <c:pt idx="6">
                  <c:v>84412732.033211857</c:v>
                </c:pt>
              </c:numCache>
            </c:numRef>
          </c:val>
          <c:extLst>
            <c:ext xmlns:c16="http://schemas.microsoft.com/office/drawing/2014/chart" uri="{C3380CC4-5D6E-409C-BE32-E72D297353CC}">
              <c16:uniqueId val="{00000002-AA77-4ABB-86BB-BF4EDE3D3B86}"/>
            </c:ext>
          </c:extLst>
        </c:ser>
        <c:ser>
          <c:idx val="3"/>
          <c:order val="3"/>
          <c:tx>
            <c:strRef>
              <c:f>'5 minute settlement'!$B$89</c:f>
              <c:strCache>
                <c:ptCount val="1"/>
                <c:pt idx="0">
                  <c:v>CP 5 min data</c:v>
                </c:pt>
              </c:strCache>
            </c:strRef>
          </c:tx>
          <c:spPr>
            <a:solidFill>
              <a:schemeClr val="accent1">
                <a:lumMod val="60000"/>
                <a:lumOff val="40000"/>
              </a:schemeClr>
            </a:solidFill>
          </c:spPr>
          <c:invertIfNegative val="0"/>
          <c:cat>
            <c:strRef>
              <c:f>'5 minute settlement'!$K$64:$R$64</c:f>
              <c:strCache>
                <c:ptCount val="7"/>
                <c:pt idx="0">
                  <c:v>2019</c:v>
                </c:pt>
                <c:pt idx="1">
                  <c:v>2020</c:v>
                </c:pt>
                <c:pt idx="2">
                  <c:v>2021/22</c:v>
                </c:pt>
                <c:pt idx="3">
                  <c:v>2022/23</c:v>
                </c:pt>
                <c:pt idx="4">
                  <c:v>2023/24</c:v>
                </c:pt>
                <c:pt idx="5">
                  <c:v>2024/25</c:v>
                </c:pt>
                <c:pt idx="6">
                  <c:v>2025/26</c:v>
                </c:pt>
              </c:strCache>
            </c:strRef>
          </c:cat>
          <c:val>
            <c:numRef>
              <c:f>'5 minute settlement'!$K$89:$Q$89</c:f>
              <c:numCache>
                <c:formatCode>_-* #,##0_-;\-* #,##0_-;_-* "-"??_-;_-@_-</c:formatCode>
                <c:ptCount val="7"/>
                <c:pt idx="0">
                  <c:v>0</c:v>
                </c:pt>
                <c:pt idx="1">
                  <c:v>0</c:v>
                </c:pt>
                <c:pt idx="2">
                  <c:v>10928923.126585383</c:v>
                </c:pt>
                <c:pt idx="3">
                  <c:v>14758720.988042736</c:v>
                </c:pt>
                <c:pt idx="4">
                  <c:v>18135584.846744444</c:v>
                </c:pt>
                <c:pt idx="5">
                  <c:v>21736098.874366108</c:v>
                </c:pt>
                <c:pt idx="6">
                  <c:v>25837151.842480283</c:v>
                </c:pt>
              </c:numCache>
            </c:numRef>
          </c:val>
          <c:extLst>
            <c:ext xmlns:c16="http://schemas.microsoft.com/office/drawing/2014/chart" uri="{C3380CC4-5D6E-409C-BE32-E72D297353CC}">
              <c16:uniqueId val="{00000003-AA77-4ABB-86BB-BF4EDE3D3B86}"/>
            </c:ext>
          </c:extLst>
        </c:ser>
        <c:dLbls>
          <c:showLegendKey val="0"/>
          <c:showVal val="0"/>
          <c:showCatName val="0"/>
          <c:showSerName val="0"/>
          <c:showPercent val="0"/>
          <c:showBubbleSize val="0"/>
        </c:dLbls>
        <c:gapWidth val="100"/>
        <c:overlap val="100"/>
        <c:axId val="79264768"/>
        <c:axId val="79270656"/>
      </c:barChart>
      <c:catAx>
        <c:axId val="79264768"/>
        <c:scaling>
          <c:orientation val="minMax"/>
        </c:scaling>
        <c:delete val="0"/>
        <c:axPos val="b"/>
        <c:numFmt formatCode="General" sourceLinked="0"/>
        <c:majorTickMark val="out"/>
        <c:minorTickMark val="none"/>
        <c:tickLblPos val="nextTo"/>
        <c:crossAx val="79270656"/>
        <c:crosses val="autoZero"/>
        <c:auto val="1"/>
        <c:lblAlgn val="ctr"/>
        <c:lblOffset val="100"/>
        <c:noMultiLvlLbl val="0"/>
      </c:catAx>
      <c:valAx>
        <c:axId val="79270656"/>
        <c:scaling>
          <c:orientation val="minMax"/>
        </c:scaling>
        <c:delete val="0"/>
        <c:axPos val="l"/>
        <c:majorGridlines/>
        <c:numFmt formatCode="_-* #,##0_-;\-* #,##0_-;_-* &quot;-&quot;??_-;_-@_-" sourceLinked="1"/>
        <c:majorTickMark val="out"/>
        <c:minorTickMark val="none"/>
        <c:tickLblPos val="nextTo"/>
        <c:crossAx val="79264768"/>
        <c:crosses val="autoZero"/>
        <c:crossBetween val="between"/>
        <c:dispUnits>
          <c:builtInUnit val="millions"/>
          <c:dispUnitsLbl>
            <c:layout>
              <c:manualLayout>
                <c:xMode val="edge"/>
                <c:yMode val="edge"/>
                <c:x val="1.782233204864023E-2"/>
                <c:y val="0.16591097850872186"/>
              </c:manualLayout>
            </c:layout>
            <c:tx>
              <c:rich>
                <a:bodyPr/>
                <a:lstStyle/>
                <a:p>
                  <a:pPr>
                    <a:defRPr/>
                  </a:pPr>
                  <a:r>
                    <a:rPr lang="en-US"/>
                    <a:t>Meter</a:t>
                  </a:r>
                  <a:r>
                    <a:rPr lang="en-US" baseline="0"/>
                    <a:t> reads per day, </a:t>
                  </a:r>
                  <a:r>
                    <a:rPr lang="en-US"/>
                    <a:t>Millions</a:t>
                  </a:r>
                </a:p>
              </c:rich>
            </c:tx>
          </c:dispUnitsLbl>
        </c:dispUnits>
      </c:valAx>
    </c:plotArea>
    <c:legend>
      <c:legendPos val="b"/>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2.xml.rels><?xml version="1.0" encoding="UTF-8" standalone="yes"?>
<Relationships xmlns="http://schemas.openxmlformats.org/package/2006/relationships"><Relationship Id="rId3" Type="http://schemas.openxmlformats.org/officeDocument/2006/relationships/hyperlink" Target="#'1.1 Instructions'!A1"/><Relationship Id="rId2" Type="http://schemas.openxmlformats.org/officeDocument/2006/relationships/hyperlink" Target="#Contents!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114302</xdr:colOff>
      <xdr:row>93</xdr:row>
      <xdr:rowOff>104775</xdr:rowOff>
    </xdr:from>
    <xdr:to>
      <xdr:col>5</xdr:col>
      <xdr:colOff>762000</xdr:colOff>
      <xdr:row>115</xdr:row>
      <xdr:rowOff>114298</xdr:rowOff>
    </xdr:to>
    <xdr:graphicFrame macro="">
      <xdr:nvGraphicFramePr>
        <xdr:cNvPr id="2" name="Chart 1">
          <a:extLst>
            <a:ext uri="{FF2B5EF4-FFF2-40B4-BE49-F238E27FC236}">
              <a16:creationId xmlns:a16="http://schemas.microsoft.com/office/drawing/2014/main" id="{00000000-0008-0000-04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85724</xdr:colOff>
      <xdr:row>5</xdr:row>
      <xdr:rowOff>47625</xdr:rowOff>
    </xdr:from>
    <xdr:to>
      <xdr:col>9</xdr:col>
      <xdr:colOff>0</xdr:colOff>
      <xdr:row>8</xdr:row>
      <xdr:rowOff>57150</xdr:rowOff>
    </xdr:to>
    <xdr:sp macro="" textlink="">
      <xdr:nvSpPr>
        <xdr:cNvPr id="3" name="Rectangle 2">
          <a:extLst>
            <a:ext uri="{FF2B5EF4-FFF2-40B4-BE49-F238E27FC236}">
              <a16:creationId xmlns:a16="http://schemas.microsoft.com/office/drawing/2014/main" id="{00000000-0008-0000-0400-000003000000}"/>
            </a:ext>
          </a:extLst>
        </xdr:cNvPr>
        <xdr:cNvSpPr/>
      </xdr:nvSpPr>
      <xdr:spPr>
        <a:xfrm>
          <a:off x="85724" y="2819400"/>
          <a:ext cx="7267575" cy="4953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AU" sz="1000">
              <a:solidFill>
                <a:sysClr val="windowText" lastClr="000000"/>
              </a:solidFill>
            </a:rPr>
            <a:t>Starting 1 December 2022, all meters installed from 1 December 2018 will be required to provide 5-minute usage data. This will result in growth in need for data storage and manual meter read exceptions handling.</a:t>
          </a:r>
        </a:p>
        <a:p>
          <a:pPr algn="l"/>
          <a:endParaRPr lang="en-AU" sz="1000">
            <a:solidFill>
              <a:sysClr val="windowText" lastClr="000000"/>
            </a:solidFill>
          </a:endParaRP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104775</xdr:colOff>
      <xdr:row>6</xdr:row>
      <xdr:rowOff>133350</xdr:rowOff>
    </xdr:from>
    <xdr:to>
      <xdr:col>12</xdr:col>
      <xdr:colOff>304800</xdr:colOff>
      <xdr:row>8</xdr:row>
      <xdr:rowOff>114300</xdr:rowOff>
    </xdr:to>
    <xdr:sp macro="" textlink="">
      <xdr:nvSpPr>
        <xdr:cNvPr id="2" name="Rectangle 1">
          <a:extLst>
            <a:ext uri="{FF2B5EF4-FFF2-40B4-BE49-F238E27FC236}">
              <a16:creationId xmlns:a16="http://schemas.microsoft.com/office/drawing/2014/main" id="{22EFD9B9-CC97-4E1D-843A-A5DF421CE549}"/>
            </a:ext>
          </a:extLst>
        </xdr:cNvPr>
        <xdr:cNvSpPr/>
      </xdr:nvSpPr>
      <xdr:spPr>
        <a:xfrm>
          <a:off x="104775" y="1285875"/>
          <a:ext cx="7448550" cy="3048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AU" sz="1000">
              <a:solidFill>
                <a:sysClr val="windowText" lastClr="000000"/>
              </a:solidFill>
            </a:rPr>
            <a:t>On 30 April 2019, ESV communicated an increase in its levy to financial year ending June 2024</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85725</xdr:colOff>
      <xdr:row>6</xdr:row>
      <xdr:rowOff>66675</xdr:rowOff>
    </xdr:from>
    <xdr:to>
      <xdr:col>12</xdr:col>
      <xdr:colOff>285750</xdr:colOff>
      <xdr:row>10</xdr:row>
      <xdr:rowOff>9525</xdr:rowOff>
    </xdr:to>
    <xdr:sp macro="" textlink="">
      <xdr:nvSpPr>
        <xdr:cNvPr id="2" name="Rectangle 1">
          <a:extLst>
            <a:ext uri="{FF2B5EF4-FFF2-40B4-BE49-F238E27FC236}">
              <a16:creationId xmlns:a16="http://schemas.microsoft.com/office/drawing/2014/main" id="{2C3233A6-80EE-4D6A-B64E-601B5109B59B}"/>
            </a:ext>
          </a:extLst>
        </xdr:cNvPr>
        <xdr:cNvSpPr/>
      </xdr:nvSpPr>
      <xdr:spPr>
        <a:xfrm>
          <a:off x="85725" y="1198469"/>
          <a:ext cx="9433672" cy="57038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en-AU" sz="1000">
              <a:solidFill>
                <a:sysClr val="windowText" lastClr="000000"/>
              </a:solidFill>
              <a:effectLst/>
              <a:latin typeface="+mn-lt"/>
              <a:ea typeface="+mn-ea"/>
              <a:cs typeface="+mn-cs"/>
            </a:rPr>
            <a:t>The Victorian Government has changed the next Victorian distributors' regulatory period from calendar years to financial years. Consequently, fr</a:t>
          </a:r>
          <a:r>
            <a:rPr lang="en-AU" sz="1050">
              <a:solidFill>
                <a:sysClr val="windowText" lastClr="000000"/>
              </a:solidFill>
              <a:effectLst/>
              <a:latin typeface="+mn-lt"/>
              <a:ea typeface="+mn-ea"/>
              <a:cs typeface="+mn-cs"/>
            </a:rPr>
            <a:t>om 2021/22, we will be required to prepare and get audited a second set of financial accounts each year to enable population of the RINs on a financial year basis. The cost of preparing and auditing a second set of financial accounts is not reflected in our 2019 base operating expenditure. </a:t>
          </a:r>
          <a:endParaRPr lang="en-AU" sz="900">
            <a:solidFill>
              <a:sysClr val="windowText" lastClr="000000"/>
            </a:solidFill>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136072</xdr:colOff>
      <xdr:row>0</xdr:row>
      <xdr:rowOff>0</xdr:rowOff>
    </xdr:from>
    <xdr:to>
      <xdr:col>0</xdr:col>
      <xdr:colOff>681516</xdr:colOff>
      <xdr:row>4</xdr:row>
      <xdr:rowOff>5872</xdr:rowOff>
    </xdr:to>
    <xdr:sp macro="" textlink="">
      <xdr:nvSpPr>
        <xdr:cNvPr id="7" name="Rectangle 3">
          <a:extLst>
            <a:ext uri="{FF2B5EF4-FFF2-40B4-BE49-F238E27FC236}">
              <a16:creationId xmlns:a16="http://schemas.microsoft.com/office/drawing/2014/main" id="{00000000-0008-0000-1100-000007000000}"/>
            </a:ext>
          </a:extLst>
        </xdr:cNvPr>
        <xdr:cNvSpPr>
          <a:spLocks noChangeArrowheads="1"/>
        </xdr:cNvSpPr>
      </xdr:nvSpPr>
      <xdr:spPr bwMode="auto">
        <a:xfrm>
          <a:off x="136072" y="0"/>
          <a:ext cx="545444" cy="1263172"/>
        </a:xfrm>
        <a:prstGeom prst="rect">
          <a:avLst/>
        </a:prstGeom>
        <a:solidFill>
          <a:srgbClr val="FFFFCC">
            <a:alpha val="89803"/>
          </a:srgbClr>
        </a:solidFill>
        <a:ln w="25400" algn="ctr">
          <a:solidFill>
            <a:srgbClr val="000080"/>
          </a:solidFill>
          <a:miter lim="800000"/>
          <a:headEnd/>
          <a:tailEnd/>
        </a:ln>
      </xdr:spPr>
    </xdr:sp>
    <xdr:clientData/>
  </xdr:twoCellAnchor>
  <xdr:twoCellAnchor>
    <xdr:from>
      <xdr:col>0</xdr:col>
      <xdr:colOff>136072</xdr:colOff>
      <xdr:row>0</xdr:row>
      <xdr:rowOff>0</xdr:rowOff>
    </xdr:from>
    <xdr:to>
      <xdr:col>0</xdr:col>
      <xdr:colOff>681516</xdr:colOff>
      <xdr:row>1</xdr:row>
      <xdr:rowOff>271674</xdr:rowOff>
    </xdr:to>
    <xdr:pic>
      <xdr:nvPicPr>
        <xdr:cNvPr id="8" name="Picture 4" descr="item">
          <a:extLst>
            <a:ext uri="{FF2B5EF4-FFF2-40B4-BE49-F238E27FC236}">
              <a16:creationId xmlns:a16="http://schemas.microsoft.com/office/drawing/2014/main" id="{00000000-0008-0000-11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72" y="0"/>
          <a:ext cx="545444" cy="6050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152225</xdr:colOff>
      <xdr:row>2</xdr:row>
      <xdr:rowOff>10849</xdr:rowOff>
    </xdr:from>
    <xdr:to>
      <xdr:col>0</xdr:col>
      <xdr:colOff>659293</xdr:colOff>
      <xdr:row>2</xdr:row>
      <xdr:rowOff>264247</xdr:rowOff>
    </xdr:to>
    <xdr:sp macro="" textlink="">
      <xdr:nvSpPr>
        <xdr:cNvPr id="5" name="AutoShape 5">
          <a:hlinkClick xmlns:r="http://schemas.openxmlformats.org/officeDocument/2006/relationships" r:id="rId2"/>
          <a:extLst>
            <a:ext uri="{FF2B5EF4-FFF2-40B4-BE49-F238E27FC236}">
              <a16:creationId xmlns:a16="http://schemas.microsoft.com/office/drawing/2014/main" id="{00000000-0008-0000-1100-000005000000}"/>
            </a:ext>
          </a:extLst>
        </xdr:cNvPr>
        <xdr:cNvSpPr>
          <a:spLocks noChangeArrowheads="1"/>
        </xdr:cNvSpPr>
      </xdr:nvSpPr>
      <xdr:spPr bwMode="auto">
        <a:xfrm>
          <a:off x="152225" y="677599"/>
          <a:ext cx="507068" cy="253398"/>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algn="ctr" rtl="0">
            <a:defRPr sz="1000"/>
          </a:pPr>
          <a:r>
            <a:rPr lang="en-AU" sz="700" b="1" i="0" u="none" strike="noStrike" baseline="0">
              <a:solidFill>
                <a:srgbClr val="000080"/>
              </a:solidFill>
              <a:latin typeface="Arial"/>
              <a:cs typeface="Arial"/>
            </a:rPr>
            <a:t>Contents</a:t>
          </a:r>
        </a:p>
      </xdr:txBody>
    </xdr:sp>
    <xdr:clientData/>
  </xdr:twoCellAnchor>
  <xdr:twoCellAnchor>
    <xdr:from>
      <xdr:col>0</xdr:col>
      <xdr:colOff>153271</xdr:colOff>
      <xdr:row>2</xdr:row>
      <xdr:rowOff>294929</xdr:rowOff>
    </xdr:from>
    <xdr:to>
      <xdr:col>0</xdr:col>
      <xdr:colOff>660339</xdr:colOff>
      <xdr:row>3</xdr:row>
      <xdr:rowOff>214952</xdr:rowOff>
    </xdr:to>
    <xdr:sp macro="" textlink="">
      <xdr:nvSpPr>
        <xdr:cNvPr id="6" name="AutoShape 6">
          <a:hlinkClick xmlns:r="http://schemas.openxmlformats.org/officeDocument/2006/relationships" r:id="rId3"/>
          <a:extLst>
            <a:ext uri="{FF2B5EF4-FFF2-40B4-BE49-F238E27FC236}">
              <a16:creationId xmlns:a16="http://schemas.microsoft.com/office/drawing/2014/main" id="{00000000-0008-0000-1100-000006000000}"/>
            </a:ext>
          </a:extLst>
        </xdr:cNvPr>
        <xdr:cNvSpPr>
          <a:spLocks noChangeArrowheads="1"/>
        </xdr:cNvSpPr>
      </xdr:nvSpPr>
      <xdr:spPr bwMode="auto">
        <a:xfrm>
          <a:off x="153271" y="961679"/>
          <a:ext cx="507068" cy="253398"/>
        </a:xfrm>
        <a:prstGeom prst="bevel">
          <a:avLst>
            <a:gd name="adj" fmla="val 12500"/>
          </a:avLst>
        </a:prstGeom>
        <a:solidFill>
          <a:srgbClr val="C0C0C0">
            <a:alpha val="89999"/>
          </a:srgbClr>
        </a:solidFill>
        <a:ln w="9525">
          <a:noFill/>
          <a:miter lim="800000"/>
          <a:headEnd/>
          <a:tailEnd/>
        </a:ln>
        <a:effectLst/>
      </xdr:spPr>
      <xdr:txBody>
        <a:bodyPr vertOverflow="clip" wrap="square" lIns="27432" tIns="18288" rIns="27432" bIns="18288" anchor="ctr" upright="1"/>
        <a:lstStyle/>
        <a:p>
          <a:pPr algn="ctr" rtl="0">
            <a:defRPr sz="1000"/>
          </a:pPr>
          <a:r>
            <a:rPr lang="en-AU" sz="700" b="1" i="0" u="none" strike="noStrike" baseline="0">
              <a:solidFill>
                <a:srgbClr val="000080"/>
              </a:solidFill>
              <a:latin typeface="Arial"/>
              <a:cs typeface="Arial"/>
            </a:rPr>
            <a:t>Instructions</a:t>
          </a:r>
        </a:p>
      </xdr:txBody>
    </xdr:sp>
    <xdr:clientData/>
  </xdr:twoCellAnchor>
  <xdr:twoCellAnchor>
    <xdr:from>
      <xdr:col>5</xdr:col>
      <xdr:colOff>0</xdr:colOff>
      <xdr:row>0</xdr:row>
      <xdr:rowOff>84134</xdr:rowOff>
    </xdr:from>
    <xdr:to>
      <xdr:col>6</xdr:col>
      <xdr:colOff>643046</xdr:colOff>
      <xdr:row>1</xdr:row>
      <xdr:rowOff>181428</xdr:rowOff>
    </xdr:to>
    <xdr:sp macro="" textlink="">
      <xdr:nvSpPr>
        <xdr:cNvPr id="17" name="Rounded Rectangle 26">
          <a:extLst>
            <a:ext uri="{FF2B5EF4-FFF2-40B4-BE49-F238E27FC236}">
              <a16:creationId xmlns:a16="http://schemas.microsoft.com/office/drawing/2014/main" id="{00000000-0008-0000-1100-000011000000}"/>
            </a:ext>
          </a:extLst>
        </xdr:cNvPr>
        <xdr:cNvSpPr/>
      </xdr:nvSpPr>
      <xdr:spPr>
        <a:xfrm>
          <a:off x="9896475" y="84134"/>
          <a:ext cx="1747946" cy="430669"/>
        </a:xfrm>
        <a:prstGeom prst="roundRect">
          <a:avLst/>
        </a:prstGeom>
        <a:ln>
          <a:solidFill>
            <a:schemeClr val="accent6">
              <a:lumMod val="75000"/>
            </a:schemeClr>
          </a:solidFill>
        </a:ln>
      </xdr:spPr>
      <xdr:style>
        <a:lnRef idx="1">
          <a:schemeClr val="accent2"/>
        </a:lnRef>
        <a:fillRef idx="2">
          <a:schemeClr val="accent2"/>
        </a:fillRef>
        <a:effectRef idx="1">
          <a:schemeClr val="accent2"/>
        </a:effectRef>
        <a:fontRef idx="minor">
          <a:schemeClr val="dk1"/>
        </a:fontRef>
      </xdr:style>
      <xdr:txBody>
        <a:bodyPr vertOverflow="clip" horzOverflow="clip" rtlCol="0" anchor="ctr"/>
        <a:lstStyle/>
        <a:p>
          <a:pPr algn="ctr"/>
          <a:r>
            <a:rPr lang="en-AU" sz="1000" b="1">
              <a:solidFill>
                <a:srgbClr val="FF0000"/>
              </a:solidFill>
              <a:latin typeface="Calibri" panose="020F0502020204030204" pitchFamily="34" charset="0"/>
              <a:cs typeface="Calibri" panose="020F0502020204030204" pitchFamily="34" charset="0"/>
            </a:rPr>
            <a:t>Mark selection</a:t>
          </a:r>
          <a:r>
            <a:rPr lang="en-AU" sz="1000" b="1" baseline="0">
              <a:solidFill>
                <a:srgbClr val="FF0000"/>
              </a:solidFill>
              <a:latin typeface="Calibri" panose="020F0502020204030204" pitchFamily="34" charset="0"/>
              <a:cs typeface="Calibri" panose="020F0502020204030204" pitchFamily="34" charset="0"/>
            </a:rPr>
            <a:t> CONFIDENTIAL</a:t>
          </a:r>
          <a:endParaRPr lang="en-AU" sz="1000" b="1">
            <a:solidFill>
              <a:srgbClr val="FF0000"/>
            </a:solidFill>
            <a:latin typeface="Calibri" panose="020F0502020204030204" pitchFamily="34" charset="0"/>
            <a:cs typeface="Calibri" panose="020F0502020204030204" pitchFamily="34" charset="0"/>
          </a:endParaRPr>
        </a:p>
      </xdr:txBody>
    </xdr:sp>
    <xdr:clientData/>
  </xdr:twoCellAnchor>
  <xdr:twoCellAnchor>
    <xdr:from>
      <xdr:col>5</xdr:col>
      <xdr:colOff>3</xdr:colOff>
      <xdr:row>1</xdr:row>
      <xdr:rowOff>226239</xdr:rowOff>
    </xdr:from>
    <xdr:to>
      <xdr:col>6</xdr:col>
      <xdr:colOff>652420</xdr:colOff>
      <xdr:row>2</xdr:row>
      <xdr:rowOff>293996</xdr:rowOff>
    </xdr:to>
    <xdr:sp macro="" textlink="">
      <xdr:nvSpPr>
        <xdr:cNvPr id="18" name="Rounded Rectangle 27">
          <a:extLst>
            <a:ext uri="{FF2B5EF4-FFF2-40B4-BE49-F238E27FC236}">
              <a16:creationId xmlns:a16="http://schemas.microsoft.com/office/drawing/2014/main" id="{00000000-0008-0000-1100-000012000000}"/>
            </a:ext>
          </a:extLst>
        </xdr:cNvPr>
        <xdr:cNvSpPr/>
      </xdr:nvSpPr>
      <xdr:spPr>
        <a:xfrm>
          <a:off x="9896478" y="559614"/>
          <a:ext cx="1757317" cy="401132"/>
        </a:xfrm>
        <a:prstGeom prst="roundRect">
          <a:avLst/>
        </a:prstGeom>
        <a:solidFill>
          <a:srgbClr val="FFFFCC"/>
        </a:solidFill>
        <a:ln>
          <a:solidFill>
            <a:schemeClr val="accent6">
              <a:lumMod val="75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1000" b="1">
              <a:solidFill>
                <a:sysClr val="windowText" lastClr="000000"/>
              </a:solidFill>
            </a:rPr>
            <a:t>Return</a:t>
          </a:r>
          <a:r>
            <a:rPr lang="en-AU" sz="1000" b="1" baseline="0">
              <a:solidFill>
                <a:sysClr val="windowText" lastClr="000000"/>
              </a:solidFill>
            </a:rPr>
            <a:t> selection to </a:t>
          </a:r>
        </a:p>
        <a:p>
          <a:pPr algn="ctr"/>
          <a:r>
            <a:rPr lang="en-AU" sz="1000" b="1" baseline="0">
              <a:solidFill>
                <a:sysClr val="windowText" lastClr="000000"/>
              </a:solidFill>
            </a:rPr>
            <a:t>NON-CONFIDENTIAL</a:t>
          </a:r>
          <a:endParaRPr lang="en-AU" sz="1000" b="1">
            <a:solidFill>
              <a:sysClr val="windowText" lastClr="000000"/>
            </a:solidFill>
          </a:endParaRPr>
        </a:p>
      </xdr:txBody>
    </xdr:sp>
    <xdr:clientData/>
  </xdr:twoCellAnchor>
  <xdr:twoCellAnchor>
    <xdr:from>
      <xdr:col>7</xdr:col>
      <xdr:colOff>586173</xdr:colOff>
      <xdr:row>0</xdr:row>
      <xdr:rowOff>68035</xdr:rowOff>
    </xdr:from>
    <xdr:to>
      <xdr:col>10</xdr:col>
      <xdr:colOff>462085</xdr:colOff>
      <xdr:row>3</xdr:row>
      <xdr:rowOff>1372</xdr:rowOff>
    </xdr:to>
    <xdr:sp macro="" textlink="">
      <xdr:nvSpPr>
        <xdr:cNvPr id="12" name="Rounded Rectangle 21">
          <a:extLst>
            <a:ext uri="{FF2B5EF4-FFF2-40B4-BE49-F238E27FC236}">
              <a16:creationId xmlns:a16="http://schemas.microsoft.com/office/drawing/2014/main" id="{00000000-0008-0000-1100-00000C000000}"/>
            </a:ext>
          </a:extLst>
        </xdr:cNvPr>
        <xdr:cNvSpPr/>
      </xdr:nvSpPr>
      <xdr:spPr>
        <a:xfrm>
          <a:off x="12692448" y="68035"/>
          <a:ext cx="3190612" cy="933462"/>
        </a:xfrm>
        <a:prstGeom prst="roundRect">
          <a:avLst/>
        </a:prstGeom>
        <a:ln w="3175">
          <a:solidFill>
            <a:schemeClr val="bg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ctr"/>
          <a:endParaRPr lang="en-AU" sz="1100" b="1">
            <a:solidFill>
              <a:schemeClr val="bg1"/>
            </a:solidFill>
          </a:endParaRPr>
        </a:p>
      </xdr:txBody>
    </xdr:sp>
    <xdr:clientData/>
  </xdr:twoCellAnchor>
  <xdr:twoCellAnchor>
    <xdr:from>
      <xdr:col>8</xdr:col>
      <xdr:colOff>950891</xdr:colOff>
      <xdr:row>1</xdr:row>
      <xdr:rowOff>201704</xdr:rowOff>
    </xdr:from>
    <xdr:to>
      <xdr:col>10</xdr:col>
      <xdr:colOff>300100</xdr:colOff>
      <xdr:row>2</xdr:row>
      <xdr:rowOff>305182</xdr:rowOff>
    </xdr:to>
    <xdr:sp macro="" textlink="">
      <xdr:nvSpPr>
        <xdr:cNvPr id="15" name="Rounded Rectangle 24">
          <a:extLst>
            <a:ext uri="{FF2B5EF4-FFF2-40B4-BE49-F238E27FC236}">
              <a16:creationId xmlns:a16="http://schemas.microsoft.com/office/drawing/2014/main" id="{00000000-0008-0000-1100-00000F000000}"/>
            </a:ext>
          </a:extLst>
        </xdr:cNvPr>
        <xdr:cNvSpPr/>
      </xdr:nvSpPr>
      <xdr:spPr>
        <a:xfrm>
          <a:off x="14162066" y="535079"/>
          <a:ext cx="1559009" cy="436853"/>
        </a:xfrm>
        <a:prstGeom prst="roundRect">
          <a:avLst/>
        </a:prstGeom>
        <a:solidFill>
          <a:srgbClr val="FFFFCC"/>
        </a:solidFill>
        <a:ln>
          <a:solidFill>
            <a:schemeClr val="tx1"/>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Return</a:t>
          </a:r>
          <a:r>
            <a:rPr lang="en-AU" sz="950" b="1" baseline="0">
              <a:solidFill>
                <a:sysClr val="windowText" lastClr="000000"/>
              </a:solidFill>
              <a:latin typeface="+mn-lt"/>
            </a:rPr>
            <a:t> selection to NON-AMENDED</a:t>
          </a:r>
          <a:endParaRPr lang="en-AU" sz="950" b="1">
            <a:solidFill>
              <a:sysClr val="windowText" lastClr="000000"/>
            </a:solidFill>
            <a:latin typeface="+mn-lt"/>
          </a:endParaRPr>
        </a:p>
      </xdr:txBody>
    </xdr:sp>
    <xdr:clientData/>
  </xdr:twoCellAnchor>
  <xdr:twoCellAnchor>
    <xdr:from>
      <xdr:col>8</xdr:col>
      <xdr:colOff>944105</xdr:colOff>
      <xdr:row>0</xdr:row>
      <xdr:rowOff>96749</xdr:rowOff>
    </xdr:from>
    <xdr:to>
      <xdr:col>10</xdr:col>
      <xdr:colOff>310114</xdr:colOff>
      <xdr:row>1</xdr:row>
      <xdr:rowOff>184622</xdr:rowOff>
    </xdr:to>
    <xdr:sp macro="" textlink="">
      <xdr:nvSpPr>
        <xdr:cNvPr id="16" name="Rounded Rectangle 25">
          <a:extLst>
            <a:ext uri="{FF2B5EF4-FFF2-40B4-BE49-F238E27FC236}">
              <a16:creationId xmlns:a16="http://schemas.microsoft.com/office/drawing/2014/main" id="{00000000-0008-0000-1100-000010000000}"/>
            </a:ext>
          </a:extLst>
        </xdr:cNvPr>
        <xdr:cNvSpPr/>
      </xdr:nvSpPr>
      <xdr:spPr>
        <a:xfrm>
          <a:off x="14155280" y="96749"/>
          <a:ext cx="1575809" cy="421248"/>
        </a:xfrm>
        <a:prstGeom prst="roundRect">
          <a:avLst/>
        </a:prstGeom>
        <a:pattFill prst="pct30">
          <a:fgClr>
            <a:schemeClr val="tx2">
              <a:lumMod val="60000"/>
              <a:lumOff val="40000"/>
            </a:schemeClr>
          </a:fgClr>
          <a:bgClr>
            <a:schemeClr val="bg1"/>
          </a:bgClr>
        </a:pattFill>
        <a:ln>
          <a:solidFill>
            <a:schemeClr val="accent4">
              <a:lumMod val="50000"/>
            </a:schemeClr>
          </a:solidFill>
        </a:ln>
      </xdr:spPr>
      <xdr:style>
        <a:lnRef idx="1">
          <a:schemeClr val="accent6"/>
        </a:lnRef>
        <a:fillRef idx="2">
          <a:schemeClr val="accent6"/>
        </a:fillRef>
        <a:effectRef idx="1">
          <a:schemeClr val="accent6"/>
        </a:effectRef>
        <a:fontRef idx="minor">
          <a:schemeClr val="dk1"/>
        </a:fontRef>
      </xdr:style>
      <xdr:txBody>
        <a:bodyPr vertOverflow="clip" horzOverflow="clip" rtlCol="0" anchor="ctr"/>
        <a:lstStyle/>
        <a:p>
          <a:pPr algn="ctr"/>
          <a:r>
            <a:rPr lang="en-AU" sz="950" b="1">
              <a:solidFill>
                <a:sysClr val="windowText" lastClr="000000"/>
              </a:solidFill>
              <a:latin typeface="+mn-lt"/>
            </a:rPr>
            <a:t>Mark selection</a:t>
          </a:r>
          <a:r>
            <a:rPr lang="en-AU" sz="950" b="1" baseline="0">
              <a:solidFill>
                <a:sysClr val="windowText" lastClr="000000"/>
              </a:solidFill>
              <a:latin typeface="+mn-lt"/>
            </a:rPr>
            <a:t> as </a:t>
          </a:r>
          <a:r>
            <a:rPr lang="en-AU" sz="950" b="1">
              <a:solidFill>
                <a:sysClr val="windowText" lastClr="000000"/>
              </a:solidFill>
              <a:latin typeface="+mn-lt"/>
            </a:rPr>
            <a:t>AMENDED</a:t>
          </a:r>
        </a:p>
      </xdr:txBody>
    </xdr:sp>
    <xdr:clientData/>
  </xdr:twoCellAnchor>
  <xdr:twoCellAnchor>
    <xdr:from>
      <xdr:col>7</xdr:col>
      <xdr:colOff>800399</xdr:colOff>
      <xdr:row>0</xdr:row>
      <xdr:rowOff>125248</xdr:rowOff>
    </xdr:from>
    <xdr:to>
      <xdr:col>8</xdr:col>
      <xdr:colOff>799370</xdr:colOff>
      <xdr:row>2</xdr:row>
      <xdr:rowOff>275125</xdr:rowOff>
    </xdr:to>
    <xdr:sp macro="" textlink="">
      <xdr:nvSpPr>
        <xdr:cNvPr id="14" name="Rounded Rectangle 23">
          <a:extLst>
            <a:ext uri="{FF2B5EF4-FFF2-40B4-BE49-F238E27FC236}">
              <a16:creationId xmlns:a16="http://schemas.microsoft.com/office/drawing/2014/main" id="{00000000-0008-0000-1100-00000E000000}"/>
            </a:ext>
          </a:extLst>
        </xdr:cNvPr>
        <xdr:cNvSpPr/>
      </xdr:nvSpPr>
      <xdr:spPr>
        <a:xfrm>
          <a:off x="12906674" y="125248"/>
          <a:ext cx="1103871" cy="816627"/>
        </a:xfrm>
        <a:prstGeom prst="roundRect">
          <a:avLst/>
        </a:prstGeom>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r"/>
          <a:r>
            <a:rPr lang="en-AU" sz="1100" b="1">
              <a:solidFill>
                <a:schemeClr val="bg1"/>
              </a:solidFill>
            </a:rPr>
            <a:t>FOR AMENDED SUBMISSIONS</a:t>
          </a:r>
          <a:r>
            <a:rPr lang="en-AU" sz="1100" b="1" baseline="0">
              <a:solidFill>
                <a:schemeClr val="bg1"/>
              </a:solidFill>
            </a:rPr>
            <a:t> ONLY</a:t>
          </a:r>
          <a:endParaRPr lang="en-AU" sz="1100" b="1">
            <a:solidFill>
              <a:schemeClr val="bg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127187</xdr:colOff>
      <xdr:row>5</xdr:row>
      <xdr:rowOff>141755</xdr:rowOff>
    </xdr:from>
    <xdr:to>
      <xdr:col>9</xdr:col>
      <xdr:colOff>22412</xdr:colOff>
      <xdr:row>10</xdr:row>
      <xdr:rowOff>80122</xdr:rowOff>
    </xdr:to>
    <xdr:sp macro="" textlink="">
      <xdr:nvSpPr>
        <xdr:cNvPr id="2" name="Rectangle 1">
          <a:extLst>
            <a:ext uri="{FF2B5EF4-FFF2-40B4-BE49-F238E27FC236}">
              <a16:creationId xmlns:a16="http://schemas.microsoft.com/office/drawing/2014/main" id="{00000000-0008-0000-0500-000002000000}"/>
            </a:ext>
          </a:extLst>
        </xdr:cNvPr>
        <xdr:cNvSpPr/>
      </xdr:nvSpPr>
      <xdr:spPr>
        <a:xfrm>
          <a:off x="127187" y="1141880"/>
          <a:ext cx="9598819" cy="77180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AU" sz="1000">
              <a:solidFill>
                <a:sysClr val="windowText" lastClr="000000"/>
              </a:solidFill>
            </a:rPr>
            <a:t>The critical infrastructure system and data control requirements are new 'regulatory obligations or requirements' (within the meaning given to that term by the National Electricity Law) associated with the provision of standard control services. Compliance with those requirements is required in order to achieve the operating expenditure objective set out in clause 6.5.6(a)(2) of the National Electricity Rules or, in the alternative, clause 6.5.6(a)(1), (a)(3) and/or (a)(4) of the Rules.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85725</xdr:colOff>
      <xdr:row>5</xdr:row>
      <xdr:rowOff>66675</xdr:rowOff>
    </xdr:from>
    <xdr:to>
      <xdr:col>9</xdr:col>
      <xdr:colOff>323850</xdr:colOff>
      <xdr:row>8</xdr:row>
      <xdr:rowOff>47625</xdr:rowOff>
    </xdr:to>
    <xdr:sp macro="" textlink="">
      <xdr:nvSpPr>
        <xdr:cNvPr id="2" name="Rectangle 1">
          <a:extLst>
            <a:ext uri="{FF2B5EF4-FFF2-40B4-BE49-F238E27FC236}">
              <a16:creationId xmlns:a16="http://schemas.microsoft.com/office/drawing/2014/main" id="{00000000-0008-0000-0600-000002000000}"/>
            </a:ext>
          </a:extLst>
        </xdr:cNvPr>
        <xdr:cNvSpPr/>
      </xdr:nvSpPr>
      <xdr:spPr>
        <a:xfrm>
          <a:off x="85725" y="1057275"/>
          <a:ext cx="6848475" cy="4667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lang="en-AU" sz="1000">
              <a:solidFill>
                <a:sysClr val="windowText" lastClr="000000"/>
              </a:solidFill>
              <a:effectLst/>
              <a:latin typeface="+mn-lt"/>
              <a:ea typeface="+mn-ea"/>
              <a:cs typeface="+mn-cs"/>
            </a:rPr>
            <a:t>Reduce the risk of EDO fuses starting a bushfire as far as practicable, in accordance with the Electricity Safety Act 1998, by </a:t>
          </a:r>
          <a:r>
            <a:rPr lang="en-AU" sz="1000">
              <a:solidFill>
                <a:sysClr val="windowText" lastClr="000000"/>
              </a:solidFill>
            </a:rPr>
            <a:t>proactively replacing EDO fuses in electric line construction areas (</a:t>
          </a:r>
          <a:r>
            <a:rPr lang="en-AU" sz="1000" b="1">
              <a:solidFill>
                <a:sysClr val="windowText" lastClr="000000"/>
              </a:solidFill>
            </a:rPr>
            <a:t>ELCA</a:t>
          </a:r>
          <a:r>
            <a:rPr lang="en-AU" sz="1000">
              <a:solidFill>
                <a:sysClr val="windowText" lastClr="000000"/>
              </a:solidFill>
            </a:rPr>
            <a:t>) and replacing EDO fuses in HBRAs as part of maintenance, with fault tamers.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95250</xdr:colOff>
      <xdr:row>5</xdr:row>
      <xdr:rowOff>61912</xdr:rowOff>
    </xdr:from>
    <xdr:to>
      <xdr:col>10</xdr:col>
      <xdr:colOff>66675</xdr:colOff>
      <xdr:row>8</xdr:row>
      <xdr:rowOff>42862</xdr:rowOff>
    </xdr:to>
    <xdr:sp macro="" textlink="">
      <xdr:nvSpPr>
        <xdr:cNvPr id="2" name="Rectangle 1">
          <a:extLst>
            <a:ext uri="{FF2B5EF4-FFF2-40B4-BE49-F238E27FC236}">
              <a16:creationId xmlns:a16="http://schemas.microsoft.com/office/drawing/2014/main" id="{00000000-0008-0000-0800-000002000000}"/>
            </a:ext>
          </a:extLst>
        </xdr:cNvPr>
        <xdr:cNvSpPr/>
      </xdr:nvSpPr>
      <xdr:spPr>
        <a:xfrm>
          <a:off x="95250" y="1062037"/>
          <a:ext cx="10413206" cy="481013"/>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AU" sz="1000">
              <a:solidFill>
                <a:sysClr val="windowText" lastClr="000000"/>
              </a:solidFill>
            </a:rPr>
            <a:t>There is an opportunity to increase customer benefits by allowing more solar on the network. This will result in material changes in operating expenditure.</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85725</xdr:colOff>
      <xdr:row>5</xdr:row>
      <xdr:rowOff>57150</xdr:rowOff>
    </xdr:from>
    <xdr:to>
      <xdr:col>8</xdr:col>
      <xdr:colOff>0</xdr:colOff>
      <xdr:row>8</xdr:row>
      <xdr:rowOff>38100</xdr:rowOff>
    </xdr:to>
    <xdr:sp macro="" textlink="">
      <xdr:nvSpPr>
        <xdr:cNvPr id="2" name="Rectangle 1">
          <a:extLst>
            <a:ext uri="{FF2B5EF4-FFF2-40B4-BE49-F238E27FC236}">
              <a16:creationId xmlns:a16="http://schemas.microsoft.com/office/drawing/2014/main" id="{00000000-0008-0000-0900-000002000000}"/>
            </a:ext>
          </a:extLst>
        </xdr:cNvPr>
        <xdr:cNvSpPr/>
      </xdr:nvSpPr>
      <xdr:spPr>
        <a:xfrm>
          <a:off x="85725" y="2095500"/>
          <a:ext cx="7267575" cy="4667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AU" sz="1000">
              <a:solidFill>
                <a:sysClr val="windowText" lastClr="000000"/>
              </a:solidFill>
            </a:rPr>
            <a:t>To ensure compliance with the Amended Bushfire Mitigation Regulations, we will incur</a:t>
          </a:r>
          <a:r>
            <a:rPr lang="en-AU" sz="1000" baseline="0">
              <a:solidFill>
                <a:sysClr val="windowText" lastClr="000000"/>
              </a:solidFill>
            </a:rPr>
            <a:t> </a:t>
          </a:r>
          <a:r>
            <a:rPr lang="en-AU" sz="1000">
              <a:solidFill>
                <a:sysClr val="windowText" lastClr="000000"/>
              </a:solidFill>
            </a:rPr>
            <a:t>ongoing operating expenditure associated with re-balancing works, compliance testing and technical support for Rapid Earth Fault Current Limiters (</a:t>
          </a:r>
          <a:r>
            <a:rPr lang="en-AU" sz="1000" b="1">
              <a:solidFill>
                <a:sysClr val="windowText" lastClr="000000"/>
              </a:solidFill>
            </a:rPr>
            <a:t>REFCL</a:t>
          </a:r>
          <a:r>
            <a:rPr lang="en-AU" sz="1000">
              <a:solidFill>
                <a:sysClr val="windowText" lastClr="000000"/>
              </a:solidFill>
            </a:rPr>
            <a:t>)  which is incremental</a:t>
          </a:r>
          <a:r>
            <a:rPr lang="en-AU" sz="1000" baseline="0">
              <a:solidFill>
                <a:sysClr val="windowText" lastClr="000000"/>
              </a:solidFill>
            </a:rPr>
            <a:t> to our base operating expenditure.</a:t>
          </a:r>
          <a:endParaRPr lang="en-AU" sz="1000">
            <a:solidFill>
              <a:sysClr val="windowText" lastClr="00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219075</xdr:colOff>
      <xdr:row>5</xdr:row>
      <xdr:rowOff>47625</xdr:rowOff>
    </xdr:from>
    <xdr:to>
      <xdr:col>8</xdr:col>
      <xdr:colOff>400050</xdr:colOff>
      <xdr:row>8</xdr:row>
      <xdr:rowOff>28575</xdr:rowOff>
    </xdr:to>
    <xdr:sp macro="" textlink="">
      <xdr:nvSpPr>
        <xdr:cNvPr id="2" name="Rectangle 1">
          <a:extLst>
            <a:ext uri="{FF2B5EF4-FFF2-40B4-BE49-F238E27FC236}">
              <a16:creationId xmlns:a16="http://schemas.microsoft.com/office/drawing/2014/main" id="{00000000-0008-0000-0A00-000002000000}"/>
            </a:ext>
          </a:extLst>
        </xdr:cNvPr>
        <xdr:cNvSpPr/>
      </xdr:nvSpPr>
      <xdr:spPr>
        <a:xfrm>
          <a:off x="219075" y="2009775"/>
          <a:ext cx="7267575" cy="4667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AU" sz="1000">
              <a:solidFill>
                <a:sysClr val="windowText" lastClr="000000"/>
              </a:solidFill>
            </a:rPr>
            <a:t>From 1 November 2021, CFA is expected to reclassify an area of Northern Victoria ("Food Belt") from low bushfire rated area (</a:t>
          </a:r>
          <a:r>
            <a:rPr lang="en-AU" sz="1000" b="1">
              <a:solidFill>
                <a:sysClr val="windowText" lastClr="000000"/>
              </a:solidFill>
            </a:rPr>
            <a:t>LBRA</a:t>
          </a:r>
          <a:r>
            <a:rPr lang="en-AU" sz="1000">
              <a:solidFill>
                <a:sysClr val="windowText" lastClr="000000"/>
              </a:solidFill>
            </a:rPr>
            <a:t>) to high bushfire rated area (</a:t>
          </a:r>
          <a:r>
            <a:rPr lang="en-AU" sz="1000" b="1">
              <a:solidFill>
                <a:sysClr val="windowText" lastClr="000000"/>
              </a:solidFill>
            </a:rPr>
            <a:t>HBRA</a:t>
          </a:r>
          <a:r>
            <a:rPr lang="en-AU" sz="1000">
              <a:solidFill>
                <a:sysClr val="windowText" lastClr="000000"/>
              </a:solidFill>
            </a:rPr>
            <a:t>), which will result in a material increase in on-going operating expenditure.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95250</xdr:colOff>
      <xdr:row>5</xdr:row>
      <xdr:rowOff>47625</xdr:rowOff>
    </xdr:from>
    <xdr:to>
      <xdr:col>9</xdr:col>
      <xdr:colOff>133350</xdr:colOff>
      <xdr:row>8</xdr:row>
      <xdr:rowOff>28575</xdr:rowOff>
    </xdr:to>
    <xdr:sp macro="" textlink="">
      <xdr:nvSpPr>
        <xdr:cNvPr id="2" name="Rectangle 1">
          <a:extLst>
            <a:ext uri="{FF2B5EF4-FFF2-40B4-BE49-F238E27FC236}">
              <a16:creationId xmlns:a16="http://schemas.microsoft.com/office/drawing/2014/main" id="{00000000-0008-0000-0B00-000002000000}"/>
            </a:ext>
          </a:extLst>
        </xdr:cNvPr>
        <xdr:cNvSpPr/>
      </xdr:nvSpPr>
      <xdr:spPr>
        <a:xfrm>
          <a:off x="95250" y="1847850"/>
          <a:ext cx="7267575" cy="4667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en-AU" sz="1000">
              <a:solidFill>
                <a:sysClr val="windowText" lastClr="000000"/>
              </a:solidFill>
              <a:effectLst/>
              <a:latin typeface="+mn-lt"/>
              <a:ea typeface="+mn-ea"/>
              <a:cs typeface="+mn-cs"/>
            </a:rPr>
            <a:t>There is an opportunity to reduce</a:t>
          </a:r>
          <a:r>
            <a:rPr lang="en-AU" sz="1000" baseline="0">
              <a:solidFill>
                <a:sysClr val="windowText" lastClr="000000"/>
              </a:solidFill>
              <a:effectLst/>
              <a:latin typeface="+mn-lt"/>
              <a:ea typeface="+mn-ea"/>
              <a:cs typeface="+mn-cs"/>
            </a:rPr>
            <a:t> costs and deliver </a:t>
          </a:r>
          <a:r>
            <a:rPr lang="en-AU" sz="1000">
              <a:solidFill>
                <a:sysClr val="windowText" lastClr="000000"/>
              </a:solidFill>
              <a:effectLst/>
              <a:latin typeface="+mn-lt"/>
              <a:ea typeface="+mn-ea"/>
              <a:cs typeface="+mn-cs"/>
            </a:rPr>
            <a:t>customer benefits by migrating some IT infrastcuture from on-premise to cloud-hosting.</a:t>
          </a:r>
          <a:endParaRPr lang="en-AU" sz="800">
            <a:solidFill>
              <a:sysClr val="windowText" lastClr="000000"/>
            </a:solidFill>
            <a:effectLst/>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0</xdr:colOff>
      <xdr:row>6</xdr:row>
      <xdr:rowOff>11198</xdr:rowOff>
    </xdr:from>
    <xdr:to>
      <xdr:col>7</xdr:col>
      <xdr:colOff>61632</xdr:colOff>
      <xdr:row>10</xdr:row>
      <xdr:rowOff>42016</xdr:rowOff>
    </xdr:to>
    <xdr:sp macro="" textlink="">
      <xdr:nvSpPr>
        <xdr:cNvPr id="3" name="Rectangle 2">
          <a:extLst>
            <a:ext uri="{FF2B5EF4-FFF2-40B4-BE49-F238E27FC236}">
              <a16:creationId xmlns:a16="http://schemas.microsoft.com/office/drawing/2014/main" id="{00000000-0008-0000-0D00-000002000000}"/>
            </a:ext>
          </a:extLst>
        </xdr:cNvPr>
        <xdr:cNvSpPr/>
      </xdr:nvSpPr>
      <xdr:spPr>
        <a:xfrm>
          <a:off x="156882" y="1142992"/>
          <a:ext cx="8297956" cy="65834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AU" sz="1000">
              <a:solidFill>
                <a:sysClr val="windowText" lastClr="000000"/>
              </a:solidFill>
            </a:rPr>
            <a:t>To deliver environmental outcomes deemed necessary by the Environment Protection Authority of Victoria (EPAV) and the Victorian Government, we must comply with</a:t>
          </a:r>
          <a:r>
            <a:rPr lang="en-AU" sz="1000" baseline="0">
              <a:solidFill>
                <a:sysClr val="windowText" lastClr="000000"/>
              </a:solidFill>
            </a:rPr>
            <a:t> the set of amendments to the Environment Protection Act 2017 (Vic) (EP Amendment Act 2018) which will replace and repeal the Environment Protection Act 1970 (Vic) (EP Act 1970) from 1 July 2020 and draft regulations supporting EP Amendment Act 2018</a:t>
          </a:r>
          <a:endParaRPr lang="en-AU" sz="1000">
            <a:solidFill>
              <a:sysClr val="windowText" lastClr="000000"/>
            </a:solidFill>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85725</xdr:colOff>
      <xdr:row>5</xdr:row>
      <xdr:rowOff>47626</xdr:rowOff>
    </xdr:from>
    <xdr:to>
      <xdr:col>8</xdr:col>
      <xdr:colOff>0</xdr:colOff>
      <xdr:row>6</xdr:row>
      <xdr:rowOff>114301</xdr:rowOff>
    </xdr:to>
    <xdr:sp macro="" textlink="">
      <xdr:nvSpPr>
        <xdr:cNvPr id="2" name="Rectangle 1">
          <a:extLst>
            <a:ext uri="{FF2B5EF4-FFF2-40B4-BE49-F238E27FC236}">
              <a16:creationId xmlns:a16="http://schemas.microsoft.com/office/drawing/2014/main" id="{00000000-0008-0000-0E00-000002000000}"/>
            </a:ext>
          </a:extLst>
        </xdr:cNvPr>
        <xdr:cNvSpPr/>
      </xdr:nvSpPr>
      <xdr:spPr>
        <a:xfrm>
          <a:off x="85725" y="2171701"/>
          <a:ext cx="7267575" cy="22860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AU" sz="1000">
              <a:solidFill>
                <a:sysClr val="windowText" lastClr="000000"/>
              </a:solidFill>
            </a:rPr>
            <a:t>Due to worsening global insurance market conditions, our premiums for efficient insurance cover are increasing</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AL%20MOD%209.02%20-%20Rate%20of%20change%20-%20Jan2020%20-%20Public.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2%20Final%20Regulatory%20Proposal/2%20Powercor/5%20Models/02%20Public/01%20SCS/Capex/Supporting/PAL%20MOD%206.03%20-%20AMI%20comms%20-%20Jan2020%20-%20Public.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22%20Final%20Regulatory%20Proposal/2%20Powercor/5%20Models/02%20Public/01%20SCS/Capex/Supporting/PAL%20MOD%206.02%20-%20Enabling%20solar%20-%20Jan2020%20-%20Public.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2%20Final%20Regulatory%20Proposal/2%20Powercor/5%20Models/02%20Public/01%20SCS/Capex/Supporting/PAL%20MOD%207.15%20-%20Cloud%20infrastructure%20cost%20-%20Jan2020%20-%20Publi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pex_output"/>
      <sheetName val="Opex_output"/>
      <sheetName val="Price escalation"/>
      <sheetName val="Output growth"/>
      <sheetName val="Productivity"/>
    </sheetNames>
    <sheetDataSet>
      <sheetData sheetId="0"/>
      <sheetData sheetId="1"/>
      <sheetData sheetId="2">
        <row r="26">
          <cell r="N26">
            <v>1.43E-2</v>
          </cell>
          <cell r="O26">
            <v>1.38E-2</v>
          </cell>
          <cell r="P26">
            <v>2.0036529680365511E-2</v>
          </cell>
          <cell r="Q26">
            <v>2.1723181818181558E-2</v>
          </cell>
          <cell r="R26">
            <v>2.1601809954751472E-2</v>
          </cell>
          <cell r="S26">
            <v>1.9069819819819811E-2</v>
          </cell>
          <cell r="T26">
            <v>1.7140807174887973E-2</v>
          </cell>
        </row>
        <row r="37">
          <cell r="N37">
            <v>0.76601005303644099</v>
          </cell>
          <cell r="O37">
            <v>0.76601005303644099</v>
          </cell>
          <cell r="P37">
            <v>0.76601005303644099</v>
          </cell>
          <cell r="Q37">
            <v>0.76601005303644099</v>
          </cell>
          <cell r="R37">
            <v>0.76601005303644099</v>
          </cell>
          <cell r="S37">
            <v>0.76601005303644099</v>
          </cell>
          <cell r="T37">
            <v>0.76601005303644099</v>
          </cell>
        </row>
      </sheetData>
      <sheetData sheetId="3">
        <row r="14">
          <cell r="N14">
            <v>865113.62854829244</v>
          </cell>
          <cell r="O14">
            <v>884806.06181940215</v>
          </cell>
          <cell r="P14">
            <v>904405.12201858975</v>
          </cell>
          <cell r="Q14">
            <v>923831.52824762848</v>
          </cell>
          <cell r="R14">
            <v>943230.91869478743</v>
          </cell>
          <cell r="S14">
            <v>962544.3570306492</v>
          </cell>
          <cell r="T14">
            <v>981730.12070825358</v>
          </cell>
        </row>
      </sheetData>
      <sheetData sheetId="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wercor"/>
      <sheetName val="PAL MOD 6"/>
    </sheetNames>
    <sheetDataSet>
      <sheetData sheetId="0">
        <row r="3">
          <cell r="Q3" t="str">
            <v>CY2019</v>
          </cell>
          <cell r="R3" t="str">
            <v>CY2020</v>
          </cell>
          <cell r="S3" t="str">
            <v>HY2021</v>
          </cell>
          <cell r="T3" t="str">
            <v>FY21/22</v>
          </cell>
          <cell r="U3" t="str">
            <v>FY22/23</v>
          </cell>
          <cell r="V3" t="str">
            <v>FY23/24</v>
          </cell>
          <cell r="W3" t="str">
            <v>FY24/25</v>
          </cell>
          <cell r="X3" t="str">
            <v>FY25/26</v>
          </cell>
        </row>
        <row r="71">
          <cell r="Q71">
            <v>890418.95217558218</v>
          </cell>
          <cell r="R71">
            <v>911355.81692867586</v>
          </cell>
          <cell r="S71">
            <v>922001.87483125005</v>
          </cell>
          <cell r="T71">
            <v>826399.66383345553</v>
          </cell>
          <cell r="U71">
            <v>810757.67271920666</v>
          </cell>
          <cell r="V71">
            <v>792584.20129020908</v>
          </cell>
          <cell r="W71">
            <v>770222.10956235952</v>
          </cell>
          <cell r="X71">
            <v>744863.5061101024</v>
          </cell>
        </row>
        <row r="72">
          <cell r="Q72">
            <v>0</v>
          </cell>
          <cell r="R72">
            <v>0</v>
          </cell>
          <cell r="S72">
            <v>0</v>
          </cell>
          <cell r="T72">
            <v>122529.72010059019</v>
          </cell>
          <cell r="U72">
            <v>164617.52480964974</v>
          </cell>
          <cell r="V72">
            <v>203759.41455008817</v>
          </cell>
          <cell r="W72">
            <v>246958.93676646354</v>
          </cell>
          <cell r="X72">
            <v>293099.76400420786</v>
          </cell>
        </row>
      </sheetData>
      <sheetData sheetId="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utput_PAL_Opex"/>
      <sheetName val="Output_VPN_IT"/>
      <sheetName val="Assumptions"/>
      <sheetName val="Summary"/>
      <sheetName val="Aug cost"/>
      <sheetName val="DVMS"/>
      <sheetName val="Compliance"/>
      <sheetName val="Python Output"/>
      <sheetName val="Depreciation"/>
      <sheetName val="Data"/>
      <sheetName val="Calc &amp; NPV"/>
      <sheetName val="Lists"/>
    </sheetNames>
    <sheetDataSet>
      <sheetData sheetId="0">
        <row r="10">
          <cell r="F10">
            <v>1304.853816161987</v>
          </cell>
          <cell r="G10">
            <v>1259.0648416648767</v>
          </cell>
          <cell r="H10">
            <v>1422.4119565806768</v>
          </cell>
          <cell r="I10">
            <v>897.60244909227993</v>
          </cell>
          <cell r="J10">
            <v>919.73386569719514</v>
          </cell>
        </row>
      </sheetData>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ex_output"/>
      <sheetName val="Output"/>
      <sheetName val="Summary"/>
      <sheetName val="Assumptions"/>
      <sheetName val="Costs"/>
      <sheetName val="Option1"/>
      <sheetName val="Option2"/>
      <sheetName val="Option3"/>
    </sheetNames>
    <sheetDataSet>
      <sheetData sheetId="0">
        <row r="12">
          <cell r="F12">
            <v>1154.0998068421493</v>
          </cell>
          <cell r="G12">
            <v>1138.6429387599708</v>
          </cell>
          <cell r="H12">
            <v>1622.7184352530005</v>
          </cell>
          <cell r="I12">
            <v>1914.6388302230678</v>
          </cell>
          <cell r="J12">
            <v>1893.0852139387507</v>
          </cell>
        </row>
      </sheetData>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00FFFF"/>
    <pageSetUpPr fitToPage="1"/>
  </sheetPr>
  <dimension ref="A1:Y51"/>
  <sheetViews>
    <sheetView showGridLines="0" tabSelected="1" zoomScale="80" zoomScaleNormal="80" workbookViewId="0">
      <pane xSplit="2" ySplit="5" topLeftCell="C6" activePane="bottomRight" state="frozen"/>
      <selection pane="topRight" activeCell="C1" sqref="C1"/>
      <selection pane="bottomLeft" activeCell="A6" sqref="A6"/>
      <selection pane="bottomRight" activeCell="S20" sqref="S20"/>
    </sheetView>
  </sheetViews>
  <sheetFormatPr defaultColWidth="9" defaultRowHeight="12.75" x14ac:dyDescent="0.2"/>
  <cols>
    <col min="1" max="1" width="4.125" style="1" customWidth="1"/>
    <col min="2" max="2" width="40.625" style="1" customWidth="1"/>
    <col min="3" max="3" width="0.875" style="1" customWidth="1"/>
    <col min="4" max="4" width="11.5" style="1" customWidth="1"/>
    <col min="5" max="11" width="2.625" style="1" customWidth="1"/>
    <col min="12" max="12" width="9" style="1" customWidth="1"/>
    <col min="13" max="17" width="10.25" style="1" customWidth="1"/>
    <col min="18" max="18" width="2.375" style="1" customWidth="1"/>
    <col min="19" max="19" width="9" style="1"/>
    <col min="20" max="20" width="9.625" style="1" bestFit="1" customWidth="1"/>
    <col min="21" max="16384" width="9" style="1"/>
  </cols>
  <sheetData>
    <row r="1" spans="1:25" ht="21" x14ac:dyDescent="0.35">
      <c r="A1" s="3" t="s">
        <v>9</v>
      </c>
    </row>
    <row r="2" spans="1:25" ht="18.75" x14ac:dyDescent="0.3">
      <c r="A2" s="8" t="str">
        <f ca="1">RIGHT(CELL("filename",A1),LEN(CELL("filename",A1))-FIND("]",CELL("filename",A1),1))</f>
        <v>Output</v>
      </c>
      <c r="D2" s="297" t="b">
        <f ca="1">MAX($A$7:$A$18)=PAL_count</f>
        <v>1</v>
      </c>
      <c r="P2" s="22"/>
    </row>
    <row r="4" spans="1:25" x14ac:dyDescent="0.2">
      <c r="K4" s="117"/>
      <c r="L4" s="117"/>
      <c r="M4" s="117"/>
      <c r="N4" s="117"/>
      <c r="O4" s="117"/>
      <c r="P4" s="117"/>
      <c r="Q4" s="117"/>
    </row>
    <row r="5" spans="1:25" x14ac:dyDescent="0.2">
      <c r="A5" s="214" t="s">
        <v>1</v>
      </c>
      <c r="B5" s="214"/>
      <c r="C5" s="214"/>
      <c r="D5" s="214"/>
      <c r="E5" s="214"/>
      <c r="F5" s="214"/>
      <c r="G5" s="214"/>
      <c r="H5" s="214"/>
      <c r="I5" s="214"/>
      <c r="J5" s="2"/>
      <c r="K5" s="2"/>
      <c r="L5" s="7"/>
      <c r="M5" s="7" t="s">
        <v>48</v>
      </c>
      <c r="N5" s="7" t="s">
        <v>49</v>
      </c>
      <c r="O5" s="7" t="s">
        <v>50</v>
      </c>
      <c r="P5" s="7" t="s">
        <v>51</v>
      </c>
      <c r="Q5" s="7" t="s">
        <v>52</v>
      </c>
      <c r="S5" s="7" t="s">
        <v>135</v>
      </c>
    </row>
    <row r="7" spans="1:25" x14ac:dyDescent="0.2">
      <c r="A7" s="308">
        <v>1</v>
      </c>
      <c r="B7" s="9" t="str">
        <f ca="1">IF(A7="", "", INDEX(Summary!H$7:H$24, MATCH($A$1&amp;$A7, Summary!$D$7:$D$24,0)))</f>
        <v>HBRA zone reclassification</v>
      </c>
      <c r="G7" s="25"/>
      <c r="K7" s="9"/>
      <c r="L7" s="9"/>
      <c r="M7" s="9">
        <f ca="1">IF($A7="", "", INDEX(Summary!M$7:M$24, MATCH($A$1&amp;$A7, Summary!$D$7:$D$24,0)))</f>
        <v>20809.123979948432</v>
      </c>
      <c r="N7" s="9">
        <f ca="1">IF($A7="", "", INDEX(Summary!N$7:N$24, MATCH($A$1&amp;$A7, Summary!$D$7:$D$24,0)))</f>
        <v>733.58197555347158</v>
      </c>
      <c r="O7" s="9">
        <f ca="1">IF($A7="", "", INDEX(Summary!O$7:O$24, MATCH($A$1&amp;$A7, Summary!$D$7:$D$24,0)))</f>
        <v>0</v>
      </c>
      <c r="P7" s="9">
        <f ca="1">IF($A7="", "", INDEX(Summary!P$7:P$24, MATCH($A$1&amp;$A7, Summary!$D$7:$D$24,0)))</f>
        <v>0</v>
      </c>
      <c r="Q7" s="9">
        <f ca="1">IF($A7="", "", INDEX(Summary!Q$7:Q$24, MATCH($A$1&amp;$A7, Summary!$D$7:$D$24,0)))</f>
        <v>0</v>
      </c>
      <c r="S7" s="10">
        <f t="shared" ref="S7:S18" ca="1" si="0">SUM(M7:Q7)</f>
        <v>21542.705955501904</v>
      </c>
    </row>
    <row r="8" spans="1:25" x14ac:dyDescent="0.2">
      <c r="A8" s="309">
        <f t="shared" ref="A8:A18" ca="1" si="1">IF($A7&lt;IF(A$1="Powercor", PAL_count, CP_count), A7+1, "")</f>
        <v>2</v>
      </c>
      <c r="B8" s="9" t="str">
        <f ca="1">IF(A8="", "", INDEX(Summary!H$7:H$24, MATCH($A$1&amp;$A8, Summary!$D$7:$D$24,0)))</f>
        <v>Security of critical infrastructure</v>
      </c>
      <c r="G8" s="25"/>
      <c r="H8" s="6"/>
      <c r="K8" s="9"/>
      <c r="L8" s="9"/>
      <c r="M8" s="9">
        <f ca="1">IF($A8="", "", INDEX(Summary!M$7:M$24, MATCH($A$1&amp;$A8, Summary!$D$7:$D$24,0)))</f>
        <v>3068.4464689641345</v>
      </c>
      <c r="N8" s="9">
        <f ca="1">IF($A8="", "", INDEX(Summary!N$7:N$24, MATCH($A$1&amp;$A8, Summary!$D$7:$D$24,0)))</f>
        <v>2784.2264272226976</v>
      </c>
      <c r="O8" s="9">
        <f ca="1">IF($A8="", "", INDEX(Summary!O$7:O$24, MATCH($A$1&amp;$A8, Summary!$D$7:$D$24,0)))</f>
        <v>2830.2975887521666</v>
      </c>
      <c r="P8" s="9">
        <f ca="1">IF($A8="", "", INDEX(Summary!P$7:P$24, MATCH($A$1&amp;$A8, Summary!$D$7:$D$24,0)))</f>
        <v>2871.6416523787107</v>
      </c>
      <c r="Q8" s="9">
        <f ca="1">IF($A8="", "", INDEX(Summary!Q$7:Q$24, MATCH($A$1&amp;$A8, Summary!$D$7:$D$24,0)))</f>
        <v>2909.3463951843637</v>
      </c>
      <c r="S8" s="10">
        <f t="shared" ca="1" si="0"/>
        <v>14463.958532502073</v>
      </c>
      <c r="T8" s="148"/>
      <c r="U8" s="148"/>
      <c r="V8" s="148"/>
      <c r="W8" s="148"/>
      <c r="X8" s="148"/>
      <c r="Y8" s="148"/>
    </row>
    <row r="9" spans="1:25" x14ac:dyDescent="0.2">
      <c r="A9" s="309">
        <f t="shared" ca="1" si="1"/>
        <v>3</v>
      </c>
      <c r="B9" s="9" t="str">
        <f ca="1">IF(A9="", "", INDEX(Summary!H$7:H$24, MATCH($A$1&amp;$A9, Summary!$D$7:$D$24,0)))</f>
        <v xml:space="preserve">REFCL on-going operating expenditure </v>
      </c>
      <c r="G9" s="25"/>
      <c r="H9" s="6"/>
      <c r="K9" s="9"/>
      <c r="L9" s="9"/>
      <c r="M9" s="9">
        <f ca="1">IF($A9="", "", INDEX(Summary!M$7:M$24, MATCH($A$1&amp;$A9, Summary!$D$7:$D$24,0)))</f>
        <v>1844.8417632832895</v>
      </c>
      <c r="N9" s="9">
        <f ca="1">IF($A9="", "", INDEX(Summary!N$7:N$24, MATCH($A$1&amp;$A9, Summary!$D$7:$D$24,0)))</f>
        <v>2184.4468425082741</v>
      </c>
      <c r="O9" s="9">
        <f ca="1">IF($A9="", "", INDEX(Summary!O$7:O$24, MATCH($A$1&amp;$A9, Summary!$D$7:$D$24,0)))</f>
        <v>2791.9800558595161</v>
      </c>
      <c r="P9" s="9">
        <f ca="1">IF($A9="", "", INDEX(Summary!P$7:P$24, MATCH($A$1&amp;$A9, Summary!$D$7:$D$24,0)))</f>
        <v>3174.1642046599427</v>
      </c>
      <c r="Q9" s="9">
        <f ca="1">IF($A9="", "", INDEX(Summary!Q$7:Q$24, MATCH($A$1&amp;$A9, Summary!$D$7:$D$24,0)))</f>
        <v>3326.2825692940364</v>
      </c>
      <c r="S9" s="10">
        <f t="shared" ca="1" si="0"/>
        <v>13321.71543560506</v>
      </c>
    </row>
    <row r="10" spans="1:25" x14ac:dyDescent="0.2">
      <c r="A10" s="309">
        <f t="shared" ca="1" si="1"/>
        <v>4</v>
      </c>
      <c r="B10" s="9" t="str">
        <f ca="1">IF(A10="", "", INDEX(Summary!H$7:H$24, MATCH($A$1&amp;$A10, Summary!$D$7:$D$24,0)))</f>
        <v>Replacing EDO fuses with fault tamers</v>
      </c>
      <c r="H10" s="6"/>
      <c r="M10" s="9">
        <f ca="1">IF($A10="", "", INDEX(Summary!M$7:M$24, MATCH($A$1&amp;$A10, Summary!$D$7:$D$24,0)))</f>
        <v>2178.9407185436485</v>
      </c>
      <c r="N10" s="9">
        <f ca="1">IF($A10="", "", INDEX(Summary!N$7:N$24, MATCH($A$1&amp;$A10, Summary!$D$7:$D$24,0)))</f>
        <v>2208.855513093125</v>
      </c>
      <c r="O10" s="9">
        <f ca="1">IF($A10="", "", INDEX(Summary!O$7:O$24, MATCH($A$1&amp;$A10, Summary!$D$7:$D$24,0)))</f>
        <v>2238.9577716257627</v>
      </c>
      <c r="P10" s="9">
        <f ca="1">IF($A10="", "", INDEX(Summary!P$7:P$24, MATCH($A$1&amp;$A10, Summary!$D$7:$D$24,0)))</f>
        <v>2265.1214207397243</v>
      </c>
      <c r="Q10" s="9">
        <f ca="1">IF($A10="", "", INDEX(Summary!Q$7:Q$24, MATCH($A$1&amp;$A10, Summary!$D$7:$D$24,0)))</f>
        <v>2288.234318111527</v>
      </c>
      <c r="S10" s="10">
        <f t="shared" ca="1" si="0"/>
        <v>11180.109742113787</v>
      </c>
    </row>
    <row r="11" spans="1:25" x14ac:dyDescent="0.2">
      <c r="A11" s="309">
        <f t="shared" ca="1" si="1"/>
        <v>5</v>
      </c>
      <c r="B11" s="9" t="str">
        <f ca="1">IF(A11="", "", INDEX(Summary!H$7:H$24, MATCH($A$1&amp;$A11, Summary!$D$7:$D$24,0)))</f>
        <v>EPA regulations change</v>
      </c>
      <c r="G11" s="25"/>
      <c r="H11" s="6"/>
      <c r="K11" s="9"/>
      <c r="L11" s="9"/>
      <c r="M11" s="9">
        <f ca="1">IF($A11="", "", INDEX(Summary!M$7:M$24, MATCH($A$1&amp;$A11, Summary!$D$7:$D$24,0)))</f>
        <v>3163.5365022268452</v>
      </c>
      <c r="N11" s="9">
        <f ca="1">IF($A11="", "", INDEX(Summary!N$7:N$24, MATCH($A$1&amp;$A11, Summary!$D$7:$D$24,0)))</f>
        <v>3283.3425965440847</v>
      </c>
      <c r="O11" s="9">
        <f ca="1">IF($A11="", "", INDEX(Summary!O$7:O$24, MATCH($A$1&amp;$A11, Summary!$D$7:$D$24,0)))</f>
        <v>3061.1323097303866</v>
      </c>
      <c r="P11" s="9">
        <f ca="1">IF($A11="", "", INDEX(Summary!P$7:P$24, MATCH($A$1&amp;$A11, Summary!$D$7:$D$24,0)))</f>
        <v>11.674436367962613</v>
      </c>
      <c r="Q11" s="9">
        <f ca="1">IF($A11="", "", INDEX(Summary!Q$7:Q$24, MATCH($A$1&amp;$A11, Summary!$D$7:$D$24,0)))</f>
        <v>80.377668898520852</v>
      </c>
      <c r="S11" s="10">
        <f t="shared" ca="1" si="0"/>
        <v>9600.0635137678</v>
      </c>
    </row>
    <row r="12" spans="1:25" x14ac:dyDescent="0.2">
      <c r="A12" s="309">
        <f t="shared" ca="1" si="1"/>
        <v>6</v>
      </c>
      <c r="B12" s="9" t="str">
        <f ca="1">IF(A12="", "", INDEX(Summary!H$7:H$24, MATCH($A$1&amp;$A12, Summary!$D$7:$D$24,0)))</f>
        <v>Solar enablement</v>
      </c>
      <c r="H12" s="6"/>
      <c r="K12" s="9"/>
      <c r="L12" s="9"/>
      <c r="M12" s="9">
        <f ca="1">IF($A12="", "", INDEX(Summary!M$7:M$24, MATCH($A$1&amp;$A12, Summary!$D$7:$D$24,0)))</f>
        <v>1346.1992567001635</v>
      </c>
      <c r="N12" s="9">
        <f ca="1">IF($A12="", "", INDEX(Summary!N$7:N$24, MATCH($A$1&amp;$A12, Summary!$D$7:$D$24,0)))</f>
        <v>1320.5743311744511</v>
      </c>
      <c r="O12" s="9">
        <f ca="1">IF($A12="", "", INDEX(Summary!O$7:O$24, MATCH($A$1&amp;$A12, Summary!$D$7:$D$24,0)))</f>
        <v>1516.58829167004</v>
      </c>
      <c r="P12" s="9">
        <f ca="1">IF($A12="", "", INDEX(Summary!P$7:P$24, MATCH($A$1&amp;$A12, Summary!$D$7:$D$24,0)))</f>
        <v>971.01172958388361</v>
      </c>
      <c r="Q12" s="9">
        <f ca="1">IF($A12="", "", INDEX(Summary!Q$7:Q$24, MATCH($A$1&amp;$A12, Summary!$D$7:$D$24,0)))</f>
        <v>1008.0169012266997</v>
      </c>
      <c r="S12" s="10">
        <f t="shared" ca="1" si="0"/>
        <v>6162.3905103552379</v>
      </c>
    </row>
    <row r="13" spans="1:25" x14ac:dyDescent="0.2">
      <c r="A13" s="309">
        <f t="shared" ca="1" si="1"/>
        <v>7</v>
      </c>
      <c r="B13" s="9" t="str">
        <f ca="1">IF(A13="", "", INDEX(Summary!H$7:H$24, MATCH($A$1&amp;$A13, Summary!$D$7:$D$24,0)))</f>
        <v>IT cloud solutions</v>
      </c>
      <c r="H13" s="6"/>
      <c r="K13" s="9"/>
      <c r="L13" s="9"/>
      <c r="M13" s="9">
        <f ca="1">IF($A13="", "", INDEX(Summary!M$7:M$24, MATCH($A$1&amp;$A13, Summary!$D$7:$D$24,0)))</f>
        <v>854.45048923365653</v>
      </c>
      <c r="N13" s="9">
        <f ca="1">IF($A13="", "", INDEX(Summary!N$7:N$24, MATCH($A$1&amp;$A13, Summary!$D$7:$D$24,0)))</f>
        <v>857.03460857410084</v>
      </c>
      <c r="O13" s="9">
        <f ca="1">IF($A13="", "", INDEX(Summary!O$7:O$24, MATCH($A$1&amp;$A13, Summary!$D$7:$D$24,0)))</f>
        <v>1241.5994819656999</v>
      </c>
      <c r="P13" s="9">
        <f ca="1">IF($A13="", "", INDEX(Summary!P$7:P$24, MATCH($A$1&amp;$A13, Summary!$D$7:$D$24,0)))</f>
        <v>1486.3577699209795</v>
      </c>
      <c r="Q13" s="9">
        <f ca="1">IF($A13="", "", INDEX(Summary!Q$7:Q$24, MATCH($A$1&amp;$A13, Summary!$D$7:$D$24,0)))</f>
        <v>1488.9216583139566</v>
      </c>
      <c r="S13" s="10">
        <f t="shared" ca="1" si="0"/>
        <v>5928.3640080083933</v>
      </c>
    </row>
    <row r="14" spans="1:25" x14ac:dyDescent="0.2">
      <c r="A14" s="309">
        <f t="shared" ca="1" si="1"/>
        <v>8</v>
      </c>
      <c r="B14" s="9" t="str">
        <f ca="1">IF(A14="", "", INDEX(Summary!H$7:H$24, MATCH($A$1&amp;$A14, Summary!$D$7:$D$24,0)))</f>
        <v>Increasing insurance premiums</v>
      </c>
      <c r="H14" s="6"/>
      <c r="M14" s="9">
        <f ca="1">IF($A14="", "", INDEX(Summary!M$7:M$24, MATCH($A$1&amp;$A14, Summary!$D$7:$D$24,0)))</f>
        <v>1008.3242202339634</v>
      </c>
      <c r="N14" s="9">
        <f ca="1">IF($A14="", "", INDEX(Summary!N$7:N$24, MATCH($A$1&amp;$A14, Summary!$D$7:$D$24,0)))</f>
        <v>1008.3242202339634</v>
      </c>
      <c r="O14" s="9">
        <f ca="1">IF($A14="", "", INDEX(Summary!O$7:O$24, MATCH($A$1&amp;$A14, Summary!$D$7:$D$24,0)))</f>
        <v>1008.3242202339634</v>
      </c>
      <c r="P14" s="9">
        <f ca="1">IF($A14="", "", INDEX(Summary!P$7:P$24, MATCH($A$1&amp;$A14, Summary!$D$7:$D$24,0)))</f>
        <v>1008.3242202339634</v>
      </c>
      <c r="Q14" s="9">
        <f ca="1">IF($A14="", "", INDEX(Summary!Q$7:Q$24, MATCH($A$1&amp;$A14, Summary!$D$7:$D$24,0)))</f>
        <v>1008.3242202339634</v>
      </c>
      <c r="S14" s="10">
        <f t="shared" ca="1" si="0"/>
        <v>5041.6211011698169</v>
      </c>
    </row>
    <row r="15" spans="1:25" x14ac:dyDescent="0.2">
      <c r="A15" s="309">
        <f t="shared" ca="1" si="1"/>
        <v>9</v>
      </c>
      <c r="B15" s="9" t="str">
        <f ca="1">IF(A15="", "", INDEX(Summary!H$7:H$24, MATCH($A$1&amp;$A15, Summary!$D$7:$D$24,0)))</f>
        <v>5 minute settlement</v>
      </c>
      <c r="H15" s="6"/>
      <c r="K15" s="9"/>
      <c r="L15" s="9"/>
      <c r="M15" s="9">
        <f ca="1">IF($A15="", "", INDEX(Summary!M$7:M$24, MATCH($A$1&amp;$A15, Summary!$D$7:$D$24,0)))</f>
        <v>557.80042690542814</v>
      </c>
      <c r="N15" s="9">
        <f ca="1">IF($A15="", "", INDEX(Summary!N$7:N$24, MATCH($A$1&amp;$A15, Summary!$D$7:$D$24,0)))</f>
        <v>761.24334790433159</v>
      </c>
      <c r="O15" s="9">
        <f ca="1">IF($A15="", "", INDEX(Summary!O$7:O$24, MATCH($A$1&amp;$A15, Summary!$D$7:$D$24,0)))</f>
        <v>971.2167668680587</v>
      </c>
      <c r="P15" s="9">
        <f ca="1">IF($A15="", "", INDEX(Summary!P$7:P$24, MATCH($A$1&amp;$A15, Summary!$D$7:$D$24,0)))</f>
        <v>1201.0254982439833</v>
      </c>
      <c r="Q15" s="9">
        <f ca="1">IF($A15="", "", INDEX(Summary!Q$7:Q$24, MATCH($A$1&amp;$A15, Summary!$D$7:$D$24,0)))</f>
        <v>1450.3879618709564</v>
      </c>
      <c r="S15" s="10">
        <f t="shared" ca="1" si="0"/>
        <v>4941.6740017927577</v>
      </c>
    </row>
    <row r="16" spans="1:25" x14ac:dyDescent="0.2">
      <c r="A16" s="309">
        <f t="shared" ca="1" si="1"/>
        <v>10</v>
      </c>
      <c r="B16" s="9" t="str">
        <f ca="1">IF(A16="", "", INDEX(Summary!H$7:H$24, MATCH($A$1&amp;$A16, Summary!$D$7:$D$24,0)))</f>
        <v>ESV levy</v>
      </c>
      <c r="H16" s="6"/>
      <c r="K16" s="9"/>
      <c r="L16" s="9"/>
      <c r="M16" s="9">
        <f ca="1">IF($A16="", "", INDEX(Summary!M$7:M$24, MATCH($A$1&amp;$A16, Summary!$D$7:$D$24,0)))</f>
        <v>743.06919988765731</v>
      </c>
      <c r="N16" s="9">
        <f ca="1">IF($A16="", "", INDEX(Summary!N$7:N$24, MATCH($A$1&amp;$A16, Summary!$D$7:$D$24,0)))</f>
        <v>769.81577428951323</v>
      </c>
      <c r="O16" s="9">
        <f ca="1">IF($A16="", "", INDEX(Summary!O$7:O$24, MATCH($A$1&amp;$A16, Summary!$D$7:$D$24,0)))</f>
        <v>796.58414575233473</v>
      </c>
      <c r="P16" s="9">
        <f ca="1">IF($A16="", "", INDEX(Summary!P$7:P$24, MATCH($A$1&amp;$A16, Summary!$D$7:$D$24,0)))</f>
        <v>823.55101495046938</v>
      </c>
      <c r="Q16" s="9">
        <f ca="1">IF($A16="", "", INDEX(Summary!Q$7:Q$24, MATCH($A$1&amp;$A16, Summary!$D$7:$D$24,0)))</f>
        <v>850.71785382071312</v>
      </c>
      <c r="S16" s="10">
        <f t="shared" ca="1" si="0"/>
        <v>3983.7379887006878</v>
      </c>
    </row>
    <row r="17" spans="1:23" x14ac:dyDescent="0.2">
      <c r="A17" s="309">
        <f t="shared" ca="1" si="1"/>
        <v>11</v>
      </c>
      <c r="B17" s="9" t="str">
        <f ca="1">IF(A17="", "", INDEX(Summary!H$7:H$24, MATCH($A$1&amp;$A17, Summary!$D$7:$D$24,0)))</f>
        <v>Financial year RIN</v>
      </c>
      <c r="H17" s="6"/>
      <c r="K17" s="9"/>
      <c r="L17" s="9"/>
      <c r="M17" s="9">
        <f ca="1">IF($A17="", "", INDEX(Summary!M$7:M$24, MATCH($A$1&amp;$A17, Summary!$D$7:$D$24,0)))</f>
        <v>354.00237616175133</v>
      </c>
      <c r="N17" s="9">
        <f ca="1">IF($A17="", "", INDEX(Summary!N$7:N$24, MATCH($A$1&amp;$A17, Summary!$D$7:$D$24,0)))</f>
        <v>359.89303788395983</v>
      </c>
      <c r="O17" s="9">
        <f ca="1">IF($A17="", "", INDEX(Summary!O$7:O$24, MATCH($A$1&amp;$A17, Summary!$D$7:$D$24,0)))</f>
        <v>365.84826125213345</v>
      </c>
      <c r="P17" s="9">
        <f ca="1">IF($A17="", "", INDEX(Summary!P$7:P$24, MATCH($A$1&amp;$A17, Summary!$D$7:$D$24,0)))</f>
        <v>371.19245327313484</v>
      </c>
      <c r="Q17" s="9">
        <f ca="1">IF($A17="", "", INDEX(Summary!Q$7:Q$24, MATCH($A$1&amp;$A17, Summary!$D$7:$D$24,0)))</f>
        <v>376.06622154797151</v>
      </c>
      <c r="S17" s="10">
        <f t="shared" ca="1" si="0"/>
        <v>1827.002350118951</v>
      </c>
    </row>
    <row r="18" spans="1:23" x14ac:dyDescent="0.2">
      <c r="A18" s="161" t="str">
        <f t="shared" ca="1" si="1"/>
        <v/>
      </c>
      <c r="B18" s="9" t="str">
        <f ca="1">IF(A18="", "", INDEX(Summary!H$7:H$24, MATCH($A$1&amp;$A18, Summary!$D$7:$D$24,0)))</f>
        <v/>
      </c>
      <c r="H18" s="6"/>
      <c r="K18" s="9"/>
      <c r="L18" s="9"/>
      <c r="M18" s="9" t="str">
        <f ca="1">IF($A18="", "", INDEX(Summary!M$7:M$24, MATCH($A$1&amp;$A18, Summary!$D$7:$D$24,0)))</f>
        <v/>
      </c>
      <c r="N18" s="9" t="str">
        <f ca="1">IF($A18="", "", INDEX(Summary!N$7:N$24, MATCH($A$1&amp;$A18, Summary!$D$7:$D$24,0)))</f>
        <v/>
      </c>
      <c r="O18" s="9" t="str">
        <f ca="1">IF($A18="", "", INDEX(Summary!O$7:O$24, MATCH($A$1&amp;$A18, Summary!$D$7:$D$24,0)))</f>
        <v/>
      </c>
      <c r="P18" s="9" t="str">
        <f ca="1">IF($A18="", "", INDEX(Summary!P$7:P$24, MATCH($A$1&amp;$A18, Summary!$D$7:$D$24,0)))</f>
        <v/>
      </c>
      <c r="Q18" s="9" t="str">
        <f ca="1">IF($A18="", "", INDEX(Summary!Q$7:Q$24, MATCH($A$1&amp;$A18, Summary!$D$7:$D$24,0)))</f>
        <v/>
      </c>
      <c r="S18" s="10">
        <f t="shared" ca="1" si="0"/>
        <v>0</v>
      </c>
    </row>
    <row r="19" spans="1:23" x14ac:dyDescent="0.2">
      <c r="A19" s="161"/>
      <c r="H19" s="6"/>
      <c r="K19" s="9"/>
      <c r="L19" s="9"/>
      <c r="M19" s="18"/>
      <c r="N19" s="18"/>
      <c r="O19" s="18"/>
      <c r="P19" s="18"/>
      <c r="Q19" s="18"/>
    </row>
    <row r="20" spans="1:23" ht="13.5" thickBot="1" x14ac:dyDescent="0.25">
      <c r="A20" s="161"/>
      <c r="B20" s="24" t="s">
        <v>6</v>
      </c>
      <c r="C20" s="24"/>
      <c r="D20" s="24"/>
      <c r="E20" s="23"/>
      <c r="F20" s="23"/>
      <c r="G20" s="23"/>
      <c r="H20" s="23"/>
      <c r="I20" s="23"/>
      <c r="J20" s="23"/>
      <c r="K20" s="23"/>
      <c r="L20" s="23"/>
      <c r="M20" s="24">
        <f ca="1">SUM(M7:M17)</f>
        <v>35928.735402088969</v>
      </c>
      <c r="N20" s="24">
        <f t="shared" ref="N20:Q20" ca="1" si="2">SUM(N7:N17)</f>
        <v>16271.338674981975</v>
      </c>
      <c r="O20" s="24">
        <f t="shared" ca="1" si="2"/>
        <v>16822.528893710063</v>
      </c>
      <c r="P20" s="24">
        <f t="shared" ca="1" si="2"/>
        <v>14184.064400352756</v>
      </c>
      <c r="Q20" s="24">
        <f t="shared" ca="1" si="2"/>
        <v>14786.675768502711</v>
      </c>
      <c r="R20" s="5"/>
      <c r="S20" s="24">
        <f ca="1">SUM(M20:Q20)</f>
        <v>97993.343139636476</v>
      </c>
      <c r="W20" s="9"/>
    </row>
    <row r="21" spans="1:23" ht="13.5" thickTop="1" x14ac:dyDescent="0.2">
      <c r="K21" s="9"/>
      <c r="L21" s="9"/>
    </row>
    <row r="22" spans="1:23" x14ac:dyDescent="0.2">
      <c r="K22" s="9"/>
      <c r="L22" s="9"/>
      <c r="M22" s="100"/>
      <c r="N22" s="100"/>
      <c r="O22" s="100"/>
      <c r="P22" s="100"/>
      <c r="Q22" s="100"/>
    </row>
    <row r="23" spans="1:23" x14ac:dyDescent="0.2">
      <c r="K23" s="9"/>
      <c r="L23" s="9"/>
      <c r="M23" s="9"/>
      <c r="N23" s="26"/>
      <c r="O23" s="9"/>
      <c r="P23" s="9"/>
      <c r="Q23" s="9"/>
    </row>
    <row r="24" spans="1:23" x14ac:dyDescent="0.2">
      <c r="K24" s="9"/>
      <c r="L24" s="9"/>
      <c r="M24" s="9"/>
      <c r="N24" s="9"/>
      <c r="O24" s="9"/>
      <c r="P24" s="9"/>
      <c r="Q24" s="9"/>
    </row>
    <row r="25" spans="1:23" x14ac:dyDescent="0.2">
      <c r="K25" s="9"/>
      <c r="L25" s="9"/>
      <c r="M25" s="9"/>
      <c r="N25" s="9"/>
      <c r="O25" s="9"/>
      <c r="P25" s="9"/>
      <c r="Q25" s="9"/>
    </row>
    <row r="26" spans="1:23" x14ac:dyDescent="0.2">
      <c r="K26" s="9"/>
      <c r="L26" s="9"/>
      <c r="M26" s="9"/>
      <c r="N26" s="9"/>
      <c r="O26" s="9"/>
      <c r="P26" s="9"/>
      <c r="Q26" s="9"/>
    </row>
    <row r="27" spans="1:23" x14ac:dyDescent="0.2">
      <c r="K27" s="9"/>
      <c r="L27" s="9"/>
      <c r="M27" s="9"/>
      <c r="N27" s="9"/>
      <c r="O27" s="9"/>
      <c r="P27" s="9"/>
      <c r="Q27" s="9"/>
    </row>
    <row r="28" spans="1:23" x14ac:dyDescent="0.2">
      <c r="K28" s="9"/>
      <c r="L28" s="9"/>
      <c r="M28" s="9"/>
      <c r="N28" s="9"/>
      <c r="O28" s="9"/>
      <c r="P28" s="9"/>
      <c r="Q28" s="9"/>
    </row>
    <row r="29" spans="1:23" x14ac:dyDescent="0.2">
      <c r="K29" s="9"/>
      <c r="L29" s="9"/>
      <c r="M29" s="9"/>
      <c r="N29" s="9"/>
      <c r="O29" s="9"/>
      <c r="P29" s="9"/>
      <c r="Q29" s="9"/>
    </row>
    <row r="30" spans="1:23" x14ac:dyDescent="0.2">
      <c r="K30" s="9"/>
      <c r="L30" s="9"/>
      <c r="M30" s="9"/>
      <c r="N30" s="9"/>
      <c r="O30" s="9"/>
      <c r="P30" s="9"/>
      <c r="Q30" s="9"/>
    </row>
    <row r="31" spans="1:23" x14ac:dyDescent="0.2">
      <c r="K31" s="9"/>
      <c r="L31" s="9"/>
      <c r="M31" s="9"/>
      <c r="N31" s="9"/>
      <c r="O31" s="9"/>
      <c r="P31" s="9"/>
      <c r="Q31" s="9"/>
    </row>
    <row r="32" spans="1:23" x14ac:dyDescent="0.2">
      <c r="K32" s="9"/>
      <c r="L32" s="9"/>
      <c r="M32" s="9"/>
      <c r="N32" s="9"/>
      <c r="O32" s="9"/>
      <c r="P32" s="9"/>
      <c r="Q32" s="9"/>
    </row>
    <row r="33" spans="11:17" x14ac:dyDescent="0.2">
      <c r="K33" s="9"/>
      <c r="L33" s="9"/>
      <c r="M33" s="9"/>
      <c r="N33" s="9"/>
      <c r="O33" s="9"/>
      <c r="P33" s="9"/>
      <c r="Q33" s="9"/>
    </row>
    <row r="34" spans="11:17" x14ac:dyDescent="0.2">
      <c r="K34" s="9"/>
      <c r="L34" s="9"/>
      <c r="M34" s="9"/>
      <c r="N34" s="9"/>
      <c r="O34" s="9"/>
      <c r="P34" s="9"/>
      <c r="Q34" s="9"/>
    </row>
    <row r="35" spans="11:17" x14ac:dyDescent="0.2">
      <c r="K35" s="9"/>
      <c r="L35" s="9"/>
      <c r="M35" s="9"/>
      <c r="N35" s="9"/>
      <c r="O35" s="9"/>
      <c r="P35" s="9"/>
      <c r="Q35" s="9"/>
    </row>
    <row r="36" spans="11:17" x14ac:dyDescent="0.2">
      <c r="K36" s="9"/>
      <c r="L36" s="9"/>
      <c r="M36" s="9"/>
      <c r="N36" s="9"/>
      <c r="O36" s="9"/>
      <c r="P36" s="9"/>
      <c r="Q36" s="9"/>
    </row>
    <row r="37" spans="11:17" x14ac:dyDescent="0.2">
      <c r="K37" s="9"/>
      <c r="L37" s="9"/>
      <c r="M37" s="9"/>
      <c r="N37" s="9"/>
      <c r="O37" s="9"/>
      <c r="P37" s="9"/>
      <c r="Q37" s="9"/>
    </row>
    <row r="38" spans="11:17" x14ac:dyDescent="0.2">
      <c r="K38" s="9"/>
      <c r="L38" s="9"/>
      <c r="M38" s="9"/>
      <c r="N38" s="9"/>
      <c r="O38" s="9"/>
      <c r="P38" s="9"/>
      <c r="Q38" s="9"/>
    </row>
    <row r="39" spans="11:17" x14ac:dyDescent="0.2">
      <c r="K39" s="9"/>
      <c r="L39" s="9"/>
    </row>
    <row r="40" spans="11:17" x14ac:dyDescent="0.2">
      <c r="K40" s="9"/>
      <c r="L40" s="9"/>
      <c r="M40" s="9"/>
      <c r="N40" s="9"/>
      <c r="O40" s="9"/>
      <c r="P40" s="9"/>
      <c r="Q40" s="9"/>
    </row>
    <row r="41" spans="11:17" x14ac:dyDescent="0.2">
      <c r="K41" s="9"/>
      <c r="L41" s="9"/>
      <c r="M41" s="9"/>
      <c r="N41" s="9"/>
      <c r="O41" s="9"/>
      <c r="P41" s="9"/>
      <c r="Q41" s="9"/>
    </row>
    <row r="42" spans="11:17" x14ac:dyDescent="0.2">
      <c r="K42" s="9"/>
      <c r="L42" s="9"/>
      <c r="M42" s="9"/>
      <c r="N42" s="9"/>
      <c r="O42" s="9"/>
      <c r="P42" s="9"/>
      <c r="Q42" s="9"/>
    </row>
    <row r="43" spans="11:17" x14ac:dyDescent="0.2">
      <c r="M43" s="9"/>
      <c r="N43" s="9"/>
      <c r="O43" s="9"/>
      <c r="P43" s="9"/>
      <c r="Q43" s="9"/>
    </row>
    <row r="44" spans="11:17" x14ac:dyDescent="0.2">
      <c r="M44" s="9"/>
      <c r="N44" s="9"/>
      <c r="O44" s="9"/>
      <c r="P44" s="9"/>
      <c r="Q44" s="9"/>
    </row>
    <row r="45" spans="11:17" x14ac:dyDescent="0.2">
      <c r="M45" s="9"/>
      <c r="N45" s="9"/>
      <c r="O45" s="9"/>
      <c r="P45" s="9"/>
      <c r="Q45" s="9"/>
    </row>
    <row r="46" spans="11:17" x14ac:dyDescent="0.2">
      <c r="M46" s="9"/>
      <c r="N46" s="9"/>
      <c r="O46" s="9"/>
      <c r="P46" s="9"/>
      <c r="Q46" s="9"/>
    </row>
    <row r="47" spans="11:17" x14ac:dyDescent="0.2">
      <c r="M47" s="9"/>
      <c r="N47" s="9"/>
      <c r="O47" s="9"/>
      <c r="P47" s="9"/>
      <c r="Q47" s="9"/>
    </row>
    <row r="48" spans="11:17" x14ac:dyDescent="0.2">
      <c r="M48" s="9"/>
      <c r="N48" s="9"/>
      <c r="O48" s="9"/>
      <c r="P48" s="9"/>
      <c r="Q48" s="9"/>
    </row>
    <row r="49" spans="13:17" x14ac:dyDescent="0.2">
      <c r="M49" s="9"/>
      <c r="N49" s="9"/>
      <c r="O49" s="9"/>
      <c r="P49" s="9"/>
      <c r="Q49" s="9"/>
    </row>
    <row r="50" spans="13:17" x14ac:dyDescent="0.2">
      <c r="M50" s="9"/>
      <c r="N50" s="9"/>
      <c r="O50" s="9"/>
      <c r="P50" s="9"/>
      <c r="Q50" s="9"/>
    </row>
    <row r="51" spans="13:17" x14ac:dyDescent="0.2">
      <c r="M51" s="9"/>
      <c r="N51" s="9"/>
      <c r="O51" s="9"/>
      <c r="P51" s="9"/>
      <c r="Q51" s="9"/>
    </row>
  </sheetData>
  <pageMargins left="0.7" right="0.7" top="0.75" bottom="0.75" header="0.3" footer="0.3"/>
  <pageSetup scale="75"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theme="3"/>
  </sheetPr>
  <dimension ref="A1:Y34"/>
  <sheetViews>
    <sheetView showGridLines="0" zoomScale="80" zoomScaleNormal="80" workbookViewId="0">
      <pane xSplit="2" ySplit="2" topLeftCell="C3" activePane="bottomRight" state="frozen"/>
      <selection activeCell="K43" sqref="K43"/>
      <selection pane="topRight" activeCell="K43" sqref="K43"/>
      <selection pane="bottomLeft" activeCell="K43" sqref="K43"/>
      <selection pane="bottomRight" activeCell="B11" sqref="B11"/>
    </sheetView>
  </sheetViews>
  <sheetFormatPr defaultColWidth="9" defaultRowHeight="12.75" x14ac:dyDescent="0.2"/>
  <cols>
    <col min="1" max="1" width="2" style="1" customWidth="1"/>
    <col min="2" max="2" width="43.125" style="1" customWidth="1"/>
    <col min="3" max="3" width="17.25" style="1" customWidth="1"/>
    <col min="4" max="4" width="13.125" style="1" customWidth="1"/>
    <col min="5" max="5" width="16" style="1" customWidth="1"/>
    <col min="6" max="6" width="1.625" style="1" customWidth="1"/>
    <col min="7" max="7" width="11.375" style="161" customWidth="1"/>
    <col min="8" max="8" width="17" style="161" customWidth="1"/>
    <col min="9" max="9" width="5.875" style="1" customWidth="1"/>
    <col min="10" max="10" width="9.75" style="1" customWidth="1"/>
    <col min="11" max="12" width="6.125" style="1" customWidth="1"/>
    <col min="13" max="16" width="9" style="1"/>
    <col min="17" max="17" width="9" style="1" customWidth="1"/>
    <col min="18" max="18" width="2.5" style="1" customWidth="1"/>
    <col min="19" max="16384" width="9" style="1"/>
  </cols>
  <sheetData>
    <row r="1" spans="1:19" ht="21" x14ac:dyDescent="0.35">
      <c r="A1" s="3" t="s">
        <v>5</v>
      </c>
    </row>
    <row r="2" spans="1:19" ht="18.75" x14ac:dyDescent="0.3">
      <c r="A2" s="8" t="str">
        <f ca="1">RIGHT(CELL("filename",A1),LEN(CELL("filename",A1))-FIND("]",CELL("filename",A1),1))</f>
        <v>IT cloud solutions</v>
      </c>
    </row>
    <row r="3" spans="1:19" x14ac:dyDescent="0.2">
      <c r="A3" s="1" t="s">
        <v>95</v>
      </c>
    </row>
    <row r="5" spans="1:19" x14ac:dyDescent="0.2">
      <c r="A5" s="2" t="s">
        <v>136</v>
      </c>
      <c r="B5" s="2"/>
      <c r="C5" s="2"/>
      <c r="D5" s="2"/>
      <c r="E5" s="2"/>
      <c r="F5" s="2"/>
      <c r="G5" s="229"/>
      <c r="H5" s="229"/>
      <c r="I5" s="2"/>
      <c r="J5" s="2"/>
      <c r="K5" s="7"/>
      <c r="L5" s="7"/>
      <c r="M5" s="7"/>
      <c r="N5" s="7"/>
      <c r="O5" s="7"/>
      <c r="P5" s="7"/>
      <c r="Q5" s="7"/>
    </row>
    <row r="6" spans="1:19" x14ac:dyDescent="0.2">
      <c r="B6" s="353"/>
      <c r="C6" s="353"/>
      <c r="D6" s="353"/>
      <c r="E6" s="353"/>
      <c r="F6" s="353"/>
      <c r="G6" s="353"/>
      <c r="H6" s="353"/>
    </row>
    <row r="7" spans="1:19" x14ac:dyDescent="0.2">
      <c r="B7" s="149"/>
      <c r="C7" s="149"/>
      <c r="D7" s="149"/>
      <c r="E7" s="149"/>
      <c r="F7" s="149"/>
      <c r="G7" s="202"/>
      <c r="H7" s="202"/>
    </row>
    <row r="9" spans="1:19" x14ac:dyDescent="0.2">
      <c r="B9" s="5" t="s">
        <v>134</v>
      </c>
    </row>
    <row r="10" spans="1:19" x14ac:dyDescent="0.2">
      <c r="B10" s="1" t="s">
        <v>137</v>
      </c>
    </row>
    <row r="11" spans="1:19" x14ac:dyDescent="0.2">
      <c r="B11" s="1" t="s">
        <v>269</v>
      </c>
    </row>
    <row r="12" spans="1:19" x14ac:dyDescent="0.2">
      <c r="B12" s="162" t="s">
        <v>263</v>
      </c>
    </row>
    <row r="14" spans="1:19" x14ac:dyDescent="0.2">
      <c r="A14" s="2" t="s">
        <v>53</v>
      </c>
      <c r="B14" s="2"/>
      <c r="C14" s="2"/>
      <c r="D14" s="2"/>
      <c r="E14" s="2"/>
      <c r="F14" s="2"/>
      <c r="G14" s="229"/>
      <c r="H14" s="229" t="s">
        <v>132</v>
      </c>
      <c r="I14" s="2"/>
      <c r="J14" s="2"/>
      <c r="K14" s="7">
        <v>2019</v>
      </c>
      <c r="L14" s="7">
        <v>2020</v>
      </c>
      <c r="M14" s="7" t="s">
        <v>48</v>
      </c>
      <c r="N14" s="7" t="s">
        <v>49</v>
      </c>
      <c r="O14" s="7" t="s">
        <v>50</v>
      </c>
      <c r="P14" s="7" t="s">
        <v>51</v>
      </c>
      <c r="Q14" s="7" t="s">
        <v>52</v>
      </c>
      <c r="S14" s="7" t="s">
        <v>135</v>
      </c>
    </row>
    <row r="15" spans="1:19" s="14" customFormat="1" x14ac:dyDescent="0.2">
      <c r="A15" s="12"/>
      <c r="B15" s="12"/>
      <c r="C15" s="12"/>
      <c r="D15" s="12"/>
      <c r="E15" s="12"/>
      <c r="F15" s="12"/>
      <c r="G15" s="234"/>
      <c r="H15" s="234"/>
      <c r="I15" s="12"/>
      <c r="J15" s="12"/>
      <c r="K15" s="12"/>
      <c r="L15" s="12"/>
      <c r="M15" s="12"/>
      <c r="N15" s="12"/>
      <c r="O15" s="12"/>
      <c r="P15" s="12"/>
      <c r="Q15" s="12"/>
      <c r="R15" s="1"/>
    </row>
    <row r="16" spans="1:19" x14ac:dyDescent="0.2">
      <c r="B16" s="1" t="s">
        <v>32</v>
      </c>
      <c r="G16" s="264" t="s">
        <v>47</v>
      </c>
      <c r="M16" s="269">
        <f>[4]Opex_output!F$12</f>
        <v>1154.0998068421493</v>
      </c>
      <c r="N16" s="269">
        <f>[4]Opex_output!G$12</f>
        <v>1138.6429387599708</v>
      </c>
      <c r="O16" s="269">
        <f>[4]Opex_output!H$12</f>
        <v>1622.7184352530005</v>
      </c>
      <c r="P16" s="269">
        <f>[4]Opex_output!I$12</f>
        <v>1914.6388302230678</v>
      </c>
      <c r="Q16" s="269">
        <f>[4]Opex_output!J$12</f>
        <v>1893.0852139387507</v>
      </c>
      <c r="S16" s="269">
        <f>SUM(M16:Q16)</f>
        <v>7723.1852250169395</v>
      </c>
    </row>
    <row r="19" spans="1:25" x14ac:dyDescent="0.2">
      <c r="A19" s="2" t="s">
        <v>198</v>
      </c>
      <c r="B19" s="2"/>
      <c r="C19" s="2"/>
      <c r="D19" s="2"/>
      <c r="E19" s="2"/>
      <c r="F19" s="2"/>
      <c r="G19" s="229"/>
      <c r="H19" s="229"/>
      <c r="I19" s="2"/>
      <c r="J19" s="2"/>
      <c r="K19" s="7">
        <v>2019</v>
      </c>
      <c r="L19" s="7">
        <v>2020</v>
      </c>
      <c r="M19" s="7" t="s">
        <v>48</v>
      </c>
      <c r="N19" s="7" t="s">
        <v>49</v>
      </c>
      <c r="O19" s="7" t="s">
        <v>50</v>
      </c>
      <c r="P19" s="7" t="s">
        <v>51</v>
      </c>
      <c r="Q19" s="7" t="s">
        <v>52</v>
      </c>
      <c r="S19" s="7" t="s">
        <v>135</v>
      </c>
    </row>
    <row r="20" spans="1:25" x14ac:dyDescent="0.2">
      <c r="A20" s="12"/>
      <c r="B20" s="12"/>
      <c r="C20" s="12"/>
      <c r="D20" s="12"/>
      <c r="E20" s="12"/>
      <c r="F20" s="12"/>
      <c r="G20" s="262"/>
      <c r="H20" s="234"/>
      <c r="I20" s="13"/>
      <c r="J20" s="12"/>
      <c r="K20" s="12"/>
      <c r="L20" s="12"/>
      <c r="S20" s="219"/>
      <c r="T20" s="14"/>
      <c r="U20" s="14"/>
      <c r="V20" s="14"/>
      <c r="W20" s="14"/>
      <c r="X20" s="14"/>
      <c r="Y20" s="14"/>
    </row>
    <row r="21" spans="1:25" x14ac:dyDescent="0.2">
      <c r="G21" s="259"/>
      <c r="M21" s="9"/>
      <c r="N21" s="9"/>
      <c r="O21" s="9"/>
      <c r="P21" s="9"/>
      <c r="Q21" s="9"/>
    </row>
    <row r="22" spans="1:25" x14ac:dyDescent="0.2">
      <c r="B22" s="218" t="s">
        <v>202</v>
      </c>
      <c r="C22" s="218"/>
      <c r="D22" s="218"/>
      <c r="E22" s="218"/>
      <c r="F22" s="218"/>
      <c r="G22" s="231" t="str">
        <f>$G$16</f>
        <v>2020/21</v>
      </c>
      <c r="H22" s="252"/>
      <c r="I22" s="218"/>
      <c r="J22" s="218"/>
      <c r="K22" s="218"/>
      <c r="L22" s="219"/>
      <c r="M22" s="219">
        <f>M16</f>
        <v>1154.0998068421493</v>
      </c>
      <c r="N22" s="219">
        <f t="shared" ref="N22:Q22" si="0">N16</f>
        <v>1138.6429387599708</v>
      </c>
      <c r="O22" s="219">
        <f t="shared" si="0"/>
        <v>1622.7184352530005</v>
      </c>
      <c r="P22" s="219">
        <f t="shared" si="0"/>
        <v>1914.6388302230678</v>
      </c>
      <c r="Q22" s="219">
        <f t="shared" si="0"/>
        <v>1893.0852139387507</v>
      </c>
      <c r="S22" s="219">
        <f>SUM(M22:Q22)</f>
        <v>7723.1852250169395</v>
      </c>
    </row>
    <row r="23" spans="1:25" x14ac:dyDescent="0.2">
      <c r="B23" s="216" t="str">
        <f ca="1">"Total: "&amp;$A$1&amp;" "&amp;$A$2</f>
        <v>Total: VPN IT cloud solutions</v>
      </c>
      <c r="C23" s="216"/>
      <c r="D23" s="216"/>
      <c r="E23" s="216"/>
      <c r="F23" s="216"/>
      <c r="G23" s="231" t="str">
        <f>"$k"&amp;" $"&amp;Year_of_Currency</f>
        <v>$k $2020/21</v>
      </c>
      <c r="H23" s="240"/>
      <c r="I23" s="216"/>
      <c r="J23" s="216"/>
      <c r="K23" s="216"/>
      <c r="L23" s="217"/>
      <c r="M23" s="217">
        <f>M22*INDEX(Assumptions!$F$20:$F$22,MATCH($G$16,Assumptions!$D$20:$D$22,0))</f>
        <v>1154.0998068421493</v>
      </c>
      <c r="N23" s="217">
        <f>N22*INDEX(Assumptions!$F$20:$F$22,MATCH($G$22,Assumptions!$D$20:$D$22,0))</f>
        <v>1138.6429387599708</v>
      </c>
      <c r="O23" s="217">
        <f>O22*INDEX(Assumptions!$F$20:$F$22,MATCH($G$22,Assumptions!$D$20:$D$22,0))</f>
        <v>1622.7184352530005</v>
      </c>
      <c r="P23" s="217">
        <f>P22*INDEX(Assumptions!$F$20:$F$22,MATCH($G$22,Assumptions!$D$20:$D$22,0))</f>
        <v>1914.6388302230678</v>
      </c>
      <c r="Q23" s="217">
        <f>Q22*INDEX(Assumptions!$F$20:$F$22,MATCH($G$22,Assumptions!$D$20:$D$22,0))</f>
        <v>1893.0852139387507</v>
      </c>
      <c r="S23" s="217">
        <f>SUM(M23:Q23)</f>
        <v>7723.1852250169395</v>
      </c>
    </row>
    <row r="24" spans="1:25" x14ac:dyDescent="0.2">
      <c r="S24" s="120"/>
    </row>
    <row r="25" spans="1:25" x14ac:dyDescent="0.2">
      <c r="S25" s="120"/>
    </row>
    <row r="26" spans="1:25" x14ac:dyDescent="0.2">
      <c r="A26" s="2" t="s">
        <v>234</v>
      </c>
      <c r="B26" s="2"/>
      <c r="C26" s="2"/>
      <c r="D26" s="2"/>
      <c r="E26" s="2"/>
      <c r="F26" s="2"/>
      <c r="G26" s="229"/>
      <c r="H26" s="229"/>
      <c r="I26" s="2"/>
      <c r="J26" s="2"/>
      <c r="K26" s="7">
        <v>2019</v>
      </c>
      <c r="L26" s="7">
        <v>2020</v>
      </c>
      <c r="M26" s="7" t="s">
        <v>48</v>
      </c>
      <c r="N26" s="7" t="s">
        <v>49</v>
      </c>
      <c r="O26" s="7" t="s">
        <v>50</v>
      </c>
      <c r="P26" s="7" t="s">
        <v>51</v>
      </c>
      <c r="Q26" s="7" t="s">
        <v>52</v>
      </c>
      <c r="S26" s="7" t="s">
        <v>135</v>
      </c>
    </row>
    <row r="27" spans="1:25" x14ac:dyDescent="0.2">
      <c r="G27" s="259"/>
      <c r="J27" s="120"/>
      <c r="K27" s="120"/>
      <c r="L27" s="120"/>
      <c r="M27" s="120"/>
      <c r="N27" s="120"/>
      <c r="O27" s="120"/>
      <c r="P27" s="120"/>
      <c r="Q27" s="120"/>
      <c r="S27" s="120"/>
    </row>
    <row r="28" spans="1:25" x14ac:dyDescent="0.2">
      <c r="B28" s="1" t="str">
        <f ca="1">"Powercor "&amp;$A$2 &amp;" allocated cost"</f>
        <v>Powercor IT cloud solutions allocated cost</v>
      </c>
      <c r="C28" s="270" t="s">
        <v>42</v>
      </c>
      <c r="G28" s="261" t="s">
        <v>201</v>
      </c>
      <c r="J28" s="120"/>
      <c r="K28" s="120"/>
      <c r="L28" s="120"/>
      <c r="M28" s="140">
        <f ca="1">M$23*IF(ISNUMBER($C28),$C28,INDIRECT($C28))</f>
        <v>828.20799079251049</v>
      </c>
      <c r="N28" s="140">
        <f t="shared" ref="N28:Q29" ca="1" si="1">N$23*IF(ISNUMBER($C28),$C28,INDIRECT($C28))</f>
        <v>817.11579444831955</v>
      </c>
      <c r="O28" s="140">
        <f t="shared" ca="1" si="1"/>
        <v>1164.4992633350912</v>
      </c>
      <c r="P28" s="140">
        <f t="shared" ca="1" si="1"/>
        <v>1373.9879075200768</v>
      </c>
      <c r="Q28" s="140">
        <f t="shared" ca="1" si="1"/>
        <v>1358.5205474778022</v>
      </c>
      <c r="S28" s="118">
        <f ca="1">SUM(M28:Q28)</f>
        <v>5542.3315035738005</v>
      </c>
    </row>
    <row r="29" spans="1:25" x14ac:dyDescent="0.2">
      <c r="B29" s="1" t="str">
        <f ca="1">"CitiPower "&amp;$A$2 &amp;" allocated cost"</f>
        <v>CitiPower IT cloud solutions allocated cost</v>
      </c>
      <c r="C29" s="270" t="s">
        <v>41</v>
      </c>
      <c r="G29" s="261" t="s">
        <v>201</v>
      </c>
      <c r="J29" s="120"/>
      <c r="K29" s="120"/>
      <c r="L29" s="120"/>
      <c r="M29" s="140">
        <f ca="1">M$23*IF(ISNUMBER($C29),$C29,INDIRECT($C29))</f>
        <v>325.89181604963886</v>
      </c>
      <c r="N29" s="140">
        <f t="shared" ca="1" si="1"/>
        <v>321.52714431165128</v>
      </c>
      <c r="O29" s="140">
        <f t="shared" ca="1" si="1"/>
        <v>458.21917191790925</v>
      </c>
      <c r="P29" s="140">
        <f t="shared" ca="1" si="1"/>
        <v>540.65092270299101</v>
      </c>
      <c r="Q29" s="140">
        <f t="shared" ca="1" si="1"/>
        <v>534.56466646094839</v>
      </c>
      <c r="S29" s="118">
        <f ca="1">SUM(M29:Q29)</f>
        <v>2180.853721443139</v>
      </c>
    </row>
    <row r="30" spans="1:25" x14ac:dyDescent="0.2">
      <c r="C30" s="270"/>
      <c r="G30" s="259"/>
      <c r="J30" s="120"/>
      <c r="K30" s="120"/>
      <c r="L30" s="120"/>
      <c r="M30" s="120"/>
      <c r="N30" s="120"/>
      <c r="O30" s="120"/>
      <c r="P30" s="120"/>
      <c r="Q30" s="120"/>
      <c r="S30" s="279"/>
    </row>
    <row r="31" spans="1:25" x14ac:dyDescent="0.2">
      <c r="B31" s="5" t="s">
        <v>224</v>
      </c>
      <c r="C31" s="270"/>
      <c r="G31" s="259"/>
      <c r="J31" s="120"/>
      <c r="K31" s="120"/>
      <c r="L31" s="120"/>
      <c r="M31" s="120"/>
      <c r="N31" s="120"/>
      <c r="O31" s="120"/>
      <c r="P31" s="120"/>
      <c r="Q31" s="120"/>
      <c r="S31" s="279"/>
    </row>
    <row r="32" spans="1:25" x14ac:dyDescent="0.2">
      <c r="B32" s="1" t="str">
        <f ca="1">"Powercor "&amp;$A$2</f>
        <v>Powercor IT cloud solutions</v>
      </c>
      <c r="C32" s="270" t="s">
        <v>225</v>
      </c>
      <c r="G32" s="261" t="s">
        <v>201</v>
      </c>
      <c r="J32" s="120"/>
      <c r="K32" s="120"/>
      <c r="L32" s="120"/>
      <c r="M32" s="140">
        <f ca="1">M28*INDEX(Assumptions!N$44:N$45, MATCH($C32, Assumptions!$E$44:$E$45,0))</f>
        <v>854.45048923365653</v>
      </c>
      <c r="N32" s="140">
        <f ca="1">N28*INDEX(Assumptions!O$44:O$45, MATCH($C32, Assumptions!$E$44:$E$45,0))</f>
        <v>857.03460857410084</v>
      </c>
      <c r="O32" s="140">
        <f ca="1">O28*INDEX(Assumptions!P$44:P$45, MATCH($C32, Assumptions!$E$44:$E$45,0))</f>
        <v>1241.5994819656999</v>
      </c>
      <c r="P32" s="140">
        <f ca="1">P28*INDEX(Assumptions!Q$44:Q$45, MATCH($C32, Assumptions!$E$44:$E$45,0))</f>
        <v>1486.3577699209795</v>
      </c>
      <c r="Q32" s="140">
        <f ca="1">Q28*INDEX(Assumptions!R$44:R$45, MATCH($C32, Assumptions!$E$44:$E$45,0))</f>
        <v>1488.9216583139566</v>
      </c>
      <c r="S32" s="118">
        <f ca="1">SUM(M32:Q32)</f>
        <v>5928.3640080083933</v>
      </c>
    </row>
    <row r="33" spans="3:19" x14ac:dyDescent="0.2">
      <c r="C33" s="270"/>
      <c r="G33" s="261"/>
      <c r="J33" s="120"/>
      <c r="K33" s="120"/>
      <c r="L33" s="120"/>
      <c r="M33" s="140"/>
      <c r="N33" s="140"/>
      <c r="O33" s="140"/>
      <c r="P33" s="140"/>
      <c r="Q33" s="140"/>
      <c r="S33" s="118"/>
    </row>
    <row r="34" spans="3:19" x14ac:dyDescent="0.2">
      <c r="G34" s="259"/>
      <c r="J34" s="9"/>
      <c r="K34" s="9"/>
      <c r="L34" s="9"/>
      <c r="M34" s="9"/>
      <c r="N34" s="9"/>
      <c r="O34" s="9"/>
      <c r="P34" s="9"/>
      <c r="Q34" s="9"/>
    </row>
  </sheetData>
  <mergeCells count="1">
    <mergeCell ref="B6:H6"/>
  </mergeCell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theme="3"/>
  </sheetPr>
  <dimension ref="A1:Y56"/>
  <sheetViews>
    <sheetView showGridLines="0" zoomScale="85" zoomScaleNormal="85" workbookViewId="0">
      <pane xSplit="2" ySplit="2" topLeftCell="C3" activePane="bottomRight" state="frozen"/>
      <selection activeCell="K43" sqref="K43"/>
      <selection pane="topRight" activeCell="K43" sqref="K43"/>
      <selection pane="bottomLeft" activeCell="K43" sqref="K43"/>
      <selection pane="bottomRight" activeCell="I12" sqref="I12"/>
    </sheetView>
  </sheetViews>
  <sheetFormatPr defaultColWidth="9" defaultRowHeight="12.75" x14ac:dyDescent="0.2"/>
  <cols>
    <col min="1" max="1" width="2" style="1" customWidth="1"/>
    <col min="2" max="2" width="43.125" style="1" customWidth="1"/>
    <col min="3" max="3" width="17.25" style="1" customWidth="1"/>
    <col min="4" max="4" width="13.125" style="1" customWidth="1"/>
    <col min="5" max="5" width="16" style="1" customWidth="1"/>
    <col min="6" max="6" width="7.375" style="1" customWidth="1"/>
    <col min="7" max="7" width="11.375" style="161" customWidth="1"/>
    <col min="8" max="8" width="17" style="161" customWidth="1"/>
    <col min="9" max="9" width="5.875" style="1" customWidth="1"/>
    <col min="10" max="10" width="9.75" style="1" customWidth="1"/>
    <col min="11" max="17" width="11.75" style="1" customWidth="1"/>
    <col min="18" max="18" width="2.5" style="1" customWidth="1"/>
    <col min="19" max="19" width="11.125" style="1" customWidth="1"/>
    <col min="20" max="16384" width="9" style="1"/>
  </cols>
  <sheetData>
    <row r="1" spans="1:17" ht="21" x14ac:dyDescent="0.35">
      <c r="A1" s="3" t="s">
        <v>5</v>
      </c>
    </row>
    <row r="2" spans="1:17" ht="18.75" x14ac:dyDescent="0.3">
      <c r="A2" s="8" t="str">
        <f ca="1">RIGHT(CELL("filename",A1),LEN(CELL("filename",A1))-FIND("]",CELL("filename",A1),1))</f>
        <v>EPA regulations change</v>
      </c>
      <c r="J2" s="117"/>
      <c r="K2" s="117"/>
      <c r="L2" s="117"/>
      <c r="M2" s="117"/>
      <c r="N2" s="117"/>
      <c r="O2" s="117"/>
      <c r="P2" s="117"/>
      <c r="Q2" s="117"/>
    </row>
    <row r="3" spans="1:17" x14ac:dyDescent="0.2">
      <c r="A3" s="1" t="s">
        <v>96</v>
      </c>
    </row>
    <row r="6" spans="1:17" x14ac:dyDescent="0.2">
      <c r="A6" s="2" t="s">
        <v>44</v>
      </c>
      <c r="B6" s="2"/>
      <c r="C6" s="2"/>
      <c r="D6" s="2"/>
      <c r="E6" s="2"/>
      <c r="F6" s="2"/>
      <c r="G6" s="229"/>
      <c r="H6" s="229"/>
      <c r="I6" s="2"/>
      <c r="J6" s="2"/>
      <c r="K6" s="7"/>
      <c r="L6" s="7"/>
      <c r="M6" s="7"/>
      <c r="N6" s="7"/>
      <c r="O6" s="7"/>
      <c r="P6" s="7"/>
      <c r="Q6" s="7"/>
    </row>
    <row r="8" spans="1:17" x14ac:dyDescent="0.2">
      <c r="B8" s="116"/>
      <c r="N8" s="9"/>
      <c r="O8" s="9"/>
      <c r="P8" s="9"/>
      <c r="Q8" s="9"/>
    </row>
    <row r="9" spans="1:17" x14ac:dyDescent="0.2">
      <c r="B9" s="116"/>
      <c r="N9" s="9"/>
      <c r="O9" s="9"/>
      <c r="P9" s="9"/>
      <c r="Q9" s="9"/>
    </row>
    <row r="10" spans="1:17" x14ac:dyDescent="0.2">
      <c r="B10" s="116"/>
      <c r="N10" s="9"/>
      <c r="O10" s="9"/>
      <c r="P10" s="9"/>
      <c r="Q10" s="9"/>
    </row>
    <row r="11" spans="1:17" x14ac:dyDescent="0.2">
      <c r="B11" s="5" t="s">
        <v>134</v>
      </c>
      <c r="N11" s="9"/>
      <c r="O11" s="9"/>
      <c r="P11" s="9"/>
      <c r="Q11" s="9"/>
    </row>
    <row r="12" spans="1:17" x14ac:dyDescent="0.2">
      <c r="B12" s="1" t="s">
        <v>148</v>
      </c>
      <c r="N12" s="9"/>
      <c r="O12" s="9"/>
      <c r="P12" s="9"/>
      <c r="Q12" s="9"/>
    </row>
    <row r="13" spans="1:17" x14ac:dyDescent="0.2">
      <c r="B13" s="142" t="s">
        <v>160</v>
      </c>
      <c r="N13" s="9"/>
      <c r="O13" s="9"/>
      <c r="P13" s="9"/>
      <c r="Q13" s="9"/>
    </row>
    <row r="14" spans="1:17" x14ac:dyDescent="0.2">
      <c r="B14" s="162" t="s">
        <v>263</v>
      </c>
      <c r="N14" s="9"/>
      <c r="O14" s="9"/>
      <c r="P14" s="9"/>
      <c r="Q14" s="9"/>
    </row>
    <row r="15" spans="1:17" x14ac:dyDescent="0.2">
      <c r="B15" s="116"/>
      <c r="N15" s="9"/>
      <c r="O15" s="9"/>
      <c r="P15" s="9"/>
      <c r="Q15" s="9"/>
    </row>
    <row r="16" spans="1:17" x14ac:dyDescent="0.2">
      <c r="A16" s="2" t="s">
        <v>53</v>
      </c>
      <c r="B16" s="2"/>
      <c r="C16" s="2"/>
      <c r="D16" s="2"/>
      <c r="E16" s="2"/>
      <c r="F16" s="2"/>
      <c r="G16" s="229"/>
      <c r="H16" s="229" t="s">
        <v>132</v>
      </c>
      <c r="I16" s="2"/>
      <c r="J16" s="2"/>
      <c r="K16" s="7">
        <v>2019</v>
      </c>
      <c r="L16" s="7">
        <v>2020</v>
      </c>
      <c r="M16" s="7" t="s">
        <v>48</v>
      </c>
      <c r="N16" s="7" t="s">
        <v>49</v>
      </c>
      <c r="O16" s="7" t="s">
        <v>50</v>
      </c>
      <c r="P16" s="7" t="s">
        <v>51</v>
      </c>
      <c r="Q16" s="7" t="s">
        <v>52</v>
      </c>
    </row>
    <row r="17" spans="2:17" x14ac:dyDescent="0.2">
      <c r="M17" s="29"/>
      <c r="N17" s="29"/>
      <c r="O17" s="29"/>
      <c r="P17" s="29"/>
      <c r="Q17" s="29"/>
    </row>
    <row r="18" spans="2:17" x14ac:dyDescent="0.2">
      <c r="B18" s="1" t="s">
        <v>32</v>
      </c>
      <c r="G18" s="264">
        <v>2019</v>
      </c>
      <c r="M18" s="29"/>
      <c r="N18" s="29"/>
      <c r="O18" s="29"/>
      <c r="P18" s="29"/>
      <c r="Q18" s="29"/>
    </row>
    <row r="19" spans="2:17" x14ac:dyDescent="0.2">
      <c r="M19" s="29"/>
      <c r="N19" s="29"/>
      <c r="O19" s="29"/>
      <c r="P19" s="29"/>
      <c r="Q19" s="29"/>
    </row>
    <row r="20" spans="2:17" x14ac:dyDescent="0.2">
      <c r="B20" s="1" t="s">
        <v>229</v>
      </c>
      <c r="G20" s="181">
        <f>$G$18</f>
        <v>2019</v>
      </c>
      <c r="H20" s="181"/>
      <c r="K20" s="286">
        <v>561.64750000000004</v>
      </c>
      <c r="M20" s="29"/>
      <c r="N20" s="29"/>
      <c r="O20" s="29"/>
      <c r="P20" s="29"/>
      <c r="Q20" s="29"/>
    </row>
    <row r="21" spans="2:17" x14ac:dyDescent="0.2">
      <c r="M21" s="29"/>
      <c r="N21" s="29"/>
      <c r="O21" s="29"/>
      <c r="P21" s="29"/>
      <c r="Q21" s="29"/>
    </row>
    <row r="22" spans="2:17" x14ac:dyDescent="0.2">
      <c r="B22" s="5" t="s">
        <v>121</v>
      </c>
      <c r="M22" s="29"/>
      <c r="N22" s="29"/>
      <c r="O22" s="29"/>
      <c r="P22" s="29"/>
      <c r="Q22" s="29"/>
    </row>
    <row r="23" spans="2:17" x14ac:dyDescent="0.2">
      <c r="B23" s="1" t="s">
        <v>110</v>
      </c>
      <c r="G23" s="181">
        <f t="shared" ref="G23:G33" si="0">$G$18</f>
        <v>2019</v>
      </c>
      <c r="H23" s="181"/>
      <c r="K23" s="121"/>
      <c r="L23" s="121"/>
      <c r="M23" s="285">
        <v>30</v>
      </c>
      <c r="N23" s="285">
        <v>30</v>
      </c>
      <c r="O23" s="285">
        <v>30</v>
      </c>
      <c r="P23" s="285">
        <v>30</v>
      </c>
      <c r="Q23" s="285">
        <v>30</v>
      </c>
    </row>
    <row r="24" spans="2:17" x14ac:dyDescent="0.2">
      <c r="B24" s="1" t="s">
        <v>111</v>
      </c>
      <c r="G24" s="181">
        <f t="shared" si="0"/>
        <v>2019</v>
      </c>
      <c r="H24" s="181"/>
      <c r="M24" s="285">
        <v>320</v>
      </c>
      <c r="N24" s="285">
        <v>320</v>
      </c>
      <c r="O24" s="285">
        <v>320</v>
      </c>
      <c r="P24" s="285">
        <v>320</v>
      </c>
      <c r="Q24" s="285">
        <v>320</v>
      </c>
    </row>
    <row r="25" spans="2:17" x14ac:dyDescent="0.2">
      <c r="B25" s="1" t="s">
        <v>112</v>
      </c>
      <c r="G25" s="181">
        <f t="shared" si="0"/>
        <v>2019</v>
      </c>
      <c r="H25" s="181"/>
      <c r="K25" s="123"/>
      <c r="L25" s="123"/>
      <c r="M25" s="285">
        <v>2631.19</v>
      </c>
      <c r="N25" s="285">
        <v>2692.6190000000001</v>
      </c>
      <c r="O25" s="285">
        <v>2743.81</v>
      </c>
      <c r="P25" s="285"/>
      <c r="Q25" s="285"/>
    </row>
    <row r="26" spans="2:17" x14ac:dyDescent="0.2">
      <c r="B26" s="1" t="s">
        <v>113</v>
      </c>
      <c r="G26" s="181">
        <f t="shared" si="0"/>
        <v>2019</v>
      </c>
      <c r="H26" s="181"/>
      <c r="K26" s="123"/>
      <c r="L26" s="123"/>
      <c r="M26" s="285">
        <v>12</v>
      </c>
      <c r="N26" s="285">
        <v>12</v>
      </c>
      <c r="O26" s="285">
        <v>12</v>
      </c>
      <c r="P26" s="285">
        <v>12</v>
      </c>
      <c r="Q26" s="285">
        <v>12</v>
      </c>
    </row>
    <row r="27" spans="2:17" x14ac:dyDescent="0.2">
      <c r="B27" s="1" t="s">
        <v>119</v>
      </c>
      <c r="G27" s="181">
        <f t="shared" si="0"/>
        <v>2019</v>
      </c>
      <c r="H27" s="181"/>
      <c r="K27" s="123"/>
      <c r="L27" s="123"/>
      <c r="M27" s="285">
        <v>20</v>
      </c>
      <c r="N27" s="285">
        <v>20</v>
      </c>
      <c r="O27" s="285">
        <v>20</v>
      </c>
      <c r="P27" s="285">
        <v>20</v>
      </c>
      <c r="Q27" s="285">
        <v>20</v>
      </c>
    </row>
    <row r="28" spans="2:17" x14ac:dyDescent="0.2">
      <c r="B28" s="1" t="s">
        <v>114</v>
      </c>
      <c r="G28" s="181">
        <f t="shared" si="0"/>
        <v>2019</v>
      </c>
      <c r="H28" s="181"/>
      <c r="K28" s="123"/>
      <c r="L28" s="123"/>
      <c r="M28" s="285">
        <v>40</v>
      </c>
      <c r="N28" s="285">
        <v>40</v>
      </c>
      <c r="O28" s="285">
        <v>40</v>
      </c>
      <c r="P28" s="285">
        <v>40</v>
      </c>
      <c r="Q28" s="285">
        <v>40</v>
      </c>
    </row>
    <row r="29" spans="2:17" x14ac:dyDescent="0.2">
      <c r="B29" s="1" t="s">
        <v>120</v>
      </c>
      <c r="G29" s="181">
        <f t="shared" si="0"/>
        <v>2019</v>
      </c>
      <c r="H29" s="181"/>
      <c r="K29" s="123"/>
      <c r="L29" s="123"/>
      <c r="M29" s="285">
        <v>100</v>
      </c>
      <c r="N29" s="285">
        <v>100</v>
      </c>
      <c r="O29" s="285">
        <v>100</v>
      </c>
      <c r="P29" s="285">
        <v>100</v>
      </c>
      <c r="Q29" s="285">
        <v>100</v>
      </c>
    </row>
    <row r="30" spans="2:17" x14ac:dyDescent="0.2">
      <c r="B30" s="1" t="s">
        <v>115</v>
      </c>
      <c r="G30" s="181">
        <f t="shared" si="0"/>
        <v>2019</v>
      </c>
      <c r="H30" s="181"/>
      <c r="K30" s="123"/>
      <c r="L30" s="123"/>
      <c r="M30" s="285">
        <v>300</v>
      </c>
      <c r="N30" s="285">
        <v>300</v>
      </c>
      <c r="O30" s="285">
        <v>0</v>
      </c>
      <c r="P30" s="285">
        <v>0</v>
      </c>
      <c r="Q30" s="285">
        <v>0</v>
      </c>
    </row>
    <row r="31" spans="2:17" x14ac:dyDescent="0.2">
      <c r="B31" s="1" t="s">
        <v>116</v>
      </c>
      <c r="G31" s="181">
        <f t="shared" si="0"/>
        <v>2019</v>
      </c>
      <c r="H31" s="181"/>
      <c r="K31" s="123"/>
      <c r="L31" s="123"/>
      <c r="M31" s="285">
        <v>50</v>
      </c>
      <c r="N31" s="285">
        <v>50</v>
      </c>
      <c r="O31" s="285">
        <v>50</v>
      </c>
      <c r="P31" s="285">
        <v>50</v>
      </c>
      <c r="Q31" s="285">
        <v>50</v>
      </c>
    </row>
    <row r="32" spans="2:17" x14ac:dyDescent="0.2">
      <c r="B32" s="1" t="s">
        <v>117</v>
      </c>
      <c r="G32" s="181">
        <f t="shared" si="0"/>
        <v>2019</v>
      </c>
      <c r="H32" s="181"/>
      <c r="K32" s="123"/>
      <c r="L32" s="123"/>
      <c r="M32" s="285"/>
      <c r="N32" s="285"/>
      <c r="O32" s="285"/>
      <c r="P32" s="285"/>
      <c r="Q32" s="285">
        <v>40</v>
      </c>
    </row>
    <row r="33" spans="1:19" x14ac:dyDescent="0.2">
      <c r="B33" s="1" t="s">
        <v>118</v>
      </c>
      <c r="G33" s="181">
        <f t="shared" si="0"/>
        <v>2019</v>
      </c>
      <c r="H33" s="181"/>
      <c r="K33" s="123"/>
      <c r="L33" s="123"/>
      <c r="M33" s="285"/>
      <c r="N33" s="285"/>
      <c r="O33" s="285"/>
      <c r="P33" s="285"/>
      <c r="Q33" s="285">
        <v>20</v>
      </c>
    </row>
    <row r="36" spans="1:19" x14ac:dyDescent="0.2">
      <c r="J36" s="120"/>
      <c r="N36" s="120"/>
      <c r="O36" s="120"/>
      <c r="P36" s="120"/>
      <c r="Q36" s="120"/>
    </row>
    <row r="37" spans="1:19" x14ac:dyDescent="0.2">
      <c r="A37" s="2" t="s">
        <v>198</v>
      </c>
      <c r="B37" s="2"/>
      <c r="C37" s="2"/>
      <c r="D37" s="2"/>
      <c r="E37" s="2"/>
      <c r="F37" s="2"/>
      <c r="G37" s="229"/>
      <c r="H37" s="229"/>
      <c r="I37" s="2"/>
      <c r="J37" s="2"/>
      <c r="K37" s="7">
        <v>2019</v>
      </c>
      <c r="L37" s="7">
        <v>2020</v>
      </c>
      <c r="M37" s="7" t="s">
        <v>48</v>
      </c>
      <c r="N37" s="7" t="s">
        <v>49</v>
      </c>
      <c r="O37" s="7" t="s">
        <v>50</v>
      </c>
      <c r="P37" s="7" t="s">
        <v>51</v>
      </c>
      <c r="Q37" s="7" t="s">
        <v>52</v>
      </c>
      <c r="S37" s="7" t="s">
        <v>135</v>
      </c>
    </row>
    <row r="38" spans="1:19" x14ac:dyDescent="0.2">
      <c r="M38" s="29"/>
      <c r="N38" s="29"/>
      <c r="O38" s="29"/>
      <c r="P38" s="29"/>
      <c r="Q38" s="29"/>
    </row>
    <row r="39" spans="1:19" x14ac:dyDescent="0.2">
      <c r="B39" s="276"/>
      <c r="C39" s="271"/>
      <c r="D39" s="271"/>
      <c r="E39" s="271"/>
      <c r="F39" s="271"/>
      <c r="G39" s="181"/>
      <c r="H39" s="273"/>
      <c r="I39" s="271"/>
      <c r="J39" s="271"/>
      <c r="K39" s="271"/>
      <c r="L39" s="274"/>
      <c r="M39" s="275"/>
      <c r="N39" s="275"/>
      <c r="O39" s="275"/>
      <c r="P39" s="275"/>
      <c r="Q39" s="275"/>
    </row>
    <row r="40" spans="1:19" x14ac:dyDescent="0.2">
      <c r="B40" s="276" t="s">
        <v>9</v>
      </c>
      <c r="C40" s="271"/>
      <c r="D40" s="271"/>
      <c r="E40" s="271"/>
      <c r="F40" s="271"/>
      <c r="G40" s="181">
        <f>$G$18</f>
        <v>2019</v>
      </c>
      <c r="H40" s="273"/>
      <c r="I40" s="271"/>
      <c r="J40" s="271"/>
      <c r="K40" s="271"/>
      <c r="L40" s="274"/>
      <c r="M40" s="275">
        <f>SUM(M23:M33)</f>
        <v>3503.19</v>
      </c>
      <c r="N40" s="275">
        <f>SUM(N23:N33)</f>
        <v>3564.6190000000001</v>
      </c>
      <c r="O40" s="275">
        <f>SUM(O23:O33)</f>
        <v>3315.81</v>
      </c>
      <c r="P40" s="275">
        <f>SUM(P23:P33)</f>
        <v>572</v>
      </c>
      <c r="Q40" s="275">
        <f>SUM(Q23:Q33)</f>
        <v>632</v>
      </c>
    </row>
    <row r="41" spans="1:19" x14ac:dyDescent="0.2">
      <c r="B41" s="213" t="s">
        <v>253</v>
      </c>
      <c r="M41" s="29">
        <f>$K$20</f>
        <v>561.64750000000004</v>
      </c>
      <c r="N41" s="29">
        <f t="shared" ref="N41:Q41" si="1">$K$20</f>
        <v>561.64750000000004</v>
      </c>
      <c r="O41" s="29">
        <f t="shared" si="1"/>
        <v>561.64750000000004</v>
      </c>
      <c r="P41" s="29">
        <f t="shared" si="1"/>
        <v>561.64750000000004</v>
      </c>
      <c r="Q41" s="29">
        <f t="shared" si="1"/>
        <v>561.64750000000004</v>
      </c>
    </row>
    <row r="42" spans="1:19" x14ac:dyDescent="0.2">
      <c r="B42" s="1" t="s">
        <v>254</v>
      </c>
      <c r="C42" s="271"/>
      <c r="D42" s="271"/>
      <c r="E42" s="271"/>
      <c r="F42" s="271"/>
      <c r="G42" s="181">
        <f>$G$18</f>
        <v>2019</v>
      </c>
      <c r="H42" s="273"/>
      <c r="I42" s="271"/>
      <c r="J42" s="271"/>
      <c r="K42" s="271"/>
      <c r="L42" s="274"/>
      <c r="M42" s="275">
        <f>M40-M41</f>
        <v>2941.5425</v>
      </c>
      <c r="N42" s="275">
        <f t="shared" ref="N42:Q42" si="2">N40-N41</f>
        <v>3002.9715000000001</v>
      </c>
      <c r="O42" s="275">
        <f t="shared" si="2"/>
        <v>2754.1624999999999</v>
      </c>
      <c r="P42" s="275">
        <f t="shared" si="2"/>
        <v>10.352499999999964</v>
      </c>
      <c r="Q42" s="275">
        <f t="shared" si="2"/>
        <v>70.352499999999964</v>
      </c>
    </row>
    <row r="43" spans="1:19" x14ac:dyDescent="0.2">
      <c r="C43" s="271"/>
      <c r="D43" s="271"/>
      <c r="E43" s="271"/>
      <c r="F43" s="271"/>
      <c r="G43" s="181"/>
      <c r="H43" s="273"/>
      <c r="I43" s="271"/>
      <c r="J43" s="271"/>
      <c r="K43" s="271"/>
      <c r="L43" s="274"/>
      <c r="M43" s="275"/>
      <c r="N43" s="275"/>
      <c r="O43" s="275"/>
      <c r="P43" s="275"/>
      <c r="Q43" s="275"/>
    </row>
    <row r="44" spans="1:19" x14ac:dyDescent="0.2">
      <c r="B44" s="271"/>
      <c r="C44" s="271"/>
      <c r="D44" s="271"/>
      <c r="E44" s="271"/>
      <c r="F44" s="271"/>
      <c r="G44" s="272"/>
      <c r="H44" s="273"/>
      <c r="I44" s="271"/>
      <c r="J44" s="271"/>
      <c r="K44" s="271"/>
      <c r="L44" s="274"/>
      <c r="M44" s="274"/>
      <c r="N44" s="274"/>
      <c r="O44" s="274"/>
      <c r="P44" s="274"/>
      <c r="Q44" s="274"/>
    </row>
    <row r="45" spans="1:19" x14ac:dyDescent="0.2">
      <c r="B45" s="216" t="s">
        <v>9</v>
      </c>
      <c r="C45" s="216"/>
      <c r="D45" s="216"/>
      <c r="E45" s="216"/>
      <c r="F45" s="216"/>
      <c r="G45" s="231" t="str">
        <f>"$k"&amp;" $"&amp;Year_of_Currency</f>
        <v>$k $2020/21</v>
      </c>
      <c r="H45" s="240"/>
      <c r="I45" s="216"/>
      <c r="J45" s="216"/>
      <c r="K45" s="216"/>
      <c r="L45" s="217"/>
      <c r="M45" s="217">
        <f>M42*INDEX(Assumptions!$F$20:$F$22,MATCH($G$18,Assumptions!$D$20:$D$22,0))</f>
        <v>3066.3756921222653</v>
      </c>
      <c r="N45" s="217">
        <f>N42*INDEX(Assumptions!$F$20:$F$22,MATCH($G$18,Assumptions!$D$20:$D$22,0))</f>
        <v>3130.4116162645746</v>
      </c>
      <c r="O45" s="217">
        <f>O42*INDEX(Assumptions!$F$20:$F$22,MATCH($G$18,Assumptions!$D$20:$D$22,0))</f>
        <v>2871.0436589492379</v>
      </c>
      <c r="P45" s="217">
        <f>P42*INDEX(Assumptions!$F$20:$F$22,MATCH($G$18,Assumptions!$D$20:$D$22,0))</f>
        <v>10.791839435498771</v>
      </c>
      <c r="Q45" s="217">
        <f>Q42*INDEX(Assumptions!$F$20:$F$22,MATCH($G$18,Assumptions!$D$20:$D$22,0))</f>
        <v>73.338119670217779</v>
      </c>
      <c r="S45" s="217">
        <f>SUM(M45:Q45)</f>
        <v>9151.9609264417941</v>
      </c>
    </row>
    <row r="46" spans="1:19" x14ac:dyDescent="0.2">
      <c r="B46" s="110"/>
      <c r="C46" s="110"/>
      <c r="D46" s="110"/>
      <c r="E46" s="110"/>
      <c r="F46" s="110"/>
      <c r="G46" s="248"/>
      <c r="H46" s="248"/>
      <c r="I46" s="110"/>
      <c r="J46" s="110"/>
      <c r="K46" s="271"/>
      <c r="L46" s="271"/>
      <c r="M46" s="271"/>
      <c r="N46" s="271"/>
      <c r="O46" s="271"/>
      <c r="P46" s="271"/>
      <c r="Q46" s="271"/>
      <c r="S46" s="120"/>
    </row>
    <row r="47" spans="1:19" x14ac:dyDescent="0.2">
      <c r="B47" s="110"/>
      <c r="C47" s="110"/>
      <c r="D47" s="110"/>
      <c r="E47" s="110"/>
      <c r="F47" s="110"/>
      <c r="G47" s="248"/>
      <c r="H47" s="248"/>
      <c r="I47" s="110"/>
      <c r="J47" s="110"/>
      <c r="K47" s="271"/>
      <c r="L47" s="271"/>
      <c r="M47" s="271"/>
      <c r="N47" s="271"/>
      <c r="O47" s="271"/>
      <c r="P47" s="271"/>
      <c r="Q47" s="271"/>
      <c r="S47" s="120"/>
    </row>
    <row r="48" spans="1:19" x14ac:dyDescent="0.2">
      <c r="A48" s="2" t="s">
        <v>6</v>
      </c>
      <c r="B48" s="2"/>
      <c r="C48" s="2"/>
      <c r="D48" s="2"/>
      <c r="E48" s="2"/>
      <c r="F48" s="2"/>
      <c r="G48" s="229"/>
      <c r="H48" s="229"/>
      <c r="I48" s="2"/>
      <c r="J48" s="2"/>
      <c r="K48" s="7">
        <v>2019</v>
      </c>
      <c r="L48" s="7">
        <v>2020</v>
      </c>
      <c r="M48" s="7" t="s">
        <v>48</v>
      </c>
      <c r="N48" s="7" t="s">
        <v>49</v>
      </c>
      <c r="O48" s="7" t="s">
        <v>50</v>
      </c>
      <c r="P48" s="7" t="s">
        <v>51</v>
      </c>
      <c r="Q48" s="7" t="s">
        <v>52</v>
      </c>
      <c r="S48" s="7" t="s">
        <v>135</v>
      </c>
    </row>
    <row r="49" spans="1:25" s="14" customFormat="1" x14ac:dyDescent="0.2">
      <c r="A49" s="1"/>
      <c r="B49" s="1"/>
      <c r="C49" s="1"/>
      <c r="D49" s="1"/>
      <c r="E49" s="1"/>
      <c r="F49" s="1"/>
      <c r="G49" s="259"/>
      <c r="H49" s="161"/>
      <c r="I49" s="1"/>
      <c r="J49" s="120"/>
      <c r="K49" s="120"/>
      <c r="L49" s="120"/>
      <c r="M49" s="120"/>
      <c r="N49" s="120"/>
      <c r="O49" s="120"/>
      <c r="P49" s="120"/>
      <c r="Q49" s="120"/>
      <c r="R49" s="1"/>
      <c r="S49" s="120"/>
      <c r="T49" s="1"/>
      <c r="U49" s="1"/>
      <c r="V49" s="1"/>
      <c r="W49" s="1"/>
      <c r="X49" s="1"/>
      <c r="Y49" s="1"/>
    </row>
    <row r="50" spans="1:25" x14ac:dyDescent="0.2">
      <c r="B50" s="1" t="str">
        <f ca="1">B45&amp;" "&amp;$A$2 &amp;" allocated cost"</f>
        <v>Powercor EPA regulations change allocated cost</v>
      </c>
      <c r="G50" s="261" t="s">
        <v>201</v>
      </c>
      <c r="J50" s="120"/>
      <c r="K50" s="120"/>
      <c r="L50" s="120"/>
      <c r="M50" s="140">
        <f>M45</f>
        <v>3066.3756921222653</v>
      </c>
      <c r="N50" s="140">
        <f t="shared" ref="N50:Q50" si="3">N45</f>
        <v>3130.4116162645746</v>
      </c>
      <c r="O50" s="140">
        <f t="shared" si="3"/>
        <v>2871.0436589492379</v>
      </c>
      <c r="P50" s="140">
        <f t="shared" si="3"/>
        <v>10.791839435498771</v>
      </c>
      <c r="Q50" s="140">
        <f t="shared" si="3"/>
        <v>73.338119670217779</v>
      </c>
      <c r="S50" s="118">
        <f>SUM(M50:Q50)</f>
        <v>9151.9609264417941</v>
      </c>
    </row>
    <row r="51" spans="1:25" x14ac:dyDescent="0.2">
      <c r="G51" s="259"/>
      <c r="J51" s="120"/>
      <c r="K51" s="120"/>
      <c r="L51" s="120"/>
      <c r="M51" s="120"/>
      <c r="N51" s="120"/>
      <c r="O51" s="120"/>
      <c r="P51" s="120"/>
      <c r="Q51" s="120"/>
      <c r="S51" s="279"/>
    </row>
    <row r="52" spans="1:25" x14ac:dyDescent="0.2">
      <c r="B52" s="5" t="s">
        <v>224</v>
      </c>
      <c r="G52" s="259"/>
      <c r="J52" s="120"/>
      <c r="K52" s="120"/>
      <c r="L52" s="120"/>
      <c r="M52" s="120"/>
      <c r="N52" s="120"/>
      <c r="O52" s="120"/>
      <c r="P52" s="120"/>
      <c r="Q52" s="120"/>
      <c r="S52" s="279"/>
    </row>
    <row r="53" spans="1:25" x14ac:dyDescent="0.2">
      <c r="B53" s="1" t="str">
        <f ca="1">B45&amp;" "&amp;$A$2</f>
        <v>Powercor EPA regulations change</v>
      </c>
      <c r="C53" s="270" t="s">
        <v>225</v>
      </c>
      <c r="G53" s="261" t="s">
        <v>201</v>
      </c>
      <c r="J53" s="120"/>
      <c r="K53" s="120"/>
      <c r="L53" s="120"/>
      <c r="M53" s="140">
        <f>M50*INDEX(Assumptions!N$44:N$45, MATCH($C53, Assumptions!$E$44:$E$45,0))</f>
        <v>3163.5365022268452</v>
      </c>
      <c r="N53" s="140">
        <f>N50*INDEX(Assumptions!O$44:O$45, MATCH($C53, Assumptions!$E$44:$E$45,0))</f>
        <v>3283.3425965440847</v>
      </c>
      <c r="O53" s="140">
        <f>O50*INDEX(Assumptions!P$44:P$45, MATCH($C53, Assumptions!$E$44:$E$45,0))</f>
        <v>3061.1323097303866</v>
      </c>
      <c r="P53" s="140">
        <f>P50*INDEX(Assumptions!Q$44:Q$45, MATCH($C53, Assumptions!$E$44:$E$45,0))</f>
        <v>11.674436367962613</v>
      </c>
      <c r="Q53" s="140">
        <f>Q50*INDEX(Assumptions!R$44:R$45, MATCH($C53, Assumptions!$E$44:$E$45,0))</f>
        <v>80.377668898520852</v>
      </c>
      <c r="S53" s="118">
        <f>SUM(M53:Q53)</f>
        <v>9600.0635137678</v>
      </c>
    </row>
    <row r="54" spans="1:25" x14ac:dyDescent="0.2">
      <c r="G54" s="259"/>
      <c r="J54" s="9"/>
      <c r="K54" s="9"/>
      <c r="L54" s="9"/>
      <c r="M54" s="9"/>
      <c r="N54" s="9"/>
      <c r="O54" s="9"/>
      <c r="P54" s="9"/>
      <c r="Q54" s="9"/>
    </row>
    <row r="55" spans="1:25" x14ac:dyDescent="0.2">
      <c r="G55" s="259"/>
      <c r="J55" s="9"/>
      <c r="K55" s="9"/>
      <c r="L55" s="9"/>
      <c r="M55" s="9"/>
      <c r="N55" s="9"/>
      <c r="O55" s="9"/>
      <c r="P55" s="9"/>
      <c r="Q55" s="9"/>
    </row>
    <row r="56" spans="1:25" x14ac:dyDescent="0.2">
      <c r="G56" s="259"/>
      <c r="J56" s="9"/>
      <c r="K56" s="9"/>
      <c r="L56" s="9"/>
      <c r="M56" s="9"/>
      <c r="N56" s="9"/>
      <c r="O56" s="9"/>
      <c r="P56" s="9"/>
      <c r="Q56" s="9"/>
    </row>
  </sheetData>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theme="3"/>
  </sheetPr>
  <dimension ref="A1:T42"/>
  <sheetViews>
    <sheetView showGridLines="0" zoomScale="80" zoomScaleNormal="80" workbookViewId="0">
      <pane xSplit="2" ySplit="2" topLeftCell="C3" activePane="bottomRight" state="frozen"/>
      <selection activeCell="C3" sqref="C3"/>
      <selection pane="topRight" activeCell="C3" sqref="C3"/>
      <selection pane="bottomLeft" activeCell="C3" sqref="C3"/>
      <selection pane="bottomRight" activeCell="C36" sqref="C36"/>
    </sheetView>
  </sheetViews>
  <sheetFormatPr defaultColWidth="9" defaultRowHeight="12.75" x14ac:dyDescent="0.2"/>
  <cols>
    <col min="1" max="1" width="2" style="127" customWidth="1"/>
    <col min="2" max="2" width="43.125" style="127" customWidth="1"/>
    <col min="3" max="3" width="17.25" style="127" customWidth="1"/>
    <col min="4" max="4" width="13.125" style="127" customWidth="1"/>
    <col min="5" max="5" width="16" style="127" customWidth="1"/>
    <col min="6" max="6" width="2.5" style="127" customWidth="1"/>
    <col min="7" max="7" width="11.375" style="241" customWidth="1"/>
    <col min="8" max="8" width="17" style="241" customWidth="1"/>
    <col min="9" max="9" width="5.875" style="127" customWidth="1"/>
    <col min="10" max="10" width="9.75" style="127" customWidth="1"/>
    <col min="11" max="11" width="10.875" style="127" customWidth="1"/>
    <col min="12" max="17" width="11.75" style="127" customWidth="1"/>
    <col min="18" max="18" width="2.5" style="127" customWidth="1"/>
    <col min="19" max="19" width="11.125" style="127" customWidth="1"/>
    <col min="20" max="16384" width="9" style="127"/>
  </cols>
  <sheetData>
    <row r="1" spans="1:18" ht="21" x14ac:dyDescent="0.35">
      <c r="A1" s="126" t="s">
        <v>9</v>
      </c>
    </row>
    <row r="2" spans="1:18" ht="18.75" x14ac:dyDescent="0.3">
      <c r="A2" s="128" t="str">
        <f ca="1">RIGHT(CELL("filename",A1),LEN(CELL("filename",A1))-FIND("]",CELL("filename",A1),1))</f>
        <v>Increasing insurance premiums</v>
      </c>
      <c r="J2" s="129"/>
      <c r="K2" s="129"/>
      <c r="L2" s="129"/>
      <c r="M2" s="129"/>
      <c r="N2" s="129"/>
      <c r="O2" s="129"/>
      <c r="P2" s="129"/>
      <c r="Q2" s="129"/>
    </row>
    <row r="5" spans="1:18" s="103" customFormat="1" x14ac:dyDescent="0.2">
      <c r="A5" s="2" t="s">
        <v>44</v>
      </c>
      <c r="B5" s="2"/>
      <c r="C5" s="2"/>
      <c r="D5" s="2"/>
      <c r="E5" s="2"/>
      <c r="F5" s="2"/>
      <c r="G5" s="229"/>
      <c r="H5" s="229"/>
      <c r="I5" s="2"/>
      <c r="J5" s="2"/>
      <c r="K5" s="7"/>
      <c r="L5" s="7"/>
      <c r="M5" s="7"/>
      <c r="N5" s="7"/>
      <c r="O5" s="7"/>
      <c r="P5" s="7"/>
      <c r="Q5" s="7"/>
      <c r="R5" s="127"/>
    </row>
    <row r="6" spans="1:18" x14ac:dyDescent="0.2">
      <c r="B6" s="134"/>
      <c r="N6" s="130"/>
      <c r="O6" s="130"/>
      <c r="P6" s="130"/>
      <c r="Q6" s="130"/>
    </row>
    <row r="8" spans="1:18" x14ac:dyDescent="0.2">
      <c r="B8" s="5" t="s">
        <v>134</v>
      </c>
    </row>
    <row r="9" spans="1:18" x14ac:dyDescent="0.2">
      <c r="B9" s="103" t="s">
        <v>161</v>
      </c>
      <c r="C9" s="146"/>
      <c r="D9" s="146"/>
      <c r="E9" s="146"/>
      <c r="F9" s="146"/>
      <c r="G9" s="242"/>
      <c r="H9" s="242"/>
      <c r="I9" s="146"/>
    </row>
    <row r="10" spans="1:18" x14ac:dyDescent="0.2">
      <c r="B10" s="145" t="s">
        <v>162</v>
      </c>
      <c r="C10" s="146"/>
      <c r="D10" s="146"/>
      <c r="E10" s="146"/>
      <c r="F10" s="146"/>
      <c r="G10" s="242"/>
      <c r="H10" s="242"/>
      <c r="I10" s="146"/>
    </row>
    <row r="11" spans="1:18" x14ac:dyDescent="0.2">
      <c r="B11" s="162" t="s">
        <v>263</v>
      </c>
      <c r="C11" s="146"/>
      <c r="D11" s="146"/>
      <c r="E11" s="146"/>
      <c r="F11" s="146"/>
      <c r="G11" s="242"/>
      <c r="H11" s="242"/>
      <c r="I11" s="146"/>
    </row>
    <row r="12" spans="1:18" x14ac:dyDescent="0.2">
      <c r="B12" s="146"/>
      <c r="C12" s="146"/>
      <c r="D12" s="146"/>
      <c r="E12" s="146"/>
      <c r="F12" s="146"/>
      <c r="G12" s="242"/>
      <c r="H12" s="242"/>
      <c r="I12" s="146"/>
    </row>
    <row r="13" spans="1:18" s="103" customFormat="1" x14ac:dyDescent="0.2">
      <c r="A13" s="2" t="s">
        <v>53</v>
      </c>
      <c r="B13" s="2"/>
      <c r="C13" s="2"/>
      <c r="D13" s="2"/>
      <c r="E13" s="2"/>
      <c r="F13" s="2"/>
      <c r="G13" s="229"/>
      <c r="H13" s="229" t="s">
        <v>132</v>
      </c>
      <c r="I13" s="2"/>
      <c r="J13" s="2" t="s">
        <v>123</v>
      </c>
      <c r="K13" s="7" t="s">
        <v>46</v>
      </c>
      <c r="L13" s="7" t="s">
        <v>47</v>
      </c>
      <c r="M13" s="7" t="s">
        <v>48</v>
      </c>
      <c r="N13" s="7" t="s">
        <v>49</v>
      </c>
      <c r="O13" s="7" t="s">
        <v>50</v>
      </c>
      <c r="P13" s="7" t="s">
        <v>51</v>
      </c>
      <c r="Q13" s="7" t="s">
        <v>52</v>
      </c>
      <c r="R13" s="127"/>
    </row>
    <row r="14" spans="1:18" x14ac:dyDescent="0.2">
      <c r="B14" s="146"/>
      <c r="C14" s="146"/>
      <c r="D14" s="146"/>
      <c r="E14" s="146"/>
      <c r="F14" s="146"/>
      <c r="G14" s="242"/>
      <c r="H14" s="242"/>
      <c r="I14" s="146"/>
    </row>
    <row r="15" spans="1:18" s="1" customFormat="1" x14ac:dyDescent="0.2">
      <c r="B15" s="1" t="s">
        <v>32</v>
      </c>
      <c r="G15" s="264">
        <v>2019</v>
      </c>
      <c r="H15" s="161"/>
      <c r="M15" s="9"/>
      <c r="N15" s="9"/>
      <c r="O15" s="9"/>
      <c r="P15" s="9"/>
      <c r="Q15" s="9"/>
      <c r="R15" s="127"/>
    </row>
    <row r="16" spans="1:18" x14ac:dyDescent="0.2">
      <c r="B16" s="167"/>
      <c r="J16" s="132"/>
      <c r="K16" s="132"/>
      <c r="L16" s="132"/>
      <c r="M16" s="132"/>
      <c r="N16" s="132"/>
      <c r="O16" s="132"/>
      <c r="P16" s="132"/>
      <c r="Q16" s="132"/>
    </row>
    <row r="17" spans="1:20" x14ac:dyDescent="0.2">
      <c r="B17" s="127" t="s">
        <v>163</v>
      </c>
      <c r="G17" s="253">
        <v>2019</v>
      </c>
      <c r="H17" s="253" t="s">
        <v>228</v>
      </c>
      <c r="J17" s="222">
        <v>4214.3</v>
      </c>
      <c r="K17" s="222">
        <v>5504</v>
      </c>
      <c r="L17" s="222">
        <f>K17</f>
        <v>5504</v>
      </c>
      <c r="M17" s="222">
        <f t="shared" ref="M17:Q17" si="0">L17</f>
        <v>5504</v>
      </c>
      <c r="N17" s="222">
        <f t="shared" si="0"/>
        <v>5504</v>
      </c>
      <c r="O17" s="222">
        <f t="shared" si="0"/>
        <v>5504</v>
      </c>
      <c r="P17" s="222">
        <f t="shared" si="0"/>
        <v>5504</v>
      </c>
      <c r="Q17" s="222">
        <f t="shared" si="0"/>
        <v>5504</v>
      </c>
    </row>
    <row r="18" spans="1:20" x14ac:dyDescent="0.2">
      <c r="B18" s="127" t="s">
        <v>227</v>
      </c>
      <c r="E18" s="14"/>
      <c r="F18" s="14"/>
      <c r="G18" s="253"/>
      <c r="H18" s="253"/>
      <c r="J18" s="131">
        <f>J17*0.75+K17*0.25</f>
        <v>4536.7250000000004</v>
      </c>
      <c r="N18" s="131"/>
      <c r="O18" s="131"/>
      <c r="P18" s="131"/>
      <c r="Q18" s="131"/>
    </row>
    <row r="19" spans="1:20" x14ac:dyDescent="0.2">
      <c r="G19" s="253"/>
      <c r="H19" s="253"/>
      <c r="J19" s="131"/>
      <c r="N19" s="131"/>
      <c r="O19" s="131"/>
      <c r="P19" s="131"/>
      <c r="Q19" s="131"/>
    </row>
    <row r="20" spans="1:20" x14ac:dyDescent="0.2">
      <c r="A20" s="2" t="s">
        <v>11</v>
      </c>
      <c r="B20" s="2"/>
      <c r="C20" s="2"/>
      <c r="D20" s="2"/>
      <c r="E20" s="2"/>
      <c r="F20" s="2"/>
      <c r="G20" s="229"/>
      <c r="H20" s="229"/>
      <c r="I20" s="2"/>
      <c r="J20" s="2" t="s">
        <v>123</v>
      </c>
      <c r="K20" s="7" t="s">
        <v>46</v>
      </c>
      <c r="L20" s="7" t="s">
        <v>47</v>
      </c>
      <c r="M20" s="7" t="s">
        <v>48</v>
      </c>
      <c r="N20" s="7" t="s">
        <v>49</v>
      </c>
      <c r="O20" s="7" t="s">
        <v>50</v>
      </c>
      <c r="P20" s="7" t="s">
        <v>51</v>
      </c>
      <c r="Q20" s="7" t="s">
        <v>52</v>
      </c>
    </row>
    <row r="21" spans="1:20" x14ac:dyDescent="0.2">
      <c r="H21" s="253"/>
      <c r="J21" s="131"/>
      <c r="N21" s="131"/>
      <c r="O21" s="131"/>
      <c r="P21" s="131"/>
      <c r="Q21" s="131"/>
    </row>
    <row r="22" spans="1:20" x14ac:dyDescent="0.2">
      <c r="B22" s="127" t="s">
        <v>163</v>
      </c>
      <c r="G22" s="253">
        <v>2019</v>
      </c>
      <c r="H22" s="253"/>
      <c r="J22" s="131"/>
      <c r="L22" s="228">
        <f>L17</f>
        <v>5504</v>
      </c>
      <c r="M22" s="228">
        <f t="shared" ref="M22:Q22" si="1">M17</f>
        <v>5504</v>
      </c>
      <c r="N22" s="228">
        <f t="shared" si="1"/>
        <v>5504</v>
      </c>
      <c r="O22" s="228">
        <f t="shared" si="1"/>
        <v>5504</v>
      </c>
      <c r="P22" s="228">
        <f t="shared" si="1"/>
        <v>5504</v>
      </c>
      <c r="Q22" s="228">
        <f t="shared" si="1"/>
        <v>5504</v>
      </c>
    </row>
    <row r="23" spans="1:20" x14ac:dyDescent="0.2">
      <c r="B23" s="227" t="s">
        <v>226</v>
      </c>
      <c r="G23" s="253">
        <v>2019</v>
      </c>
      <c r="L23" s="106">
        <f t="shared" ref="L23:Q23" si="2">$J$18</f>
        <v>4536.7250000000004</v>
      </c>
      <c r="M23" s="106">
        <f t="shared" si="2"/>
        <v>4536.7250000000004</v>
      </c>
      <c r="N23" s="106">
        <f t="shared" si="2"/>
        <v>4536.7250000000004</v>
      </c>
      <c r="O23" s="106">
        <f t="shared" si="2"/>
        <v>4536.7250000000004</v>
      </c>
      <c r="P23" s="106">
        <f t="shared" si="2"/>
        <v>4536.7250000000004</v>
      </c>
      <c r="Q23" s="106">
        <f t="shared" si="2"/>
        <v>4536.7250000000004</v>
      </c>
    </row>
    <row r="24" spans="1:20" x14ac:dyDescent="0.2">
      <c r="B24" s="127" t="s">
        <v>106</v>
      </c>
      <c r="G24" s="253">
        <v>2019</v>
      </c>
      <c r="L24" s="106">
        <f>L22-L23</f>
        <v>967.27499999999964</v>
      </c>
      <c r="M24" s="106">
        <f t="shared" ref="M24:Q24" si="3">M22-M23</f>
        <v>967.27499999999964</v>
      </c>
      <c r="N24" s="106">
        <f t="shared" si="3"/>
        <v>967.27499999999964</v>
      </c>
      <c r="O24" s="106">
        <f t="shared" si="3"/>
        <v>967.27499999999964</v>
      </c>
      <c r="P24" s="106">
        <f t="shared" si="3"/>
        <v>967.27499999999964</v>
      </c>
      <c r="Q24" s="106">
        <f t="shared" si="3"/>
        <v>967.27499999999964</v>
      </c>
    </row>
    <row r="27" spans="1:20" x14ac:dyDescent="0.2">
      <c r="A27" s="2" t="s">
        <v>198</v>
      </c>
      <c r="B27" s="2"/>
      <c r="C27" s="2"/>
      <c r="D27" s="2"/>
      <c r="E27" s="2"/>
      <c r="F27" s="2"/>
      <c r="G27" s="229"/>
      <c r="H27" s="229"/>
      <c r="I27" s="2"/>
      <c r="J27" s="2" t="s">
        <v>123</v>
      </c>
      <c r="K27" s="7" t="s">
        <v>46</v>
      </c>
      <c r="L27" s="7" t="s">
        <v>47</v>
      </c>
      <c r="M27" s="7" t="s">
        <v>48</v>
      </c>
      <c r="N27" s="7" t="s">
        <v>49</v>
      </c>
      <c r="O27" s="7" t="s">
        <v>50</v>
      </c>
      <c r="P27" s="7" t="s">
        <v>51</v>
      </c>
      <c r="Q27" s="7" t="s">
        <v>52</v>
      </c>
      <c r="S27" s="7" t="s">
        <v>135</v>
      </c>
      <c r="T27" s="1"/>
    </row>
    <row r="28" spans="1:20" x14ac:dyDescent="0.2">
      <c r="A28" s="12"/>
      <c r="B28" s="12"/>
      <c r="C28" s="12"/>
      <c r="D28" s="12"/>
      <c r="E28" s="12"/>
      <c r="F28" s="12"/>
      <c r="G28" s="234"/>
      <c r="H28" s="234"/>
      <c r="I28" s="12"/>
      <c r="J28" s="12"/>
      <c r="K28" s="12"/>
      <c r="L28" s="12"/>
      <c r="M28" s="12"/>
      <c r="N28" s="12"/>
      <c r="O28" s="12"/>
      <c r="P28" s="12"/>
      <c r="Q28" s="12"/>
      <c r="S28" s="219"/>
      <c r="T28" s="14"/>
    </row>
    <row r="29" spans="1:20" x14ac:dyDescent="0.2">
      <c r="A29" s="1"/>
      <c r="B29" s="1"/>
      <c r="C29" s="1"/>
      <c r="D29" s="1"/>
      <c r="E29" s="1"/>
      <c r="F29" s="1"/>
      <c r="G29" s="161"/>
      <c r="H29" s="161"/>
      <c r="I29" s="1"/>
      <c r="J29" s="1"/>
      <c r="K29" s="1"/>
      <c r="L29" s="1"/>
      <c r="M29" s="1"/>
      <c r="N29" s="1"/>
      <c r="O29" s="1"/>
      <c r="P29" s="1"/>
      <c r="Q29" s="1"/>
      <c r="S29" s="1"/>
      <c r="T29" s="14"/>
    </row>
    <row r="30" spans="1:20" x14ac:dyDescent="0.2">
      <c r="A30" s="1"/>
      <c r="B30" s="195" t="s">
        <v>202</v>
      </c>
      <c r="C30" s="218"/>
      <c r="D30" s="218"/>
      <c r="E30" s="218"/>
      <c r="F30" s="218"/>
      <c r="G30" s="263">
        <f>$G$15</f>
        <v>2019</v>
      </c>
      <c r="H30" s="238"/>
      <c r="I30" s="218"/>
      <c r="J30" s="218"/>
      <c r="K30" s="218"/>
      <c r="L30" s="219"/>
      <c r="M30" s="219">
        <f>M24</f>
        <v>967.27499999999964</v>
      </c>
      <c r="N30" s="219">
        <f>N24</f>
        <v>967.27499999999964</v>
      </c>
      <c r="O30" s="219">
        <f>O24</f>
        <v>967.27499999999964</v>
      </c>
      <c r="P30" s="219">
        <f>P24</f>
        <v>967.27499999999964</v>
      </c>
      <c r="Q30" s="219">
        <f>Q24</f>
        <v>967.27499999999964</v>
      </c>
      <c r="S30" s="219">
        <f>SUM(M30:Q30)</f>
        <v>4836.3749999999982</v>
      </c>
      <c r="T30" s="1"/>
    </row>
    <row r="31" spans="1:20" x14ac:dyDescent="0.2">
      <c r="A31" s="1"/>
      <c r="B31" s="216" t="str">
        <f ca="1">"Total: "&amp;$A$1&amp;" "&amp;$A$2</f>
        <v>Total: Powercor Increasing insurance premiums</v>
      </c>
      <c r="C31" s="216"/>
      <c r="D31" s="216"/>
      <c r="E31" s="216"/>
      <c r="F31" s="216"/>
      <c r="G31" s="231" t="str">
        <f>"$k"&amp;" $"&amp;Year_of_Currency</f>
        <v>$k $2020/21</v>
      </c>
      <c r="H31" s="239"/>
      <c r="I31" s="216"/>
      <c r="J31" s="216"/>
      <c r="K31" s="216"/>
      <c r="L31" s="217"/>
      <c r="M31" s="217">
        <f>M30*INDEX(Assumptions!$F$20:$F$22,MATCH($G$15,Assumptions!$D$20:$D$22,0))</f>
        <v>1008.3242202339634</v>
      </c>
      <c r="N31" s="217">
        <f>N30*INDEX(Assumptions!$F$20:$F$22,MATCH($G$15,Assumptions!$D$20:$D$22,0))</f>
        <v>1008.3242202339634</v>
      </c>
      <c r="O31" s="217">
        <f>O30*INDEX(Assumptions!$F$20:$F$22,MATCH($G$15,Assumptions!$D$20:$D$22,0))</f>
        <v>1008.3242202339634</v>
      </c>
      <c r="P31" s="217">
        <f>P30*INDEX(Assumptions!$F$20:$F$22,MATCH($G$15,Assumptions!$D$20:$D$22,0))</f>
        <v>1008.3242202339634</v>
      </c>
      <c r="Q31" s="217">
        <f>Q30*INDEX(Assumptions!$F$20:$F$22,MATCH($G$15,Assumptions!$D$20:$D$22,0))</f>
        <v>1008.3242202339634</v>
      </c>
      <c r="S31" s="217">
        <f>SUM(M31:Q31)</f>
        <v>5041.6211011698169</v>
      </c>
      <c r="T31" s="99"/>
    </row>
    <row r="32" spans="1:20" x14ac:dyDescent="0.2">
      <c r="A32" s="1"/>
      <c r="B32" s="1"/>
      <c r="C32" s="1"/>
      <c r="D32" s="1"/>
      <c r="E32" s="1"/>
      <c r="F32" s="1"/>
      <c r="G32" s="161"/>
      <c r="H32" s="161"/>
      <c r="I32" s="1"/>
      <c r="J32" s="9"/>
      <c r="K32" s="9"/>
      <c r="L32" s="9"/>
      <c r="M32" s="9"/>
      <c r="N32" s="9"/>
      <c r="O32" s="9"/>
      <c r="P32" s="9"/>
      <c r="Q32" s="9"/>
      <c r="S32" s="120"/>
      <c r="T32" s="1"/>
    </row>
    <row r="33" spans="1:20" x14ac:dyDescent="0.2">
      <c r="A33" s="1"/>
      <c r="B33" s="1"/>
      <c r="C33" s="1"/>
      <c r="D33" s="1"/>
      <c r="E33" s="1"/>
      <c r="F33" s="1"/>
      <c r="G33" s="161"/>
      <c r="H33" s="161"/>
      <c r="I33" s="1"/>
      <c r="J33" s="9"/>
      <c r="K33" s="9"/>
      <c r="L33" s="9"/>
      <c r="M33" s="9"/>
      <c r="N33" s="9"/>
      <c r="O33" s="9"/>
      <c r="P33" s="9"/>
      <c r="Q33" s="9"/>
      <c r="S33" s="120"/>
      <c r="T33" s="1"/>
    </row>
    <row r="34" spans="1:20" x14ac:dyDescent="0.2">
      <c r="A34" s="2" t="s">
        <v>234</v>
      </c>
      <c r="B34" s="2"/>
      <c r="C34" s="2"/>
      <c r="D34" s="2"/>
      <c r="E34" s="2"/>
      <c r="F34" s="2"/>
      <c r="G34" s="229"/>
      <c r="H34" s="229"/>
      <c r="I34" s="2"/>
      <c r="J34" s="2" t="s">
        <v>123</v>
      </c>
      <c r="K34" s="7" t="s">
        <v>46</v>
      </c>
      <c r="L34" s="7" t="s">
        <v>47</v>
      </c>
      <c r="M34" s="7" t="s">
        <v>48</v>
      </c>
      <c r="N34" s="7" t="s">
        <v>49</v>
      </c>
      <c r="O34" s="7" t="s">
        <v>50</v>
      </c>
      <c r="P34" s="7" t="s">
        <v>51</v>
      </c>
      <c r="Q34" s="7" t="s">
        <v>52</v>
      </c>
      <c r="S34" s="7" t="s">
        <v>135</v>
      </c>
      <c r="T34" s="1"/>
    </row>
    <row r="35" spans="1:20" x14ac:dyDescent="0.2">
      <c r="A35" s="1"/>
      <c r="B35" s="1"/>
      <c r="C35" s="1"/>
      <c r="D35" s="1"/>
      <c r="E35" s="1"/>
      <c r="F35" s="1"/>
      <c r="G35" s="161"/>
      <c r="H35" s="161"/>
      <c r="I35" s="1"/>
      <c r="J35" s="120"/>
      <c r="K35" s="120"/>
      <c r="L35" s="120"/>
      <c r="M35" s="120"/>
      <c r="N35" s="120"/>
      <c r="O35" s="120"/>
      <c r="P35" s="120"/>
      <c r="Q35" s="120"/>
      <c r="S35" s="120"/>
      <c r="T35" s="1"/>
    </row>
    <row r="36" spans="1:20" x14ac:dyDescent="0.2">
      <c r="A36" s="1"/>
      <c r="B36" s="1" t="str">
        <f ca="1">"Powercor "&amp;$A$2</f>
        <v>Powercor Increasing insurance premiums</v>
      </c>
      <c r="C36" s="282">
        <v>1</v>
      </c>
      <c r="D36" s="1"/>
      <c r="E36" s="1"/>
      <c r="F36" s="1"/>
      <c r="G36" s="261" t="s">
        <v>201</v>
      </c>
      <c r="H36" s="161"/>
      <c r="I36" s="1"/>
      <c r="J36" s="120"/>
      <c r="K36" s="120"/>
      <c r="L36" s="120"/>
      <c r="M36" s="140">
        <f ca="1">M$31*IF(ISNUMBER($C36),$C36,INDIRECT($C36))</f>
        <v>1008.3242202339634</v>
      </c>
      <c r="N36" s="140">
        <f t="shared" ref="N36:Q36" ca="1" si="4">N$31*IF(ISNUMBER($C36),$C36,INDIRECT($C36))</f>
        <v>1008.3242202339634</v>
      </c>
      <c r="O36" s="140">
        <f t="shared" ca="1" si="4"/>
        <v>1008.3242202339634</v>
      </c>
      <c r="P36" s="140">
        <f t="shared" ca="1" si="4"/>
        <v>1008.3242202339634</v>
      </c>
      <c r="Q36" s="140">
        <f t="shared" ca="1" si="4"/>
        <v>1008.3242202339634</v>
      </c>
      <c r="S36" s="118">
        <f ca="1">SUM(M36:Q36)</f>
        <v>5041.6211011698169</v>
      </c>
      <c r="T36" s="1"/>
    </row>
    <row r="37" spans="1:20" x14ac:dyDescent="0.2">
      <c r="A37" s="1"/>
      <c r="B37" s="1"/>
      <c r="C37" s="1"/>
      <c r="D37" s="1"/>
      <c r="E37" s="1"/>
      <c r="F37" s="1"/>
      <c r="G37" s="261"/>
      <c r="H37" s="161"/>
      <c r="I37" s="1"/>
      <c r="J37" s="120"/>
      <c r="K37" s="120"/>
      <c r="L37" s="120"/>
      <c r="M37" s="140"/>
      <c r="N37" s="140"/>
      <c r="O37" s="140"/>
      <c r="P37" s="140"/>
      <c r="Q37" s="140"/>
      <c r="S37" s="118"/>
      <c r="T37" s="1"/>
    </row>
    <row r="38" spans="1:20" x14ac:dyDescent="0.2">
      <c r="A38" s="1"/>
      <c r="B38" s="1"/>
      <c r="C38" s="1"/>
      <c r="D38" s="1"/>
      <c r="E38" s="1"/>
      <c r="F38" s="1"/>
      <c r="G38" s="259"/>
      <c r="H38" s="161"/>
      <c r="I38" s="1"/>
      <c r="J38" s="120"/>
      <c r="K38" s="120"/>
      <c r="L38" s="120"/>
      <c r="M38" s="120"/>
      <c r="N38" s="120"/>
      <c r="O38" s="120"/>
      <c r="P38" s="120"/>
      <c r="Q38" s="120"/>
      <c r="S38" s="279"/>
      <c r="T38" s="1"/>
    </row>
    <row r="39" spans="1:20" x14ac:dyDescent="0.2">
      <c r="A39" s="1"/>
      <c r="B39" s="1"/>
      <c r="C39" s="1"/>
      <c r="D39" s="1"/>
      <c r="E39" s="1"/>
      <c r="F39" s="1"/>
      <c r="G39" s="161"/>
      <c r="H39" s="161"/>
      <c r="I39" s="1"/>
      <c r="J39" s="9"/>
      <c r="K39" s="9"/>
      <c r="L39" s="9"/>
      <c r="M39" s="9"/>
      <c r="N39" s="9"/>
      <c r="O39" s="9"/>
      <c r="P39" s="9"/>
      <c r="Q39" s="9"/>
      <c r="S39" s="1"/>
      <c r="T39" s="1"/>
    </row>
    <row r="40" spans="1:20" x14ac:dyDescent="0.2">
      <c r="A40" s="1"/>
      <c r="B40" s="1"/>
      <c r="C40" s="1"/>
      <c r="D40" s="1"/>
      <c r="E40" s="1"/>
      <c r="F40" s="1"/>
      <c r="G40" s="161"/>
      <c r="H40" s="161"/>
      <c r="I40" s="1"/>
      <c r="J40" s="9"/>
      <c r="K40" s="9"/>
      <c r="L40" s="9"/>
      <c r="M40" s="9"/>
      <c r="N40" s="9"/>
      <c r="O40" s="9"/>
      <c r="P40" s="9"/>
      <c r="Q40" s="9"/>
      <c r="S40" s="1"/>
      <c r="T40" s="1"/>
    </row>
    <row r="41" spans="1:20" x14ac:dyDescent="0.2">
      <c r="A41" s="1"/>
      <c r="B41" s="1"/>
      <c r="C41" s="1"/>
      <c r="D41" s="1"/>
      <c r="E41" s="1"/>
      <c r="F41" s="1"/>
      <c r="G41" s="161"/>
      <c r="H41" s="161"/>
      <c r="I41" s="1"/>
      <c r="J41" s="9"/>
      <c r="K41" s="9"/>
      <c r="L41" s="9"/>
      <c r="M41" s="9"/>
      <c r="N41" s="9"/>
      <c r="O41" s="9"/>
      <c r="P41" s="9"/>
      <c r="Q41" s="9"/>
      <c r="S41" s="1"/>
      <c r="T41" s="1"/>
    </row>
    <row r="42" spans="1:20" x14ac:dyDescent="0.2">
      <c r="A42" s="1"/>
      <c r="B42" s="1"/>
      <c r="C42" s="1"/>
      <c r="D42" s="1"/>
      <c r="E42" s="1"/>
      <c r="F42" s="1"/>
      <c r="G42" s="161"/>
      <c r="H42" s="161"/>
      <c r="I42" s="1"/>
      <c r="J42" s="9"/>
      <c r="K42" s="9"/>
      <c r="L42" s="9"/>
      <c r="M42" s="9"/>
      <c r="N42" s="9"/>
      <c r="O42" s="9"/>
      <c r="P42" s="9"/>
      <c r="Q42" s="9"/>
      <c r="S42" s="1"/>
      <c r="T42" s="1"/>
    </row>
  </sheetData>
  <pageMargins left="0.7" right="0.7" top="0.75" bottom="0.75" header="0.3" footer="0.3"/>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theme="3"/>
  </sheetPr>
  <dimension ref="A1:T41"/>
  <sheetViews>
    <sheetView showGridLines="0" zoomScale="80" zoomScaleNormal="80" workbookViewId="0">
      <pane xSplit="2" ySplit="2" topLeftCell="C3" activePane="bottomRight" state="frozen"/>
      <selection pane="topRight" activeCell="C1" sqref="C1"/>
      <selection pane="bottomLeft" activeCell="A3" sqref="A3"/>
      <selection pane="bottomRight" activeCell="B12" sqref="B12"/>
    </sheetView>
  </sheetViews>
  <sheetFormatPr defaultColWidth="9" defaultRowHeight="12.75" x14ac:dyDescent="0.2"/>
  <cols>
    <col min="1" max="1" width="2" style="1" customWidth="1"/>
    <col min="2" max="2" width="43.125" style="1" customWidth="1"/>
    <col min="3" max="3" width="17.25" style="1" customWidth="1"/>
    <col min="4" max="4" width="13.125" style="1" customWidth="1"/>
    <col min="5" max="5" width="16" style="1" customWidth="1"/>
    <col min="6" max="6" width="1.625" style="1" customWidth="1"/>
    <col min="7" max="7" width="11.375" style="161" customWidth="1"/>
    <col min="8" max="8" width="17" style="161" customWidth="1"/>
    <col min="9" max="9" width="5.875" style="1" customWidth="1"/>
    <col min="10" max="10" width="9.75" style="1" customWidth="1"/>
    <col min="11" max="12" width="9" style="1" customWidth="1"/>
    <col min="13" max="17" width="9" style="1"/>
    <col min="18" max="18" width="2.5" style="1" customWidth="1"/>
    <col min="19" max="16384" width="9" style="1"/>
  </cols>
  <sheetData>
    <row r="1" spans="1:20" ht="21" x14ac:dyDescent="0.35">
      <c r="A1" s="3" t="s">
        <v>5</v>
      </c>
    </row>
    <row r="2" spans="1:20" ht="18.75" x14ac:dyDescent="0.3">
      <c r="A2" s="8" t="str">
        <f ca="1">RIGHT(CELL("filename",A1),LEN(CELL("filename",A1))-FIND("]",CELL("filename",A1),1))</f>
        <v>ESV levy</v>
      </c>
    </row>
    <row r="6" spans="1:20" x14ac:dyDescent="0.2">
      <c r="A6" s="2" t="s">
        <v>44</v>
      </c>
      <c r="B6" s="2"/>
      <c r="C6" s="2"/>
      <c r="D6" s="2"/>
      <c r="E6" s="2"/>
      <c r="F6" s="2"/>
      <c r="G6" s="229"/>
      <c r="H6" s="229"/>
      <c r="I6" s="2"/>
      <c r="J6" s="2"/>
      <c r="K6" s="7"/>
      <c r="L6" s="7"/>
      <c r="M6" s="7"/>
      <c r="N6" s="7"/>
      <c r="O6" s="7"/>
      <c r="P6" s="7"/>
      <c r="Q6" s="7"/>
    </row>
    <row r="10" spans="1:20" x14ac:dyDescent="0.2">
      <c r="B10" s="141" t="s">
        <v>134</v>
      </c>
    </row>
    <row r="11" spans="1:20" x14ac:dyDescent="0.2">
      <c r="B11" s="145" t="s">
        <v>270</v>
      </c>
    </row>
    <row r="12" spans="1:20" x14ac:dyDescent="0.2">
      <c r="B12" s="142" t="s">
        <v>149</v>
      </c>
    </row>
    <row r="13" spans="1:20" x14ac:dyDescent="0.2">
      <c r="B13" s="162" t="s">
        <v>263</v>
      </c>
    </row>
    <row r="15" spans="1:20" x14ac:dyDescent="0.2">
      <c r="A15" s="2" t="s">
        <v>53</v>
      </c>
      <c r="B15" s="2"/>
      <c r="C15" s="2"/>
      <c r="D15" s="2"/>
      <c r="E15" s="2"/>
      <c r="F15" s="2"/>
      <c r="G15" s="229"/>
      <c r="H15" s="229" t="s">
        <v>132</v>
      </c>
      <c r="I15" s="2"/>
      <c r="J15" s="2" t="s">
        <v>123</v>
      </c>
      <c r="K15" s="7" t="s">
        <v>46</v>
      </c>
      <c r="L15" s="7" t="s">
        <v>47</v>
      </c>
      <c r="M15" s="7" t="s">
        <v>48</v>
      </c>
      <c r="N15" s="7" t="s">
        <v>49</v>
      </c>
      <c r="O15" s="7" t="s">
        <v>50</v>
      </c>
      <c r="P15" s="7" t="s">
        <v>51</v>
      </c>
      <c r="Q15" s="7" t="s">
        <v>52</v>
      </c>
    </row>
    <row r="16" spans="1:20" s="14" customFormat="1" x14ac:dyDescent="0.2">
      <c r="A16" s="12"/>
      <c r="B16" s="12"/>
      <c r="C16" s="12"/>
      <c r="D16" s="12"/>
      <c r="E16" s="12"/>
      <c r="F16" s="12"/>
      <c r="G16" s="234"/>
      <c r="H16" s="234"/>
      <c r="I16" s="12"/>
      <c r="J16" s="12"/>
      <c r="K16" s="12"/>
      <c r="L16" s="12"/>
      <c r="M16" s="12"/>
      <c r="N16" s="12"/>
      <c r="O16" s="12"/>
      <c r="P16" s="12"/>
      <c r="Q16" s="12"/>
      <c r="R16" s="1"/>
      <c r="S16" s="1"/>
      <c r="T16" s="1"/>
    </row>
    <row r="17" spans="1:20" x14ac:dyDescent="0.2">
      <c r="B17" s="1" t="s">
        <v>32</v>
      </c>
      <c r="G17" s="264" t="s">
        <v>122</v>
      </c>
    </row>
    <row r="18" spans="1:20" x14ac:dyDescent="0.2">
      <c r="B18" s="1" t="s">
        <v>171</v>
      </c>
      <c r="L18" s="280">
        <v>2.000000000000024E-2</v>
      </c>
      <c r="M18" s="280">
        <v>2.4E-2</v>
      </c>
      <c r="N18" s="280">
        <v>2.4E-2</v>
      </c>
      <c r="O18" s="280">
        <v>2.4E-2</v>
      </c>
      <c r="P18" s="280">
        <v>2.4E-2</v>
      </c>
      <c r="Q18" s="280">
        <v>2.4E-2</v>
      </c>
    </row>
    <row r="19" spans="1:20" x14ac:dyDescent="0.2">
      <c r="B19" s="1" t="s">
        <v>173</v>
      </c>
      <c r="L19" s="222">
        <v>1</v>
      </c>
      <c r="M19" s="224">
        <f t="shared" ref="M19:Q19" si="0">L19*(1+M18)</f>
        <v>1.024</v>
      </c>
      <c r="N19" s="224">
        <f t="shared" si="0"/>
        <v>1.048576</v>
      </c>
      <c r="O19" s="224">
        <f t="shared" si="0"/>
        <v>1.0737418240000001</v>
      </c>
      <c r="P19" s="224">
        <f t="shared" si="0"/>
        <v>1.0995116277760002</v>
      </c>
      <c r="Q19" s="224">
        <f t="shared" si="0"/>
        <v>1.1258999068426243</v>
      </c>
    </row>
    <row r="21" spans="1:20" x14ac:dyDescent="0.2">
      <c r="B21" s="127" t="s">
        <v>9</v>
      </c>
      <c r="C21" s="127"/>
      <c r="D21" s="127"/>
      <c r="E21" s="127"/>
      <c r="F21" s="127"/>
      <c r="G21" s="268" t="s">
        <v>168</v>
      </c>
      <c r="H21" s="241" t="s">
        <v>158</v>
      </c>
      <c r="J21" s="222">
        <v>2451.1370000000002</v>
      </c>
      <c r="K21" s="222">
        <v>2997.681</v>
      </c>
      <c r="L21" s="222">
        <v>3349.5390000000002</v>
      </c>
      <c r="M21" s="222">
        <v>3669.0909999999999</v>
      </c>
      <c r="N21" s="222">
        <v>3785.1950000000002</v>
      </c>
      <c r="O21" s="222">
        <v>3904.7820000000002</v>
      </c>
      <c r="P21" s="222">
        <v>4028.147154248064</v>
      </c>
      <c r="Q21" s="222">
        <v>4155.4098273032341</v>
      </c>
    </row>
    <row r="22" spans="1:20" x14ac:dyDescent="0.2">
      <c r="B22" s="127"/>
      <c r="C22" s="127"/>
      <c r="D22" s="127"/>
      <c r="E22" s="127"/>
      <c r="F22" s="127"/>
      <c r="G22" s="268"/>
      <c r="H22" s="241"/>
    </row>
    <row r="24" spans="1:20" x14ac:dyDescent="0.2">
      <c r="A24" s="2" t="s">
        <v>11</v>
      </c>
      <c r="B24" s="2"/>
      <c r="C24" s="2"/>
      <c r="D24" s="2"/>
      <c r="E24" s="2"/>
      <c r="F24" s="2"/>
      <c r="G24" s="229"/>
      <c r="H24" s="229"/>
      <c r="I24" s="2"/>
      <c r="J24" s="2" t="s">
        <v>123</v>
      </c>
      <c r="K24" s="7" t="s">
        <v>46</v>
      </c>
      <c r="L24" s="7" t="s">
        <v>47</v>
      </c>
      <c r="M24" s="7" t="s">
        <v>48</v>
      </c>
      <c r="N24" s="7" t="s">
        <v>49</v>
      </c>
      <c r="O24" s="7" t="s">
        <v>50</v>
      </c>
      <c r="P24" s="7" t="s">
        <v>51</v>
      </c>
      <c r="Q24" s="7" t="s">
        <v>52</v>
      </c>
    </row>
    <row r="27" spans="1:20" x14ac:dyDescent="0.2">
      <c r="B27" s="1" t="s">
        <v>221</v>
      </c>
      <c r="G27" s="268">
        <v>2019</v>
      </c>
      <c r="K27" s="223">
        <f>AVERAGE(J21:K21)</f>
        <v>2724.4090000000001</v>
      </c>
    </row>
    <row r="28" spans="1:20" x14ac:dyDescent="0.2">
      <c r="B28" s="1" t="s">
        <v>230</v>
      </c>
      <c r="G28" s="268" t="s">
        <v>222</v>
      </c>
      <c r="K28" s="223"/>
      <c r="M28" s="223">
        <f>M21/M$19</f>
        <v>3583.0966796875</v>
      </c>
      <c r="N28" s="223">
        <f>N21/N$19</f>
        <v>3609.8432540893559</v>
      </c>
      <c r="O28" s="223">
        <f>O21/O$19</f>
        <v>3636.6116255521774</v>
      </c>
      <c r="P28" s="223">
        <f>P21/P$19</f>
        <v>3663.5784947503121</v>
      </c>
      <c r="Q28" s="223">
        <f>Q21/Q$19</f>
        <v>3690.7453336205558</v>
      </c>
    </row>
    <row r="29" spans="1:20" x14ac:dyDescent="0.2">
      <c r="B29" s="213" t="s">
        <v>231</v>
      </c>
      <c r="G29" s="268" t="s">
        <v>222</v>
      </c>
      <c r="M29" s="223">
        <f>$K27*INDEX(Assumptions!$F$20:$F$22,MATCH($G27,Assumptions!$D$20:$D$22,0))</f>
        <v>2840.0274797998427</v>
      </c>
      <c r="N29" s="223">
        <f>$K27*INDEX(Assumptions!$F$20:$F$22,MATCH($G27,Assumptions!$D$20:$D$22,0))</f>
        <v>2840.0274797998427</v>
      </c>
      <c r="O29" s="223">
        <f>$K27*INDEX(Assumptions!$F$20:$F$22,MATCH($G27,Assumptions!$D$20:$D$22,0))</f>
        <v>2840.0274797998427</v>
      </c>
      <c r="P29" s="223">
        <f>$K27*INDEX(Assumptions!$F$20:$F$22,MATCH($G27,Assumptions!$D$20:$D$22,0))</f>
        <v>2840.0274797998427</v>
      </c>
      <c r="Q29" s="223">
        <f>$K27*INDEX(Assumptions!$F$20:$F$22,MATCH($G27,Assumptions!$D$20:$D$22,0))</f>
        <v>2840.0274797998427</v>
      </c>
    </row>
    <row r="30" spans="1:20" x14ac:dyDescent="0.2">
      <c r="B30" s="213"/>
      <c r="G30" s="268"/>
      <c r="M30" s="120"/>
      <c r="N30" s="223"/>
      <c r="O30" s="223"/>
      <c r="P30" s="223"/>
      <c r="Q30" s="223"/>
    </row>
    <row r="31" spans="1:20" x14ac:dyDescent="0.2">
      <c r="B31" s="213"/>
      <c r="G31" s="268"/>
      <c r="M31" s="223"/>
      <c r="N31" s="223"/>
      <c r="O31" s="223"/>
      <c r="P31" s="223"/>
      <c r="Q31" s="223"/>
    </row>
    <row r="32" spans="1:20" s="127" customFormat="1" x14ac:dyDescent="0.2">
      <c r="A32" s="2" t="s">
        <v>198</v>
      </c>
      <c r="B32" s="2"/>
      <c r="C32" s="2"/>
      <c r="D32" s="2"/>
      <c r="E32" s="2"/>
      <c r="F32" s="2"/>
      <c r="G32" s="229"/>
      <c r="H32" s="229"/>
      <c r="I32" s="2"/>
      <c r="J32" s="2" t="s">
        <v>123</v>
      </c>
      <c r="K32" s="7" t="s">
        <v>46</v>
      </c>
      <c r="L32" s="7" t="s">
        <v>47</v>
      </c>
      <c r="M32" s="7" t="s">
        <v>48</v>
      </c>
      <c r="N32" s="7" t="s">
        <v>49</v>
      </c>
      <c r="O32" s="7" t="s">
        <v>50</v>
      </c>
      <c r="P32" s="7" t="s">
        <v>51</v>
      </c>
      <c r="Q32" s="7" t="s">
        <v>52</v>
      </c>
      <c r="R32" s="1"/>
      <c r="S32" s="7" t="s">
        <v>135</v>
      </c>
      <c r="T32" s="1"/>
    </row>
    <row r="33" spans="1:20" x14ac:dyDescent="0.2">
      <c r="G33" s="268"/>
      <c r="K33" s="223"/>
    </row>
    <row r="34" spans="1:20" x14ac:dyDescent="0.2">
      <c r="B34" s="1" t="s">
        <v>223</v>
      </c>
      <c r="G34" s="268" t="s">
        <v>222</v>
      </c>
      <c r="K34" s="223"/>
      <c r="M34" s="223">
        <f>M28-M29</f>
        <v>743.06919988765731</v>
      </c>
      <c r="N34" s="223">
        <f>N28-N29</f>
        <v>769.81577428951323</v>
      </c>
      <c r="O34" s="223">
        <f>O28-O29</f>
        <v>796.58414575233473</v>
      </c>
      <c r="P34" s="223">
        <f>P28-P29</f>
        <v>823.55101495046938</v>
      </c>
      <c r="Q34" s="223">
        <f>Q28-Q29</f>
        <v>850.71785382071312</v>
      </c>
      <c r="S34" s="223">
        <f>SUM(M34:Q34)</f>
        <v>3983.7379887006878</v>
      </c>
    </row>
    <row r="35" spans="1:20" x14ac:dyDescent="0.2">
      <c r="G35" s="268"/>
      <c r="K35" s="223"/>
      <c r="M35" s="223"/>
      <c r="N35" s="223"/>
      <c r="O35" s="223"/>
      <c r="P35" s="223"/>
      <c r="Q35" s="223"/>
      <c r="S35" s="223"/>
    </row>
    <row r="36" spans="1:20" x14ac:dyDescent="0.2">
      <c r="G36" s="268"/>
      <c r="K36" s="223"/>
      <c r="M36" s="223"/>
      <c r="N36" s="223"/>
      <c r="O36" s="223"/>
      <c r="P36" s="223"/>
      <c r="Q36" s="223"/>
    </row>
    <row r="37" spans="1:20" x14ac:dyDescent="0.2">
      <c r="G37" s="268"/>
      <c r="K37" s="223"/>
      <c r="M37" s="223"/>
      <c r="N37" s="223"/>
      <c r="O37" s="223"/>
      <c r="P37" s="223"/>
      <c r="Q37" s="223"/>
    </row>
    <row r="38" spans="1:20" s="127" customFormat="1" x14ac:dyDescent="0.2">
      <c r="A38" s="2" t="s">
        <v>6</v>
      </c>
      <c r="B38" s="2"/>
      <c r="C38" s="2"/>
      <c r="D38" s="2"/>
      <c r="E38" s="2"/>
      <c r="F38" s="2"/>
      <c r="G38" s="229"/>
      <c r="H38" s="229"/>
      <c r="I38" s="2"/>
      <c r="J38" s="2" t="s">
        <v>123</v>
      </c>
      <c r="K38" s="7" t="s">
        <v>46</v>
      </c>
      <c r="L38" s="7" t="s">
        <v>47</v>
      </c>
      <c r="M38" s="7" t="s">
        <v>48</v>
      </c>
      <c r="N38" s="7" t="s">
        <v>49</v>
      </c>
      <c r="O38" s="7" t="s">
        <v>50</v>
      </c>
      <c r="P38" s="7" t="s">
        <v>51</v>
      </c>
      <c r="Q38" s="7" t="s">
        <v>52</v>
      </c>
      <c r="R38" s="1"/>
      <c r="S38" s="7" t="s">
        <v>135</v>
      </c>
      <c r="T38" s="1"/>
    </row>
    <row r="39" spans="1:20" x14ac:dyDescent="0.2">
      <c r="H39" s="181"/>
      <c r="M39" s="15"/>
      <c r="N39" s="15"/>
      <c r="O39" s="15"/>
      <c r="P39" s="15"/>
      <c r="Q39" s="15"/>
    </row>
    <row r="40" spans="1:20" x14ac:dyDescent="0.2">
      <c r="B40" s="216" t="str">
        <f ca="1">"Powercor "&amp;$A$2</f>
        <v>Powercor ESV levy</v>
      </c>
      <c r="C40" s="218"/>
      <c r="D40" s="218"/>
      <c r="E40" s="218"/>
      <c r="F40" s="218"/>
      <c r="G40" s="231" t="s">
        <v>222</v>
      </c>
      <c r="H40" s="252"/>
      <c r="I40" s="218"/>
      <c r="J40" s="218"/>
      <c r="K40" s="218"/>
      <c r="L40" s="219"/>
      <c r="M40" s="225">
        <f>M34</f>
        <v>743.06919988765731</v>
      </c>
      <c r="N40" s="225">
        <f t="shared" ref="N40:Q40" si="1">N34</f>
        <v>769.81577428951323</v>
      </c>
      <c r="O40" s="225">
        <f t="shared" si="1"/>
        <v>796.58414575233473</v>
      </c>
      <c r="P40" s="225">
        <f t="shared" si="1"/>
        <v>823.55101495046938</v>
      </c>
      <c r="Q40" s="225">
        <f t="shared" si="1"/>
        <v>850.71785382071312</v>
      </c>
      <c r="S40" s="225">
        <f>SUM(M40:Q40)</f>
        <v>3983.7379887006878</v>
      </c>
    </row>
    <row r="41" spans="1:20" s="124" customFormat="1" x14ac:dyDescent="0.2">
      <c r="B41" s="313"/>
      <c r="C41" s="313"/>
      <c r="D41" s="313"/>
      <c r="E41" s="313"/>
      <c r="F41" s="313"/>
      <c r="G41" s="314"/>
      <c r="H41" s="315"/>
      <c r="I41" s="313"/>
      <c r="J41" s="225"/>
      <c r="K41" s="225"/>
      <c r="L41" s="225"/>
      <c r="M41" s="225"/>
      <c r="N41" s="225"/>
      <c r="O41" s="225"/>
      <c r="P41" s="225"/>
      <c r="Q41" s="225"/>
      <c r="S41" s="225"/>
    </row>
  </sheetData>
  <pageMargins left="0.7" right="0.7" top="0.75" bottom="0.75" header="0.3" footer="0.3"/>
  <pageSetup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theme="3"/>
  </sheetPr>
  <dimension ref="A1:T39"/>
  <sheetViews>
    <sheetView showGridLines="0" zoomScale="80" zoomScaleNormal="80" workbookViewId="0">
      <pane xSplit="2" ySplit="2" topLeftCell="D3" activePane="bottomRight" state="frozen"/>
      <selection pane="topRight" activeCell="C1" sqref="C1"/>
      <selection pane="bottomLeft" activeCell="A3" sqref="A3"/>
      <selection pane="bottomRight" activeCell="U48" sqref="U48"/>
    </sheetView>
  </sheetViews>
  <sheetFormatPr defaultColWidth="9" defaultRowHeight="12.75" x14ac:dyDescent="0.2"/>
  <cols>
    <col min="1" max="1" width="2" style="1" customWidth="1"/>
    <col min="2" max="2" width="43.125" style="1" customWidth="1"/>
    <col min="3" max="3" width="17.25" style="1" customWidth="1"/>
    <col min="4" max="4" width="13.125" style="1" customWidth="1"/>
    <col min="5" max="5" width="16" style="1" customWidth="1"/>
    <col min="6" max="6" width="1.625" style="1" customWidth="1"/>
    <col min="7" max="7" width="11.375" style="161" customWidth="1"/>
    <col min="8" max="8" width="17" style="161" customWidth="1"/>
    <col min="9" max="9" width="5.875" style="1" customWidth="1"/>
    <col min="10" max="10" width="9.75" style="1" customWidth="1"/>
    <col min="11" max="12" width="9" style="1" customWidth="1"/>
    <col min="13" max="17" width="9" style="1"/>
    <col min="18" max="18" width="2.5" style="1" customWidth="1"/>
    <col min="19" max="16384" width="9" style="1"/>
  </cols>
  <sheetData>
    <row r="1" spans="1:17" ht="21" x14ac:dyDescent="0.35">
      <c r="A1" s="3" t="s">
        <v>5</v>
      </c>
    </row>
    <row r="2" spans="1:17" ht="18.75" x14ac:dyDescent="0.3">
      <c r="A2" s="8" t="str">
        <f ca="1">RIGHT(CELL("filename",A1),LEN(CELL("filename",A1))-FIND("]",CELL("filename",A1),1))</f>
        <v>Financial year RIN</v>
      </c>
    </row>
    <row r="6" spans="1:17" x14ac:dyDescent="0.2">
      <c r="A6" s="2" t="s">
        <v>44</v>
      </c>
      <c r="B6" s="2"/>
      <c r="C6" s="2"/>
      <c r="D6" s="2"/>
      <c r="E6" s="2"/>
      <c r="F6" s="2"/>
      <c r="G6" s="229"/>
      <c r="H6" s="229"/>
      <c r="I6" s="2"/>
      <c r="J6" s="2"/>
      <c r="K6" s="7"/>
      <c r="L6" s="7"/>
      <c r="M6" s="7"/>
      <c r="N6" s="7"/>
      <c r="O6" s="7"/>
      <c r="P6" s="7"/>
      <c r="Q6" s="7"/>
    </row>
    <row r="7" spans="1:17" x14ac:dyDescent="0.2">
      <c r="B7" s="221"/>
      <c r="C7" s="221"/>
      <c r="D7" s="221"/>
      <c r="E7" s="221"/>
      <c r="F7" s="221"/>
    </row>
    <row r="8" spans="1:17" x14ac:dyDescent="0.2">
      <c r="B8" s="221"/>
      <c r="C8" s="221"/>
      <c r="D8" s="221"/>
      <c r="E8" s="221"/>
      <c r="F8" s="221"/>
    </row>
    <row r="9" spans="1:17" x14ac:dyDescent="0.2">
      <c r="B9" s="221"/>
      <c r="C9" s="221"/>
      <c r="D9" s="221"/>
      <c r="E9" s="221"/>
      <c r="F9" s="221"/>
    </row>
    <row r="11" spans="1:17" x14ac:dyDescent="0.2">
      <c r="B11" s="141" t="s">
        <v>134</v>
      </c>
    </row>
    <row r="12" spans="1:17" x14ac:dyDescent="0.2">
      <c r="B12" s="145" t="s">
        <v>271</v>
      </c>
    </row>
    <row r="13" spans="1:17" x14ac:dyDescent="0.2">
      <c r="B13" s="142" t="s">
        <v>149</v>
      </c>
    </row>
    <row r="14" spans="1:17" x14ac:dyDescent="0.2">
      <c r="B14" s="162" t="s">
        <v>263</v>
      </c>
    </row>
    <row r="16" spans="1:17" x14ac:dyDescent="0.2">
      <c r="A16" s="2" t="s">
        <v>53</v>
      </c>
      <c r="B16" s="2"/>
      <c r="C16" s="2"/>
      <c r="D16" s="2"/>
      <c r="E16" s="2"/>
      <c r="F16" s="2"/>
      <c r="G16" s="229"/>
      <c r="H16" s="229" t="s">
        <v>132</v>
      </c>
      <c r="I16" s="2"/>
      <c r="J16" s="2"/>
      <c r="K16" s="7">
        <v>2019</v>
      </c>
      <c r="L16" s="7">
        <v>2020</v>
      </c>
      <c r="M16" s="7" t="s">
        <v>48</v>
      </c>
      <c r="N16" s="7" t="s">
        <v>49</v>
      </c>
      <c r="O16" s="7" t="s">
        <v>50</v>
      </c>
      <c r="P16" s="7" t="s">
        <v>51</v>
      </c>
      <c r="Q16" s="7" t="s">
        <v>52</v>
      </c>
    </row>
    <row r="17" spans="1:20" s="14" customFormat="1" x14ac:dyDescent="0.2">
      <c r="A17" s="12"/>
      <c r="B17" s="12"/>
      <c r="C17" s="12"/>
      <c r="D17" s="12"/>
      <c r="E17" s="12"/>
      <c r="F17" s="12"/>
      <c r="G17" s="234"/>
      <c r="H17" s="234"/>
      <c r="I17" s="12"/>
      <c r="J17" s="12"/>
      <c r="K17" s="12"/>
      <c r="L17" s="12"/>
      <c r="M17" s="12"/>
      <c r="N17" s="12"/>
      <c r="O17" s="12"/>
      <c r="P17" s="12"/>
      <c r="Q17" s="12"/>
      <c r="R17" s="1"/>
      <c r="S17" s="1"/>
      <c r="T17" s="1"/>
    </row>
    <row r="18" spans="1:20" x14ac:dyDescent="0.2">
      <c r="B18" s="1" t="s">
        <v>32</v>
      </c>
      <c r="G18" s="264">
        <v>2018</v>
      </c>
    </row>
    <row r="19" spans="1:20" x14ac:dyDescent="0.2">
      <c r="G19" s="284"/>
    </row>
    <row r="20" spans="1:20" x14ac:dyDescent="0.2">
      <c r="B20" s="1" t="s">
        <v>129</v>
      </c>
      <c r="G20" s="181">
        <f>G18</f>
        <v>2018</v>
      </c>
      <c r="H20" s="251" t="s">
        <v>159</v>
      </c>
      <c r="M20" s="285">
        <v>500</v>
      </c>
      <c r="N20" s="285">
        <v>500</v>
      </c>
      <c r="O20" s="285">
        <v>500</v>
      </c>
      <c r="P20" s="285">
        <v>500</v>
      </c>
      <c r="Q20" s="285">
        <v>500</v>
      </c>
    </row>
    <row r="21" spans="1:20" x14ac:dyDescent="0.2">
      <c r="B21" s="1" t="s">
        <v>130</v>
      </c>
      <c r="G21" s="181">
        <f>G18</f>
        <v>2018</v>
      </c>
      <c r="H21" s="251" t="s">
        <v>159</v>
      </c>
      <c r="M21" s="285">
        <v>148</v>
      </c>
      <c r="N21" s="285">
        <v>148</v>
      </c>
      <c r="O21" s="285">
        <v>148</v>
      </c>
      <c r="P21" s="285">
        <v>148</v>
      </c>
      <c r="Q21" s="285">
        <v>148</v>
      </c>
    </row>
    <row r="22" spans="1:20" x14ac:dyDescent="0.2">
      <c r="G22" s="181"/>
      <c r="H22" s="251"/>
    </row>
    <row r="23" spans="1:20" x14ac:dyDescent="0.2">
      <c r="G23" s="181"/>
      <c r="H23" s="251"/>
    </row>
    <row r="24" spans="1:20" x14ac:dyDescent="0.2">
      <c r="A24" s="2" t="s">
        <v>198</v>
      </c>
      <c r="B24" s="2"/>
      <c r="C24" s="2"/>
      <c r="D24" s="2"/>
      <c r="E24" s="2"/>
      <c r="F24" s="2"/>
      <c r="G24" s="229"/>
      <c r="H24" s="229"/>
      <c r="I24" s="2"/>
      <c r="J24" s="7"/>
      <c r="K24" s="7">
        <v>2019</v>
      </c>
      <c r="L24" s="7">
        <v>2020</v>
      </c>
      <c r="M24" s="7" t="s">
        <v>48</v>
      </c>
      <c r="N24" s="7" t="s">
        <v>49</v>
      </c>
      <c r="O24" s="7" t="s">
        <v>50</v>
      </c>
      <c r="P24" s="7" t="s">
        <v>51</v>
      </c>
      <c r="Q24" s="7" t="s">
        <v>52</v>
      </c>
      <c r="S24" s="7" t="s">
        <v>40</v>
      </c>
    </row>
    <row r="25" spans="1:20" x14ac:dyDescent="0.2">
      <c r="H25" s="181"/>
      <c r="M25" s="15"/>
      <c r="N25" s="15"/>
      <c r="O25" s="15"/>
      <c r="P25" s="15"/>
      <c r="Q25" s="15"/>
    </row>
    <row r="26" spans="1:20" x14ac:dyDescent="0.2">
      <c r="H26" s="181"/>
      <c r="M26" s="15"/>
      <c r="N26" s="15"/>
      <c r="O26" s="15"/>
      <c r="P26" s="15"/>
      <c r="Q26" s="15"/>
    </row>
    <row r="27" spans="1:20" x14ac:dyDescent="0.2">
      <c r="B27" s="218" t="s">
        <v>202</v>
      </c>
      <c r="C27" s="218"/>
      <c r="D27" s="218"/>
      <c r="E27" s="218"/>
      <c r="F27" s="218"/>
      <c r="G27" s="263">
        <f>G18</f>
        <v>2018</v>
      </c>
      <c r="H27" s="252"/>
      <c r="I27" s="218"/>
      <c r="J27" s="218"/>
      <c r="K27" s="218"/>
      <c r="L27" s="219"/>
      <c r="M27" s="219">
        <f>SUM(M20:M21)</f>
        <v>648</v>
      </c>
      <c r="N27" s="219">
        <f t="shared" ref="N27:Q27" si="0">SUM(N20:N21)</f>
        <v>648</v>
      </c>
      <c r="O27" s="219">
        <f t="shared" si="0"/>
        <v>648</v>
      </c>
      <c r="P27" s="219">
        <f t="shared" si="0"/>
        <v>648</v>
      </c>
      <c r="Q27" s="219">
        <f t="shared" si="0"/>
        <v>648</v>
      </c>
      <c r="S27" s="219">
        <f>SUM(M27:Q27)</f>
        <v>3240</v>
      </c>
    </row>
    <row r="28" spans="1:20" x14ac:dyDescent="0.2">
      <c r="B28" s="216" t="str">
        <f ca="1">"Total: "&amp;$A$1&amp;" "&amp;$A$2</f>
        <v>Total: VPN Financial year RIN</v>
      </c>
      <c r="C28" s="216"/>
      <c r="D28" s="216"/>
      <c r="E28" s="216"/>
      <c r="F28" s="216"/>
      <c r="G28" s="231" t="str">
        <f>"$k"&amp;" $"&amp;Year_of_Currency</f>
        <v>$k $2020/21</v>
      </c>
      <c r="H28" s="240"/>
      <c r="I28" s="216"/>
      <c r="J28" s="217"/>
      <c r="K28" s="217"/>
      <c r="L28" s="217"/>
      <c r="M28" s="217">
        <f>M27*INDEX(Assumptions!$F$20:$F$21,MATCH($G$18,Assumptions!$D$20:$D$22,0))</f>
        <v>686.26000076295588</v>
      </c>
      <c r="N28" s="217">
        <f>N27*INDEX(Assumptions!$F$20:$F$21,MATCH($G$18,Assumptions!$D$20:$D$22,0))</f>
        <v>686.26000076295588</v>
      </c>
      <c r="O28" s="217">
        <f>O27*INDEX(Assumptions!$F$20:$F$21,MATCH($G$18,Assumptions!$D$20:$D$22,0))</f>
        <v>686.26000076295588</v>
      </c>
      <c r="P28" s="217">
        <f>P27*INDEX(Assumptions!$F$20:$F$21,MATCH($G$18,Assumptions!$D$20:$D$22,0))</f>
        <v>686.26000076295588</v>
      </c>
      <c r="Q28" s="217">
        <f>Q27*INDEX(Assumptions!$F$20:$F$21,MATCH($G$18,Assumptions!$D$20:$D$22,0))</f>
        <v>686.26000076295588</v>
      </c>
      <c r="S28" s="217">
        <f>SUM(M28:Q28)</f>
        <v>3431.3000038147793</v>
      </c>
    </row>
    <row r="31" spans="1:20" x14ac:dyDescent="0.2">
      <c r="A31" s="2" t="s">
        <v>234</v>
      </c>
      <c r="B31" s="2"/>
      <c r="C31" s="2"/>
      <c r="D31" s="2"/>
      <c r="E31" s="2"/>
      <c r="F31" s="2"/>
      <c r="G31" s="229"/>
      <c r="H31" s="229"/>
      <c r="I31" s="2"/>
      <c r="J31" s="2"/>
      <c r="K31" s="7">
        <v>2019</v>
      </c>
      <c r="L31" s="7">
        <v>2020</v>
      </c>
      <c r="M31" s="7" t="s">
        <v>48</v>
      </c>
      <c r="N31" s="7" t="s">
        <v>49</v>
      </c>
      <c r="O31" s="7" t="s">
        <v>50</v>
      </c>
      <c r="P31" s="7" t="s">
        <v>51</v>
      </c>
      <c r="Q31" s="7" t="s">
        <v>52</v>
      </c>
      <c r="S31" s="7" t="s">
        <v>40</v>
      </c>
    </row>
    <row r="32" spans="1:20" x14ac:dyDescent="0.2">
      <c r="J32" s="120"/>
      <c r="K32" s="120"/>
      <c r="L32" s="120"/>
      <c r="M32" s="120"/>
      <c r="N32" s="120"/>
      <c r="O32" s="120"/>
      <c r="P32" s="120"/>
      <c r="Q32" s="120"/>
    </row>
    <row r="33" spans="2:19" x14ac:dyDescent="0.2">
      <c r="B33" s="1" t="str">
        <f ca="1">"Powercor "&amp;$A$2 &amp;" allocated cost"</f>
        <v>Powercor Financial year RIN allocated cost</v>
      </c>
      <c r="C33" s="270" t="s">
        <v>33</v>
      </c>
      <c r="G33" s="261" t="s">
        <v>201</v>
      </c>
      <c r="J33" s="120"/>
      <c r="K33" s="120"/>
      <c r="L33" s="120"/>
      <c r="M33" s="140">
        <f ca="1">M28*IF(ISNUMBER($C33),$C33,INDIRECT($C33))</f>
        <v>343.13000038147794</v>
      </c>
      <c r="N33" s="140">
        <f t="shared" ref="N33:Q33" ca="1" si="1">N28*IF(ISNUMBER($C33),$C33,INDIRECT($C33))</f>
        <v>343.13000038147794</v>
      </c>
      <c r="O33" s="140">
        <f t="shared" ca="1" si="1"/>
        <v>343.13000038147794</v>
      </c>
      <c r="P33" s="140">
        <f t="shared" ca="1" si="1"/>
        <v>343.13000038147794</v>
      </c>
      <c r="Q33" s="140">
        <f t="shared" ca="1" si="1"/>
        <v>343.13000038147794</v>
      </c>
      <c r="S33" s="118">
        <f ca="1">SUM(M33:Q33)</f>
        <v>1715.6500019073897</v>
      </c>
    </row>
    <row r="34" spans="2:19" x14ac:dyDescent="0.2">
      <c r="B34" s="1" t="str">
        <f ca="1">"CitiPower "&amp;$A$2 &amp;" allocated cost"</f>
        <v>CitiPower Financial year RIN allocated cost</v>
      </c>
      <c r="C34" s="270" t="s">
        <v>34</v>
      </c>
      <c r="G34" s="261" t="s">
        <v>201</v>
      </c>
      <c r="J34" s="120"/>
      <c r="K34" s="120"/>
      <c r="L34" s="120"/>
      <c r="M34" s="140">
        <f ca="1">M28*IF(ISNUMBER($C34),$C34,INDIRECT($C34))</f>
        <v>343.13000038147794</v>
      </c>
      <c r="N34" s="140">
        <f t="shared" ref="N34:Q34" ca="1" si="2">N28*IF(ISNUMBER($C34),$C34,INDIRECT($C34))</f>
        <v>343.13000038147794</v>
      </c>
      <c r="O34" s="140">
        <f t="shared" ca="1" si="2"/>
        <v>343.13000038147794</v>
      </c>
      <c r="P34" s="140">
        <f t="shared" ca="1" si="2"/>
        <v>343.13000038147794</v>
      </c>
      <c r="Q34" s="140">
        <f t="shared" ca="1" si="2"/>
        <v>343.13000038147794</v>
      </c>
      <c r="S34" s="118">
        <f ca="1">SUM(M34:Q34)</f>
        <v>1715.6500019073897</v>
      </c>
    </row>
    <row r="35" spans="2:19" x14ac:dyDescent="0.2">
      <c r="G35" s="259"/>
      <c r="J35" s="120"/>
      <c r="K35" s="120"/>
      <c r="L35" s="120"/>
      <c r="M35" s="120"/>
      <c r="N35" s="120"/>
      <c r="O35" s="120"/>
      <c r="P35" s="120"/>
      <c r="Q35" s="120"/>
      <c r="S35" s="279"/>
    </row>
    <row r="36" spans="2:19" x14ac:dyDescent="0.2">
      <c r="B36" s="5" t="s">
        <v>224</v>
      </c>
      <c r="G36" s="259"/>
      <c r="J36" s="120"/>
      <c r="K36" s="120"/>
      <c r="L36" s="120"/>
      <c r="M36" s="120"/>
      <c r="N36" s="120"/>
      <c r="O36" s="120"/>
      <c r="P36" s="120"/>
      <c r="Q36" s="120"/>
      <c r="S36" s="279"/>
    </row>
    <row r="37" spans="2:19" x14ac:dyDescent="0.2">
      <c r="B37" s="1" t="str">
        <f ca="1">"Powercor "&amp;$A$2</f>
        <v>Powercor Financial year RIN</v>
      </c>
      <c r="C37" s="270" t="s">
        <v>225</v>
      </c>
      <c r="G37" s="261" t="s">
        <v>201</v>
      </c>
      <c r="J37" s="120"/>
      <c r="K37" s="120"/>
      <c r="L37" s="120"/>
      <c r="M37" s="140">
        <f ca="1">M33*INDEX(Assumptions!N$44:N$45, MATCH($C37, Assumptions!$E$44:$E$45,0))</f>
        <v>354.00237616175133</v>
      </c>
      <c r="N37" s="140">
        <f ca="1">N33*INDEX(Assumptions!O$44:O$45, MATCH($C37, Assumptions!$E$44:$E$45,0))</f>
        <v>359.89303788395983</v>
      </c>
      <c r="O37" s="140">
        <f ca="1">O33*INDEX(Assumptions!P$44:P$45, MATCH($C37, Assumptions!$E$44:$E$45,0))</f>
        <v>365.84826125213345</v>
      </c>
      <c r="P37" s="140">
        <f ca="1">P33*INDEX(Assumptions!Q$44:Q$45, MATCH($C37, Assumptions!$E$44:$E$45,0))</f>
        <v>371.19245327313484</v>
      </c>
      <c r="Q37" s="140">
        <f ca="1">Q33*INDEX(Assumptions!R$44:R$45, MATCH($C37, Assumptions!$E$44:$E$45,0))</f>
        <v>376.06622154797151</v>
      </c>
      <c r="S37" s="118">
        <f ca="1">SUM(M37:Q37)</f>
        <v>1827.002350118951</v>
      </c>
    </row>
    <row r="38" spans="2:19" x14ac:dyDescent="0.2">
      <c r="C38" s="270"/>
      <c r="G38" s="261"/>
      <c r="J38" s="120"/>
      <c r="K38" s="120"/>
      <c r="L38" s="120"/>
      <c r="M38" s="140"/>
      <c r="N38" s="140"/>
      <c r="O38" s="140"/>
      <c r="P38" s="140"/>
      <c r="Q38" s="140"/>
      <c r="S38" s="118"/>
    </row>
    <row r="39" spans="2:19" x14ac:dyDescent="0.2">
      <c r="J39" s="9"/>
      <c r="K39" s="9"/>
      <c r="L39" s="9"/>
      <c r="M39" s="9"/>
      <c r="N39" s="9"/>
      <c r="O39" s="9"/>
      <c r="P39" s="9"/>
      <c r="Q39" s="9"/>
    </row>
  </sheetData>
  <pageMargins left="0.7" right="0.7" top="0.75" bottom="0.75" header="0.3" footer="0.3"/>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K94"/>
  <sheetViews>
    <sheetView showGridLines="0" zoomScale="80" zoomScaleNormal="80" workbookViewId="0">
      <selection activeCell="B16" sqref="B16:B26"/>
    </sheetView>
  </sheetViews>
  <sheetFormatPr defaultRowHeight="14.25" x14ac:dyDescent="0.2"/>
  <cols>
    <col min="1" max="1" width="15.125" style="31" customWidth="1"/>
    <col min="2" max="2" width="30.125" customWidth="1"/>
    <col min="3" max="3" width="55.625" customWidth="1"/>
    <col min="4" max="11" width="14.5" customWidth="1"/>
  </cols>
  <sheetData>
    <row r="1" spans="1:11" ht="26.25" x14ac:dyDescent="0.35">
      <c r="B1" s="32" t="s">
        <v>236</v>
      </c>
      <c r="C1" s="33"/>
      <c r="D1" s="33"/>
      <c r="E1" s="33"/>
      <c r="F1" s="33"/>
      <c r="G1" s="33"/>
      <c r="H1" s="33"/>
      <c r="I1" s="33"/>
      <c r="J1" s="33"/>
      <c r="K1" s="33"/>
    </row>
    <row r="2" spans="1:11" ht="26.25" x14ac:dyDescent="0.35">
      <c r="B2" s="34" t="s">
        <v>237</v>
      </c>
      <c r="C2" s="33"/>
      <c r="D2" s="33"/>
      <c r="E2" s="33"/>
      <c r="F2" s="33"/>
      <c r="G2" s="33"/>
      <c r="H2" s="33"/>
      <c r="I2" s="33"/>
      <c r="J2" s="33"/>
      <c r="K2" s="33"/>
    </row>
    <row r="3" spans="1:11" ht="26.25" x14ac:dyDescent="0.35">
      <c r="B3" s="35" t="s">
        <v>238</v>
      </c>
      <c r="C3" s="36"/>
      <c r="D3" s="36"/>
      <c r="E3" s="36"/>
      <c r="F3" s="36"/>
      <c r="G3" s="36"/>
      <c r="H3" s="36"/>
      <c r="I3" s="36"/>
      <c r="J3" s="36"/>
      <c r="K3" s="36"/>
    </row>
    <row r="4" spans="1:11" ht="20.25" x14ac:dyDescent="0.2">
      <c r="B4" s="37" t="s">
        <v>19</v>
      </c>
      <c r="C4" s="37"/>
      <c r="D4" s="37"/>
      <c r="E4" s="37"/>
      <c r="F4" s="37"/>
      <c r="G4" s="37"/>
      <c r="H4" s="37"/>
      <c r="I4" s="37"/>
      <c r="J4" s="37"/>
      <c r="K4" s="37"/>
    </row>
    <row r="5" spans="1:11" x14ac:dyDescent="0.2">
      <c r="B5" s="38"/>
      <c r="C5" s="38"/>
      <c r="D5" s="38"/>
      <c r="E5" s="38"/>
      <c r="F5" s="38"/>
      <c r="G5" s="38"/>
      <c r="H5" s="38"/>
      <c r="I5" s="38"/>
      <c r="J5" s="38"/>
      <c r="K5" s="38"/>
    </row>
    <row r="6" spans="1:11" ht="15" x14ac:dyDescent="0.2">
      <c r="B6" s="376" t="s">
        <v>20</v>
      </c>
      <c r="C6" s="377"/>
      <c r="D6" s="39"/>
      <c r="F6" s="39"/>
      <c r="G6" s="39"/>
      <c r="H6" s="39"/>
      <c r="I6" s="39"/>
      <c r="J6" s="39"/>
      <c r="K6" s="39"/>
    </row>
    <row r="7" spans="1:11" x14ac:dyDescent="0.2">
      <c r="B7" s="39"/>
      <c r="C7" s="39"/>
      <c r="D7" s="39"/>
      <c r="E7" s="39"/>
      <c r="F7" s="39"/>
      <c r="G7" s="39"/>
      <c r="H7" s="39"/>
      <c r="I7" s="39"/>
      <c r="J7" s="39"/>
      <c r="K7" s="39"/>
    </row>
    <row r="8" spans="1:11" x14ac:dyDescent="0.2">
      <c r="B8" s="40" t="s">
        <v>21</v>
      </c>
      <c r="C8" s="40"/>
    </row>
    <row r="9" spans="1:11" x14ac:dyDescent="0.2">
      <c r="B9" s="378" t="s">
        <v>240</v>
      </c>
      <c r="C9" s="379"/>
    </row>
    <row r="10" spans="1:11" x14ac:dyDescent="0.2">
      <c r="B10" s="380" t="s">
        <v>22</v>
      </c>
      <c r="C10" s="381"/>
    </row>
    <row r="11" spans="1:11" ht="13.5" thickBot="1" x14ac:dyDescent="0.25">
      <c r="A11"/>
    </row>
    <row r="12" spans="1:11" ht="19.5" thickBot="1" x14ac:dyDescent="0.35">
      <c r="A12" s="41"/>
      <c r="B12" s="42" t="s">
        <v>23</v>
      </c>
      <c r="C12" s="42"/>
      <c r="D12" s="42"/>
      <c r="E12" s="42"/>
      <c r="F12" s="42"/>
      <c r="G12" s="42"/>
      <c r="H12" s="42"/>
      <c r="I12" s="42"/>
      <c r="J12" s="42"/>
      <c r="K12" s="42"/>
    </row>
    <row r="13" spans="1:11" x14ac:dyDescent="0.2">
      <c r="B13" s="43"/>
      <c r="C13" s="43"/>
      <c r="D13" s="43"/>
      <c r="E13" s="384" t="s">
        <v>24</v>
      </c>
      <c r="F13" s="385"/>
      <c r="G13" s="385"/>
      <c r="H13" s="385"/>
      <c r="I13" s="385"/>
      <c r="J13" s="385"/>
      <c r="K13" s="386"/>
    </row>
    <row r="14" spans="1:11" ht="27" customHeight="1" thickBot="1" x14ac:dyDescent="0.25">
      <c r="B14" s="43"/>
      <c r="C14" s="43"/>
      <c r="E14" s="387" t="s">
        <v>239</v>
      </c>
      <c r="F14" s="388"/>
      <c r="G14" s="388"/>
      <c r="H14" s="388"/>
      <c r="I14" s="388"/>
      <c r="J14" s="388"/>
      <c r="K14" s="389"/>
    </row>
    <row r="15" spans="1:11" ht="15" thickBot="1" x14ac:dyDescent="0.25">
      <c r="B15" s="44" t="s">
        <v>25</v>
      </c>
      <c r="C15" s="390" t="s">
        <v>26</v>
      </c>
      <c r="D15" s="391"/>
      <c r="E15" s="45" t="s">
        <v>246</v>
      </c>
      <c r="F15" s="46" t="s">
        <v>247</v>
      </c>
      <c r="G15" s="47" t="s">
        <v>248</v>
      </c>
      <c r="H15" s="47" t="s">
        <v>249</v>
      </c>
      <c r="I15" s="47" t="s">
        <v>250</v>
      </c>
      <c r="J15" s="47" t="s">
        <v>251</v>
      </c>
      <c r="K15" s="48" t="s">
        <v>252</v>
      </c>
    </row>
    <row r="16" spans="1:11" ht="15" x14ac:dyDescent="0.25">
      <c r="B16" s="329" t="str">
        <f ca="1">Output!B7</f>
        <v>HBRA zone reclassification</v>
      </c>
      <c r="C16" s="392" t="s">
        <v>273</v>
      </c>
      <c r="D16" s="393"/>
      <c r="E16" s="330"/>
      <c r="F16" s="331"/>
      <c r="G16" s="330">
        <f ca="1">Output!M7*1000</f>
        <v>20809123.979948431</v>
      </c>
      <c r="H16" s="332">
        <f ca="1">Output!N7*1000</f>
        <v>733581.9755534716</v>
      </c>
      <c r="I16" s="332">
        <f ca="1">Output!O7*1000</f>
        <v>0</v>
      </c>
      <c r="J16" s="332">
        <f ca="1">Output!P7*1000</f>
        <v>0</v>
      </c>
      <c r="K16" s="333">
        <f ca="1">Output!Q7*1000</f>
        <v>0</v>
      </c>
    </row>
    <row r="17" spans="1:11" ht="15" x14ac:dyDescent="0.25">
      <c r="B17" s="334" t="str">
        <f ca="1">Output!B8</f>
        <v>Security of critical infrastructure</v>
      </c>
      <c r="C17" s="374" t="s">
        <v>274</v>
      </c>
      <c r="D17" s="375"/>
      <c r="E17" s="335"/>
      <c r="F17" s="336"/>
      <c r="G17" s="335">
        <f ca="1">Output!M8*1000</f>
        <v>3068446.4689641343</v>
      </c>
      <c r="H17" s="337">
        <f ca="1">Output!N8*1000</f>
        <v>2784226.4272226975</v>
      </c>
      <c r="I17" s="337">
        <f ca="1">Output!O8*1000</f>
        <v>2830297.5887521664</v>
      </c>
      <c r="J17" s="337">
        <f ca="1">Output!P8*1000</f>
        <v>2871641.6523787105</v>
      </c>
      <c r="K17" s="338">
        <f ca="1">Output!Q8*1000</f>
        <v>2909346.3951843637</v>
      </c>
    </row>
    <row r="18" spans="1:11" ht="15" customHeight="1" x14ac:dyDescent="0.25">
      <c r="B18" s="334" t="str">
        <f ca="1">Output!B9</f>
        <v xml:space="preserve">REFCL on-going operating expenditure </v>
      </c>
      <c r="C18" s="374" t="s">
        <v>275</v>
      </c>
      <c r="D18" s="375"/>
      <c r="E18" s="335"/>
      <c r="F18" s="336"/>
      <c r="G18" s="335">
        <f ca="1">Output!M9*1000</f>
        <v>1844841.7632832895</v>
      </c>
      <c r="H18" s="337">
        <f ca="1">Output!N9*1000</f>
        <v>2184446.8425082741</v>
      </c>
      <c r="I18" s="337">
        <f ca="1">Output!O9*1000</f>
        <v>2791980.0558595164</v>
      </c>
      <c r="J18" s="337">
        <f ca="1">Output!P9*1000</f>
        <v>3174164.2046599425</v>
      </c>
      <c r="K18" s="338">
        <f ca="1">Output!Q9*1000</f>
        <v>3326282.5692940364</v>
      </c>
    </row>
    <row r="19" spans="1:11" ht="15" x14ac:dyDescent="0.25">
      <c r="B19" s="334" t="str">
        <f ca="1">Output!B10</f>
        <v>Replacing EDO fuses with fault tamers</v>
      </c>
      <c r="C19" s="374" t="s">
        <v>281</v>
      </c>
      <c r="D19" s="375"/>
      <c r="E19" s="335"/>
      <c r="F19" s="336"/>
      <c r="G19" s="335">
        <f ca="1">Output!M10*1000</f>
        <v>2178940.7185436483</v>
      </c>
      <c r="H19" s="337">
        <f ca="1">Output!N10*1000</f>
        <v>2208855.5130931251</v>
      </c>
      <c r="I19" s="337">
        <f ca="1">Output!O10*1000</f>
        <v>2238957.7716257628</v>
      </c>
      <c r="J19" s="337">
        <f ca="1">Output!P10*1000</f>
        <v>2265121.4207397243</v>
      </c>
      <c r="K19" s="338">
        <f ca="1">Output!Q10*1000</f>
        <v>2288234.3181115272</v>
      </c>
    </row>
    <row r="20" spans="1:11" ht="15" x14ac:dyDescent="0.25">
      <c r="B20" s="334" t="str">
        <f ca="1">Output!B11</f>
        <v>EPA regulations change</v>
      </c>
      <c r="C20" s="374" t="s">
        <v>278</v>
      </c>
      <c r="D20" s="375"/>
      <c r="E20" s="335"/>
      <c r="F20" s="336"/>
      <c r="G20" s="335">
        <f ca="1">Output!M11*1000</f>
        <v>3163536.5022268454</v>
      </c>
      <c r="H20" s="337">
        <f ca="1">Output!N11*1000</f>
        <v>3283342.5965440846</v>
      </c>
      <c r="I20" s="337">
        <f ca="1">Output!O11*1000</f>
        <v>3061132.3097303868</v>
      </c>
      <c r="J20" s="337">
        <f ca="1">Output!P11*1000</f>
        <v>11674.436367962613</v>
      </c>
      <c r="K20" s="338">
        <f ca="1">Output!Q11*1000</f>
        <v>80377.668898520846</v>
      </c>
    </row>
    <row r="21" spans="1:11" ht="15" x14ac:dyDescent="0.25">
      <c r="B21" s="334" t="str">
        <f ca="1">Output!B12</f>
        <v>Solar enablement</v>
      </c>
      <c r="C21" s="374" t="s">
        <v>276</v>
      </c>
      <c r="D21" s="375"/>
      <c r="E21" s="335"/>
      <c r="F21" s="336"/>
      <c r="G21" s="335">
        <f ca="1">Output!M12*1000</f>
        <v>1346199.2567001635</v>
      </c>
      <c r="H21" s="337">
        <f ca="1">Output!N12*1000</f>
        <v>1320574.3311744512</v>
      </c>
      <c r="I21" s="337">
        <f ca="1">Output!O12*1000</f>
        <v>1516588.29167004</v>
      </c>
      <c r="J21" s="337">
        <f ca="1">Output!P12*1000</f>
        <v>971011.72958388366</v>
      </c>
      <c r="K21" s="338">
        <f ca="1">Output!Q12*1000</f>
        <v>1008016.9012266997</v>
      </c>
    </row>
    <row r="22" spans="1:11" ht="15" x14ac:dyDescent="0.25">
      <c r="B22" s="334" t="str">
        <f ca="1">Output!B13</f>
        <v>IT cloud solutions</v>
      </c>
      <c r="C22" s="374" t="s">
        <v>282</v>
      </c>
      <c r="D22" s="375"/>
      <c r="E22" s="335"/>
      <c r="F22" s="336"/>
      <c r="G22" s="335">
        <f ca="1">Output!M13*1000</f>
        <v>854450.48923365655</v>
      </c>
      <c r="H22" s="337">
        <f ca="1">Output!N13*1000</f>
        <v>857034.60857410089</v>
      </c>
      <c r="I22" s="337">
        <f ca="1">Output!O13*1000</f>
        <v>1241599.4819656999</v>
      </c>
      <c r="J22" s="337">
        <f ca="1">Output!P13*1000</f>
        <v>1486357.7699209796</v>
      </c>
      <c r="K22" s="338">
        <f ca="1">Output!Q13*1000</f>
        <v>1488921.6583139566</v>
      </c>
    </row>
    <row r="23" spans="1:11" ht="15" x14ac:dyDescent="0.25">
      <c r="B23" s="334" t="str">
        <f ca="1">Output!B14</f>
        <v>Increasing insurance premiums</v>
      </c>
      <c r="C23" s="374" t="s">
        <v>279</v>
      </c>
      <c r="D23" s="375"/>
      <c r="E23" s="335"/>
      <c r="F23" s="336"/>
      <c r="G23" s="335">
        <f ca="1">Output!M14*1000</f>
        <v>1008324.2202339633</v>
      </c>
      <c r="H23" s="337">
        <f ca="1">Output!N14*1000</f>
        <v>1008324.2202339633</v>
      </c>
      <c r="I23" s="337">
        <f ca="1">Output!O14*1000</f>
        <v>1008324.2202339633</v>
      </c>
      <c r="J23" s="337">
        <f ca="1">Output!P14*1000</f>
        <v>1008324.2202339633</v>
      </c>
      <c r="K23" s="338">
        <f ca="1">Output!Q14*1000</f>
        <v>1008324.2202339633</v>
      </c>
    </row>
    <row r="24" spans="1:11" ht="15" x14ac:dyDescent="0.25">
      <c r="B24" s="334" t="str">
        <f ca="1">Output!B15</f>
        <v>5 minute settlement</v>
      </c>
      <c r="C24" s="374" t="s">
        <v>272</v>
      </c>
      <c r="D24" s="375"/>
      <c r="E24" s="335"/>
      <c r="F24" s="336"/>
      <c r="G24" s="335">
        <f ca="1">Output!M15*1000</f>
        <v>557800.42690542818</v>
      </c>
      <c r="H24" s="337">
        <f ca="1">Output!N15*1000</f>
        <v>761243.34790433163</v>
      </c>
      <c r="I24" s="337">
        <f ca="1">Output!O15*1000</f>
        <v>971216.76686805871</v>
      </c>
      <c r="J24" s="337">
        <f ca="1">Output!P15*1000</f>
        <v>1201025.4982439834</v>
      </c>
      <c r="K24" s="338">
        <f ca="1">Output!Q15*1000</f>
        <v>1450387.9618709565</v>
      </c>
    </row>
    <row r="25" spans="1:11" ht="15" x14ac:dyDescent="0.25">
      <c r="B25" s="334" t="str">
        <f ca="1">Output!B16</f>
        <v>ESV levy</v>
      </c>
      <c r="C25" s="374" t="s">
        <v>280</v>
      </c>
      <c r="D25" s="375"/>
      <c r="E25" s="335"/>
      <c r="F25" s="336"/>
      <c r="G25" s="335">
        <f ca="1">Output!M16*1000</f>
        <v>743069.19988765731</v>
      </c>
      <c r="H25" s="337">
        <f ca="1">Output!N16*1000</f>
        <v>769815.77428951324</v>
      </c>
      <c r="I25" s="337">
        <f ca="1">Output!O16*1000</f>
        <v>796584.14575233473</v>
      </c>
      <c r="J25" s="337">
        <f ca="1">Output!P16*1000</f>
        <v>823551.01495046937</v>
      </c>
      <c r="K25" s="338">
        <f ca="1">Output!Q16*1000</f>
        <v>850717.85382071312</v>
      </c>
    </row>
    <row r="26" spans="1:11" ht="15.75" thickBot="1" x14ac:dyDescent="0.3">
      <c r="B26" s="339" t="str">
        <f ca="1">Output!B17</f>
        <v>Financial year RIN</v>
      </c>
      <c r="C26" s="374" t="s">
        <v>277</v>
      </c>
      <c r="D26" s="375"/>
      <c r="E26" s="340"/>
      <c r="F26" s="341"/>
      <c r="G26" s="340">
        <f ca="1">Output!M17*1000</f>
        <v>354002.37616175134</v>
      </c>
      <c r="H26" s="342">
        <f ca="1">Output!N17*1000</f>
        <v>359893.03788395983</v>
      </c>
      <c r="I26" s="342">
        <f ca="1">Output!O17*1000</f>
        <v>365848.26125213347</v>
      </c>
      <c r="J26" s="342">
        <f ca="1">Output!P17*1000</f>
        <v>371192.45327313483</v>
      </c>
      <c r="K26" s="343">
        <f ca="1">Output!Q17*1000</f>
        <v>376066.22154797148</v>
      </c>
    </row>
    <row r="27" spans="1:11" ht="15" thickBot="1" x14ac:dyDescent="0.25">
      <c r="B27" s="382" t="s">
        <v>6</v>
      </c>
      <c r="C27" s="383"/>
      <c r="D27" s="383"/>
      <c r="E27" s="49">
        <f>SUM(E16:E25)</f>
        <v>0</v>
      </c>
      <c r="F27" s="49">
        <f>SUM(F16:F25)</f>
        <v>0</v>
      </c>
      <c r="G27" s="49">
        <f ca="1">SUM(G16:G26)</f>
        <v>35928735.40208897</v>
      </c>
      <c r="H27" s="203">
        <f ca="1">SUM(H16:H26)</f>
        <v>16271338.674981976</v>
      </c>
      <c r="I27" s="203">
        <f ca="1">SUM(I16:I26)</f>
        <v>16822528.893710062</v>
      </c>
      <c r="J27" s="203">
        <f ca="1">SUM(J16:J26)</f>
        <v>14184064.400352754</v>
      </c>
      <c r="K27" s="203">
        <f ca="1">SUM(K16:K26)</f>
        <v>14786675.768502709</v>
      </c>
    </row>
    <row r="28" spans="1:11" x14ac:dyDescent="0.2">
      <c r="B28" s="372" t="s">
        <v>16</v>
      </c>
      <c r="C28" s="373"/>
      <c r="D28" s="373"/>
      <c r="E28" s="50"/>
      <c r="F28" s="50"/>
      <c r="G28" s="51"/>
      <c r="H28" s="51"/>
      <c r="I28" s="51"/>
      <c r="J28" s="51"/>
      <c r="K28" s="52"/>
    </row>
    <row r="29" spans="1:11" ht="15" thickBot="1" x14ac:dyDescent="0.25">
      <c r="B29" s="53"/>
      <c r="C29" s="53"/>
      <c r="D29" s="54"/>
      <c r="E29" s="54"/>
      <c r="F29" s="54"/>
      <c r="G29" s="54"/>
      <c r="H29" s="54"/>
      <c r="I29" s="54"/>
      <c r="J29" s="53"/>
      <c r="K29" s="53"/>
    </row>
    <row r="30" spans="1:11" ht="19.5" thickBot="1" x14ac:dyDescent="0.35">
      <c r="A30" s="41"/>
      <c r="B30" s="55" t="s">
        <v>27</v>
      </c>
      <c r="C30" s="55"/>
      <c r="D30" s="55"/>
      <c r="E30" s="55"/>
      <c r="F30" s="55"/>
      <c r="G30" s="55"/>
      <c r="H30" s="55"/>
      <c r="I30" s="55"/>
      <c r="J30" s="55"/>
      <c r="K30" s="55"/>
    </row>
    <row r="31" spans="1:11" ht="12.75" x14ac:dyDescent="0.2">
      <c r="A31"/>
      <c r="B31" s="56"/>
      <c r="C31" s="57"/>
      <c r="D31" s="57"/>
      <c r="E31" s="369" t="s">
        <v>24</v>
      </c>
      <c r="F31" s="370"/>
      <c r="G31" s="370"/>
      <c r="H31" s="370"/>
      <c r="I31" s="370"/>
      <c r="J31" s="370"/>
      <c r="K31" s="371"/>
    </row>
    <row r="32" spans="1:11" ht="27.75" customHeight="1" thickBot="1" x14ac:dyDescent="0.25">
      <c r="B32" s="57"/>
      <c r="C32" s="57"/>
      <c r="D32" s="56"/>
      <c r="E32" s="362" t="s">
        <v>239</v>
      </c>
      <c r="F32" s="363"/>
      <c r="G32" s="363"/>
      <c r="H32" s="363"/>
      <c r="I32" s="363"/>
      <c r="J32" s="363"/>
      <c r="K32" s="364"/>
    </row>
    <row r="33" spans="1:11" ht="15" thickBot="1" x14ac:dyDescent="0.25">
      <c r="B33" s="321" t="s">
        <v>25</v>
      </c>
      <c r="C33" s="365" t="s">
        <v>26</v>
      </c>
      <c r="D33" s="366"/>
      <c r="E33" s="59" t="s">
        <v>246</v>
      </c>
      <c r="F33" s="60" t="s">
        <v>247</v>
      </c>
      <c r="G33" s="60" t="s">
        <v>248</v>
      </c>
      <c r="H33" s="60" t="s">
        <v>249</v>
      </c>
      <c r="I33" s="60" t="s">
        <v>250</v>
      </c>
      <c r="J33" s="60" t="s">
        <v>251</v>
      </c>
      <c r="K33" s="61" t="s">
        <v>252</v>
      </c>
    </row>
    <row r="34" spans="1:11" x14ac:dyDescent="0.2">
      <c r="B34" s="344"/>
      <c r="C34" s="358"/>
      <c r="D34" s="359"/>
      <c r="E34" s="63"/>
      <c r="F34" s="67"/>
      <c r="G34" s="65"/>
      <c r="H34" s="66"/>
      <c r="I34" s="66"/>
      <c r="J34" s="66"/>
      <c r="K34" s="67"/>
    </row>
    <row r="35" spans="1:11" x14ac:dyDescent="0.2">
      <c r="B35" s="345"/>
      <c r="C35" s="360"/>
      <c r="D35" s="361"/>
      <c r="E35" s="69"/>
      <c r="F35" s="73"/>
      <c r="G35" s="71"/>
      <c r="H35" s="72"/>
      <c r="I35" s="72"/>
      <c r="J35" s="72"/>
      <c r="K35" s="73"/>
    </row>
    <row r="36" spans="1:11" x14ac:dyDescent="0.2">
      <c r="B36" s="345"/>
      <c r="C36" s="358"/>
      <c r="D36" s="359"/>
      <c r="E36" s="69"/>
      <c r="F36" s="73"/>
      <c r="G36" s="71"/>
      <c r="H36" s="72"/>
      <c r="I36" s="72"/>
      <c r="J36" s="72"/>
      <c r="K36" s="73"/>
    </row>
    <row r="37" spans="1:11" x14ac:dyDescent="0.2">
      <c r="B37" s="345"/>
      <c r="C37" s="360"/>
      <c r="D37" s="361"/>
      <c r="E37" s="69"/>
      <c r="F37" s="73"/>
      <c r="G37" s="71"/>
      <c r="H37" s="72"/>
      <c r="I37" s="72"/>
      <c r="J37" s="72"/>
      <c r="K37" s="73"/>
    </row>
    <row r="38" spans="1:11" x14ac:dyDescent="0.2">
      <c r="B38" s="345"/>
      <c r="C38" s="358"/>
      <c r="D38" s="359"/>
      <c r="E38" s="69"/>
      <c r="F38" s="73"/>
      <c r="G38" s="71"/>
      <c r="H38" s="72"/>
      <c r="I38" s="72"/>
      <c r="J38" s="72"/>
      <c r="K38" s="73"/>
    </row>
    <row r="39" spans="1:11" x14ac:dyDescent="0.2">
      <c r="B39" s="345"/>
      <c r="C39" s="360"/>
      <c r="D39" s="361"/>
      <c r="E39" s="69"/>
      <c r="F39" s="73"/>
      <c r="G39" s="71"/>
      <c r="H39" s="72"/>
      <c r="I39" s="72"/>
      <c r="J39" s="72"/>
      <c r="K39" s="73"/>
    </row>
    <row r="40" spans="1:11" x14ac:dyDescent="0.2">
      <c r="B40" s="345"/>
      <c r="C40" s="358"/>
      <c r="D40" s="359"/>
      <c r="E40" s="69"/>
      <c r="F40" s="73"/>
      <c r="G40" s="71"/>
      <c r="H40" s="72"/>
      <c r="I40" s="72"/>
      <c r="J40" s="72"/>
      <c r="K40" s="73"/>
    </row>
    <row r="41" spans="1:11" x14ac:dyDescent="0.2">
      <c r="B41" s="345"/>
      <c r="C41" s="360"/>
      <c r="D41" s="361"/>
      <c r="E41" s="69"/>
      <c r="F41" s="73"/>
      <c r="G41" s="71"/>
      <c r="H41" s="72"/>
      <c r="I41" s="72"/>
      <c r="J41" s="72"/>
      <c r="K41" s="73"/>
    </row>
    <row r="42" spans="1:11" x14ac:dyDescent="0.2">
      <c r="B42" s="345"/>
      <c r="C42" s="358"/>
      <c r="D42" s="359"/>
      <c r="E42" s="69"/>
      <c r="F42" s="73"/>
      <c r="G42" s="71"/>
      <c r="H42" s="72"/>
      <c r="I42" s="72"/>
      <c r="J42" s="72"/>
      <c r="K42" s="73"/>
    </row>
    <row r="43" spans="1:11" ht="15" thickBot="1" x14ac:dyDescent="0.25">
      <c r="B43" s="346"/>
      <c r="C43" s="360"/>
      <c r="D43" s="361"/>
      <c r="E43" s="76"/>
      <c r="F43" s="347"/>
      <c r="G43" s="78"/>
      <c r="H43" s="79"/>
      <c r="I43" s="79"/>
      <c r="J43" s="79"/>
      <c r="K43" s="80"/>
    </row>
    <row r="44" spans="1:11" ht="15" thickBot="1" x14ac:dyDescent="0.25">
      <c r="B44" s="354" t="s">
        <v>6</v>
      </c>
      <c r="C44" s="355"/>
      <c r="D44" s="355"/>
      <c r="E44" s="320">
        <f t="shared" ref="E44:K44" si="0">SUM(E34:E43)</f>
        <v>0</v>
      </c>
      <c r="F44" s="320">
        <f t="shared" si="0"/>
        <v>0</v>
      </c>
      <c r="G44" s="320">
        <f t="shared" si="0"/>
        <v>0</v>
      </c>
      <c r="H44" s="320">
        <f t="shared" si="0"/>
        <v>0</v>
      </c>
      <c r="I44" s="320">
        <f t="shared" si="0"/>
        <v>0</v>
      </c>
      <c r="J44" s="320">
        <f t="shared" si="0"/>
        <v>0</v>
      </c>
      <c r="K44" s="82">
        <f t="shared" si="0"/>
        <v>0</v>
      </c>
    </row>
    <row r="45" spans="1:11" ht="15" thickBot="1" x14ac:dyDescent="0.25">
      <c r="B45" s="56"/>
      <c r="C45" s="56"/>
      <c r="D45" s="86"/>
      <c r="E45" s="86"/>
      <c r="F45" s="86"/>
      <c r="G45" s="86"/>
      <c r="H45" s="86"/>
      <c r="I45" s="86"/>
      <c r="J45" s="56"/>
      <c r="K45" s="56"/>
    </row>
    <row r="46" spans="1:11" ht="19.5" thickBot="1" x14ac:dyDescent="0.35">
      <c r="A46" s="41"/>
      <c r="B46" s="55" t="s">
        <v>28</v>
      </c>
      <c r="C46" s="55"/>
      <c r="D46" s="55"/>
      <c r="E46" s="55"/>
      <c r="F46" s="55"/>
      <c r="G46" s="55"/>
      <c r="H46" s="55"/>
      <c r="I46" s="55"/>
      <c r="J46" s="55"/>
      <c r="K46" s="55"/>
    </row>
    <row r="47" spans="1:11" ht="12.75" x14ac:dyDescent="0.2">
      <c r="A47"/>
      <c r="B47" s="56"/>
      <c r="C47" s="57"/>
      <c r="D47" s="57"/>
      <c r="E47" s="369" t="s">
        <v>24</v>
      </c>
      <c r="F47" s="370"/>
      <c r="G47" s="370"/>
      <c r="H47" s="370"/>
      <c r="I47" s="370"/>
      <c r="J47" s="370"/>
      <c r="K47" s="371"/>
    </row>
    <row r="48" spans="1:11" ht="15" thickBot="1" x14ac:dyDescent="0.25">
      <c r="B48" s="57"/>
      <c r="C48" s="57"/>
      <c r="D48" s="56"/>
      <c r="E48" s="362" t="s">
        <v>235</v>
      </c>
      <c r="F48" s="363"/>
      <c r="G48" s="363"/>
      <c r="H48" s="363"/>
      <c r="I48" s="363"/>
      <c r="J48" s="363"/>
      <c r="K48" s="364"/>
    </row>
    <row r="49" spans="1:11" ht="15" thickBot="1" x14ac:dyDescent="0.25">
      <c r="B49" s="58" t="s">
        <v>25</v>
      </c>
      <c r="C49" s="365" t="s">
        <v>26</v>
      </c>
      <c r="D49" s="366"/>
      <c r="E49" s="59">
        <v>2019</v>
      </c>
      <c r="F49" s="60">
        <v>2020</v>
      </c>
      <c r="G49" s="60">
        <v>2021</v>
      </c>
      <c r="H49" s="60">
        <v>2022</v>
      </c>
      <c r="I49" s="60">
        <v>2023</v>
      </c>
      <c r="J49" s="60">
        <v>2024</v>
      </c>
      <c r="K49" s="61">
        <v>2025</v>
      </c>
    </row>
    <row r="50" spans="1:11" x14ac:dyDescent="0.2">
      <c r="B50" s="62"/>
      <c r="C50" s="358"/>
      <c r="D50" s="359"/>
      <c r="E50" s="63"/>
      <c r="F50" s="64"/>
      <c r="G50" s="65"/>
      <c r="H50" s="66"/>
      <c r="I50" s="66"/>
      <c r="J50" s="66"/>
      <c r="K50" s="67"/>
    </row>
    <row r="51" spans="1:11" x14ac:dyDescent="0.2">
      <c r="B51" s="68"/>
      <c r="C51" s="360"/>
      <c r="D51" s="361"/>
      <c r="E51" s="69"/>
      <c r="F51" s="70"/>
      <c r="G51" s="71"/>
      <c r="H51" s="72"/>
      <c r="I51" s="72"/>
      <c r="J51" s="72"/>
      <c r="K51" s="73"/>
    </row>
    <row r="52" spans="1:11" x14ac:dyDescent="0.2">
      <c r="B52" s="68"/>
      <c r="C52" s="358"/>
      <c r="D52" s="359"/>
      <c r="E52" s="69"/>
      <c r="F52" s="70"/>
      <c r="G52" s="71"/>
      <c r="H52" s="72"/>
      <c r="I52" s="72"/>
      <c r="J52" s="72"/>
      <c r="K52" s="73"/>
    </row>
    <row r="53" spans="1:11" x14ac:dyDescent="0.2">
      <c r="B53" s="74"/>
      <c r="C53" s="360"/>
      <c r="D53" s="361"/>
      <c r="E53" s="69"/>
      <c r="F53" s="70"/>
      <c r="G53" s="71"/>
      <c r="H53" s="72"/>
      <c r="I53" s="72"/>
      <c r="J53" s="72"/>
      <c r="K53" s="73"/>
    </row>
    <row r="54" spans="1:11" x14ac:dyDescent="0.2">
      <c r="B54" s="68"/>
      <c r="C54" s="358"/>
      <c r="D54" s="359"/>
      <c r="E54" s="69"/>
      <c r="F54" s="70"/>
      <c r="G54" s="71"/>
      <c r="H54" s="72"/>
      <c r="I54" s="72"/>
      <c r="J54" s="72"/>
      <c r="K54" s="73"/>
    </row>
    <row r="55" spans="1:11" x14ac:dyDescent="0.2">
      <c r="B55" s="74"/>
      <c r="C55" s="360"/>
      <c r="D55" s="361"/>
      <c r="E55" s="69"/>
      <c r="F55" s="70"/>
      <c r="G55" s="71"/>
      <c r="H55" s="72"/>
      <c r="I55" s="72"/>
      <c r="J55" s="72"/>
      <c r="K55" s="73"/>
    </row>
    <row r="56" spans="1:11" x14ac:dyDescent="0.2">
      <c r="B56" s="68"/>
      <c r="C56" s="358"/>
      <c r="D56" s="359"/>
      <c r="E56" s="69"/>
      <c r="F56" s="70"/>
      <c r="G56" s="71"/>
      <c r="H56" s="72"/>
      <c r="I56" s="72"/>
      <c r="J56" s="72"/>
      <c r="K56" s="73"/>
    </row>
    <row r="57" spans="1:11" x14ac:dyDescent="0.2">
      <c r="B57" s="74"/>
      <c r="C57" s="360"/>
      <c r="D57" s="361"/>
      <c r="E57" s="69"/>
      <c r="F57" s="70"/>
      <c r="G57" s="71"/>
      <c r="H57" s="72"/>
      <c r="I57" s="72"/>
      <c r="J57" s="72"/>
      <c r="K57" s="73"/>
    </row>
    <row r="58" spans="1:11" x14ac:dyDescent="0.2">
      <c r="B58" s="68"/>
      <c r="C58" s="360"/>
      <c r="D58" s="361"/>
      <c r="E58" s="69"/>
      <c r="F58" s="70"/>
      <c r="G58" s="71"/>
      <c r="H58" s="72"/>
      <c r="I58" s="72"/>
      <c r="J58" s="72"/>
      <c r="K58" s="73"/>
    </row>
    <row r="59" spans="1:11" ht="15" thickBot="1" x14ac:dyDescent="0.25">
      <c r="B59" s="75"/>
      <c r="C59" s="360"/>
      <c r="D59" s="361"/>
      <c r="E59" s="76"/>
      <c r="F59" s="77"/>
      <c r="G59" s="78"/>
      <c r="H59" s="79"/>
      <c r="I59" s="79"/>
      <c r="J59" s="79"/>
      <c r="K59" s="80"/>
    </row>
    <row r="60" spans="1:11" ht="15" thickBot="1" x14ac:dyDescent="0.25">
      <c r="B60" s="354" t="s">
        <v>6</v>
      </c>
      <c r="C60" s="355"/>
      <c r="D60" s="355"/>
      <c r="E60" s="81">
        <f t="shared" ref="E60:K60" si="1">SUM(E50:E59)</f>
        <v>0</v>
      </c>
      <c r="F60" s="81">
        <f t="shared" si="1"/>
        <v>0</v>
      </c>
      <c r="G60" s="81">
        <f t="shared" si="1"/>
        <v>0</v>
      </c>
      <c r="H60" s="81">
        <f t="shared" si="1"/>
        <v>0</v>
      </c>
      <c r="I60" s="81">
        <f t="shared" si="1"/>
        <v>0</v>
      </c>
      <c r="J60" s="81">
        <f t="shared" si="1"/>
        <v>0</v>
      </c>
      <c r="K60" s="82">
        <f t="shared" si="1"/>
        <v>0</v>
      </c>
    </row>
    <row r="61" spans="1:11" x14ac:dyDescent="0.2">
      <c r="B61" s="367" t="s">
        <v>16</v>
      </c>
      <c r="C61" s="368"/>
      <c r="D61" s="368"/>
      <c r="E61" s="83"/>
      <c r="F61" s="83"/>
      <c r="G61" s="84" t="e">
        <v>#REF!</v>
      </c>
      <c r="H61" s="84" t="e">
        <v>#REF!</v>
      </c>
      <c r="I61" s="84" t="e">
        <v>#REF!</v>
      </c>
      <c r="J61" s="84" t="e">
        <v>#REF!</v>
      </c>
      <c r="K61" s="85" t="e">
        <v>#REF!</v>
      </c>
    </row>
    <row r="62" spans="1:11" ht="15" thickBot="1" x14ac:dyDescent="0.25">
      <c r="B62" s="56"/>
      <c r="C62" s="56"/>
      <c r="D62" s="86"/>
      <c r="E62" s="86"/>
      <c r="F62" s="86"/>
      <c r="G62" s="86"/>
      <c r="H62" s="86"/>
      <c r="I62" s="86"/>
      <c r="J62" s="56"/>
      <c r="K62" s="56"/>
    </row>
    <row r="63" spans="1:11" ht="19.5" thickBot="1" x14ac:dyDescent="0.35">
      <c r="A63" s="41"/>
      <c r="B63" s="55" t="s">
        <v>29</v>
      </c>
      <c r="C63" s="55"/>
      <c r="D63" s="55"/>
      <c r="E63" s="55"/>
      <c r="F63" s="55"/>
      <c r="G63" s="55"/>
      <c r="H63" s="55"/>
      <c r="I63" s="55"/>
      <c r="J63" s="55"/>
      <c r="K63" s="55"/>
    </row>
    <row r="64" spans="1:11" ht="12.75" x14ac:dyDescent="0.2">
      <c r="A64"/>
      <c r="B64" s="56"/>
      <c r="C64" s="57"/>
      <c r="D64" s="57"/>
      <c r="E64" s="369" t="s">
        <v>24</v>
      </c>
      <c r="F64" s="370"/>
      <c r="G64" s="370"/>
      <c r="H64" s="370"/>
      <c r="I64" s="370"/>
      <c r="J64" s="370"/>
      <c r="K64" s="371"/>
    </row>
    <row r="65" spans="2:11" ht="15" thickBot="1" x14ac:dyDescent="0.25">
      <c r="B65" s="57"/>
      <c r="C65" s="57"/>
      <c r="D65" s="56"/>
      <c r="E65" s="362" t="s">
        <v>235</v>
      </c>
      <c r="F65" s="363"/>
      <c r="G65" s="363"/>
      <c r="H65" s="363"/>
      <c r="I65" s="363"/>
      <c r="J65" s="363"/>
      <c r="K65" s="364"/>
    </row>
    <row r="66" spans="2:11" ht="15" thickBot="1" x14ac:dyDescent="0.25">
      <c r="B66" s="58" t="s">
        <v>25</v>
      </c>
      <c r="C66" s="365" t="s">
        <v>26</v>
      </c>
      <c r="D66" s="366"/>
      <c r="E66" s="59">
        <v>2019</v>
      </c>
      <c r="F66" s="60">
        <v>2020</v>
      </c>
      <c r="G66" s="60">
        <v>2021</v>
      </c>
      <c r="H66" s="60">
        <v>2022</v>
      </c>
      <c r="I66" s="60">
        <v>2023</v>
      </c>
      <c r="J66" s="60">
        <v>2024</v>
      </c>
      <c r="K66" s="61">
        <v>2025</v>
      </c>
    </row>
    <row r="67" spans="2:11" x14ac:dyDescent="0.2">
      <c r="B67" s="62"/>
      <c r="C67" s="358"/>
      <c r="D67" s="359"/>
      <c r="E67" s="63"/>
      <c r="F67" s="64"/>
      <c r="G67" s="65"/>
      <c r="H67" s="66"/>
      <c r="I67" s="66"/>
      <c r="J67" s="66"/>
      <c r="K67" s="67"/>
    </row>
    <row r="68" spans="2:11" x14ac:dyDescent="0.2">
      <c r="B68" s="68"/>
      <c r="C68" s="360"/>
      <c r="D68" s="361"/>
      <c r="E68" s="69"/>
      <c r="F68" s="70"/>
      <c r="G68" s="71"/>
      <c r="H68" s="72"/>
      <c r="I68" s="72"/>
      <c r="J68" s="72"/>
      <c r="K68" s="73"/>
    </row>
    <row r="69" spans="2:11" x14ac:dyDescent="0.2">
      <c r="B69" s="68"/>
      <c r="C69" s="358"/>
      <c r="D69" s="359"/>
      <c r="E69" s="69"/>
      <c r="F69" s="70"/>
      <c r="G69" s="71"/>
      <c r="H69" s="72"/>
      <c r="I69" s="72"/>
      <c r="J69" s="72"/>
      <c r="K69" s="73"/>
    </row>
    <row r="70" spans="2:11" x14ac:dyDescent="0.2">
      <c r="B70" s="74"/>
      <c r="C70" s="360"/>
      <c r="D70" s="361"/>
      <c r="E70" s="69"/>
      <c r="F70" s="70"/>
      <c r="G70" s="71"/>
      <c r="H70" s="72"/>
      <c r="I70" s="72"/>
      <c r="J70" s="72"/>
      <c r="K70" s="73"/>
    </row>
    <row r="71" spans="2:11" x14ac:dyDescent="0.2">
      <c r="B71" s="68"/>
      <c r="C71" s="358"/>
      <c r="D71" s="359"/>
      <c r="E71" s="69"/>
      <c r="F71" s="70"/>
      <c r="G71" s="71"/>
      <c r="H71" s="72"/>
      <c r="I71" s="72"/>
      <c r="J71" s="72"/>
      <c r="K71" s="73"/>
    </row>
    <row r="72" spans="2:11" x14ac:dyDescent="0.2">
      <c r="B72" s="74"/>
      <c r="C72" s="360"/>
      <c r="D72" s="361"/>
      <c r="E72" s="69"/>
      <c r="F72" s="70"/>
      <c r="G72" s="71"/>
      <c r="H72" s="72"/>
      <c r="I72" s="72"/>
      <c r="J72" s="72"/>
      <c r="K72" s="73"/>
    </row>
    <row r="73" spans="2:11" x14ac:dyDescent="0.2">
      <c r="B73" s="68"/>
      <c r="C73" s="358"/>
      <c r="D73" s="359"/>
      <c r="E73" s="69"/>
      <c r="F73" s="70"/>
      <c r="G73" s="71"/>
      <c r="H73" s="72"/>
      <c r="I73" s="72"/>
      <c r="J73" s="72"/>
      <c r="K73" s="73"/>
    </row>
    <row r="74" spans="2:11" x14ac:dyDescent="0.2">
      <c r="B74" s="74"/>
      <c r="C74" s="360"/>
      <c r="D74" s="361"/>
      <c r="E74" s="69"/>
      <c r="F74" s="70"/>
      <c r="G74" s="71"/>
      <c r="H74" s="72"/>
      <c r="I74" s="72"/>
      <c r="J74" s="72"/>
      <c r="K74" s="73"/>
    </row>
    <row r="75" spans="2:11" x14ac:dyDescent="0.2">
      <c r="B75" s="68"/>
      <c r="C75" s="358"/>
      <c r="D75" s="359"/>
      <c r="E75" s="69"/>
      <c r="F75" s="70"/>
      <c r="G75" s="71"/>
      <c r="H75" s="72"/>
      <c r="I75" s="72"/>
      <c r="J75" s="72"/>
      <c r="K75" s="73"/>
    </row>
    <row r="76" spans="2:11" ht="15" thickBot="1" x14ac:dyDescent="0.25">
      <c r="B76" s="75"/>
      <c r="C76" s="360"/>
      <c r="D76" s="361"/>
      <c r="E76" s="76"/>
      <c r="F76" s="77"/>
      <c r="G76" s="78"/>
      <c r="H76" s="79"/>
      <c r="I76" s="79"/>
      <c r="J76" s="79"/>
      <c r="K76" s="80"/>
    </row>
    <row r="77" spans="2:11" ht="15" thickBot="1" x14ac:dyDescent="0.25">
      <c r="B77" s="354" t="s">
        <v>6</v>
      </c>
      <c r="C77" s="355"/>
      <c r="D77" s="355"/>
      <c r="E77" s="81">
        <f t="shared" ref="E77:K77" si="2">SUM(E67:E76)</f>
        <v>0</v>
      </c>
      <c r="F77" s="81">
        <f t="shared" si="2"/>
        <v>0</v>
      </c>
      <c r="G77" s="81">
        <f t="shared" si="2"/>
        <v>0</v>
      </c>
      <c r="H77" s="81">
        <f t="shared" si="2"/>
        <v>0</v>
      </c>
      <c r="I77" s="81">
        <f t="shared" si="2"/>
        <v>0</v>
      </c>
      <c r="J77" s="81">
        <f t="shared" si="2"/>
        <v>0</v>
      </c>
      <c r="K77" s="82">
        <f t="shared" si="2"/>
        <v>0</v>
      </c>
    </row>
    <row r="78" spans="2:11" x14ac:dyDescent="0.2">
      <c r="B78" s="56"/>
      <c r="C78" s="56"/>
      <c r="D78" s="56"/>
      <c r="E78" s="56"/>
      <c r="F78" s="56"/>
      <c r="G78" s="56"/>
      <c r="H78" s="56"/>
      <c r="I78" s="56"/>
      <c r="J78" s="56"/>
      <c r="K78" s="56"/>
    </row>
    <row r="79" spans="2:11" ht="15" thickBot="1" x14ac:dyDescent="0.25">
      <c r="B79" s="56"/>
      <c r="C79" s="56"/>
      <c r="D79" s="56"/>
      <c r="E79" s="56"/>
      <c r="F79" s="56"/>
      <c r="G79" s="56"/>
      <c r="H79" s="56"/>
      <c r="I79" s="56"/>
      <c r="J79" s="56"/>
      <c r="K79" s="56"/>
    </row>
    <row r="80" spans="2:11" ht="16.5" thickBot="1" x14ac:dyDescent="0.25">
      <c r="B80" s="55" t="s">
        <v>30</v>
      </c>
      <c r="C80" s="55"/>
      <c r="D80" s="55"/>
      <c r="E80" s="55"/>
      <c r="F80" s="55"/>
      <c r="G80" s="55"/>
      <c r="H80" s="55"/>
      <c r="I80" s="55"/>
      <c r="J80" s="55"/>
      <c r="K80" s="55"/>
    </row>
    <row r="81" spans="1:11" ht="12.75" x14ac:dyDescent="0.2">
      <c r="A81"/>
      <c r="B81" s="56"/>
      <c r="C81" s="87"/>
      <c r="D81" s="356" t="s">
        <v>24</v>
      </c>
      <c r="E81" s="356"/>
      <c r="F81" s="356"/>
      <c r="G81" s="356"/>
      <c r="H81" s="356"/>
      <c r="I81" s="356"/>
      <c r="J81" s="356"/>
      <c r="K81" s="357"/>
    </row>
    <row r="82" spans="1:11" ht="15" thickBot="1" x14ac:dyDescent="0.25">
      <c r="B82" s="57"/>
      <c r="C82" s="88"/>
      <c r="D82" s="356" t="s">
        <v>235</v>
      </c>
      <c r="E82" s="356"/>
      <c r="F82" s="356"/>
      <c r="G82" s="356"/>
      <c r="H82" s="356"/>
      <c r="I82" s="356"/>
      <c r="J82" s="356"/>
      <c r="K82" s="357"/>
    </row>
    <row r="83" spans="1:11" ht="15" thickBot="1" x14ac:dyDescent="0.25">
      <c r="B83" s="58" t="s">
        <v>31</v>
      </c>
      <c r="C83" s="89" t="s">
        <v>26</v>
      </c>
      <c r="D83" s="90" t="e">
        <f>CRCP_y3</f>
        <v>#NAME?</v>
      </c>
      <c r="E83" s="91">
        <v>2019</v>
      </c>
      <c r="F83" s="91">
        <v>2020</v>
      </c>
      <c r="G83" s="91">
        <v>2021</v>
      </c>
      <c r="H83" s="91">
        <v>2022</v>
      </c>
      <c r="I83" s="91">
        <v>2023</v>
      </c>
      <c r="J83" s="91">
        <v>2024</v>
      </c>
      <c r="K83" s="92">
        <v>2025</v>
      </c>
    </row>
    <row r="84" spans="1:11" x14ac:dyDescent="0.2">
      <c r="B84" s="62"/>
      <c r="C84" s="93"/>
      <c r="D84" s="94"/>
      <c r="E84" s="95"/>
      <c r="F84" s="96"/>
      <c r="G84" s="97"/>
      <c r="H84" s="94"/>
      <c r="I84" s="94"/>
      <c r="J84" s="94"/>
      <c r="K84" s="94"/>
    </row>
    <row r="85" spans="1:11" x14ac:dyDescent="0.2">
      <c r="B85" s="68"/>
      <c r="C85" s="98"/>
      <c r="D85" s="72"/>
      <c r="E85" s="69"/>
      <c r="F85" s="70"/>
      <c r="G85" s="71"/>
      <c r="H85" s="72"/>
      <c r="I85" s="72"/>
      <c r="J85" s="72"/>
      <c r="K85" s="72"/>
    </row>
    <row r="86" spans="1:11" x14ac:dyDescent="0.2">
      <c r="B86" s="68"/>
      <c r="C86" s="98"/>
      <c r="D86" s="72"/>
      <c r="E86" s="69"/>
      <c r="F86" s="70"/>
      <c r="G86" s="71"/>
      <c r="H86" s="72"/>
      <c r="I86" s="72"/>
      <c r="J86" s="72"/>
      <c r="K86" s="72"/>
    </row>
    <row r="87" spans="1:11" x14ac:dyDescent="0.2">
      <c r="B87" s="68"/>
      <c r="C87" s="98"/>
      <c r="D87" s="72"/>
      <c r="E87" s="69"/>
      <c r="F87" s="70"/>
      <c r="G87" s="71"/>
      <c r="H87" s="72"/>
      <c r="I87" s="72"/>
      <c r="J87" s="72"/>
      <c r="K87" s="72"/>
    </row>
    <row r="88" spans="1:11" x14ac:dyDescent="0.2">
      <c r="B88" s="68"/>
      <c r="C88" s="98"/>
      <c r="D88" s="72"/>
      <c r="E88" s="69"/>
      <c r="F88" s="70"/>
      <c r="G88" s="71"/>
      <c r="H88" s="72"/>
      <c r="I88" s="72"/>
      <c r="J88" s="72"/>
      <c r="K88" s="72"/>
    </row>
    <row r="89" spans="1:11" x14ac:dyDescent="0.2">
      <c r="B89" s="68"/>
      <c r="C89" s="98"/>
      <c r="D89" s="72"/>
      <c r="E89" s="69"/>
      <c r="F89" s="70"/>
      <c r="G89" s="71"/>
      <c r="H89" s="72"/>
      <c r="I89" s="72"/>
      <c r="J89" s="72"/>
      <c r="K89" s="72"/>
    </row>
    <row r="90" spans="1:11" x14ac:dyDescent="0.2">
      <c r="B90" s="68"/>
      <c r="C90" s="98"/>
      <c r="D90" s="72"/>
      <c r="E90" s="69"/>
      <c r="F90" s="70"/>
      <c r="G90" s="71"/>
      <c r="H90" s="72"/>
      <c r="I90" s="72"/>
      <c r="J90" s="72"/>
      <c r="K90" s="72"/>
    </row>
    <row r="91" spans="1:11" x14ac:dyDescent="0.2">
      <c r="B91" s="68"/>
      <c r="C91" s="98"/>
      <c r="D91" s="72"/>
      <c r="E91" s="69"/>
      <c r="F91" s="70"/>
      <c r="G91" s="71"/>
      <c r="H91" s="72"/>
      <c r="I91" s="72"/>
      <c r="J91" s="72"/>
      <c r="K91" s="72"/>
    </row>
    <row r="92" spans="1:11" x14ac:dyDescent="0.2">
      <c r="B92" s="68"/>
      <c r="C92" s="98"/>
      <c r="D92" s="72"/>
      <c r="E92" s="69"/>
      <c r="F92" s="70"/>
      <c r="G92" s="71"/>
      <c r="H92" s="72"/>
      <c r="I92" s="72"/>
      <c r="J92" s="72"/>
      <c r="K92" s="72"/>
    </row>
    <row r="93" spans="1:11" ht="15" thickBot="1" x14ac:dyDescent="0.25">
      <c r="B93" s="68"/>
      <c r="C93" s="98"/>
      <c r="D93" s="72"/>
      <c r="E93" s="69"/>
      <c r="F93" s="77"/>
      <c r="G93" s="71"/>
      <c r="H93" s="72"/>
      <c r="I93" s="72"/>
      <c r="J93" s="72"/>
      <c r="K93" s="72"/>
    </row>
    <row r="94" spans="1:11" ht="15" thickBot="1" x14ac:dyDescent="0.25">
      <c r="B94" s="354" t="s">
        <v>6</v>
      </c>
      <c r="C94" s="355"/>
      <c r="D94" s="81">
        <f t="shared" ref="D94:K94" si="3">SUM(D91:D93)</f>
        <v>0</v>
      </c>
      <c r="E94" s="81">
        <f t="shared" si="3"/>
        <v>0</v>
      </c>
      <c r="F94" s="81">
        <f t="shared" si="3"/>
        <v>0</v>
      </c>
      <c r="G94" s="81">
        <f t="shared" si="3"/>
        <v>0</v>
      </c>
      <c r="H94" s="81">
        <f t="shared" si="3"/>
        <v>0</v>
      </c>
      <c r="I94" s="81">
        <f t="shared" si="3"/>
        <v>0</v>
      </c>
      <c r="J94" s="81">
        <f t="shared" si="3"/>
        <v>0</v>
      </c>
      <c r="K94" s="82">
        <f t="shared" si="3"/>
        <v>0</v>
      </c>
    </row>
  </sheetData>
  <mergeCells count="65">
    <mergeCell ref="E13:K13"/>
    <mergeCell ref="E14:K14"/>
    <mergeCell ref="C15:D15"/>
    <mergeCell ref="C16:D16"/>
    <mergeCell ref="C17:D17"/>
    <mergeCell ref="B28:D28"/>
    <mergeCell ref="C21:D21"/>
    <mergeCell ref="B6:C6"/>
    <mergeCell ref="B9:C9"/>
    <mergeCell ref="B10:C10"/>
    <mergeCell ref="C18:D18"/>
    <mergeCell ref="C19:D19"/>
    <mergeCell ref="C20:D20"/>
    <mergeCell ref="C22:D22"/>
    <mergeCell ref="C23:D23"/>
    <mergeCell ref="C24:D24"/>
    <mergeCell ref="C25:D25"/>
    <mergeCell ref="B27:D27"/>
    <mergeCell ref="C26:D26"/>
    <mergeCell ref="C42:D42"/>
    <mergeCell ref="C43:D43"/>
    <mergeCell ref="B44:D44"/>
    <mergeCell ref="E31:K31"/>
    <mergeCell ref="E32:K32"/>
    <mergeCell ref="C33:D33"/>
    <mergeCell ref="C34:D34"/>
    <mergeCell ref="C35:D35"/>
    <mergeCell ref="C36:D36"/>
    <mergeCell ref="C37:D37"/>
    <mergeCell ref="C38:D38"/>
    <mergeCell ref="C39:D39"/>
    <mergeCell ref="C40:D40"/>
    <mergeCell ref="C41:D41"/>
    <mergeCell ref="E47:K47"/>
    <mergeCell ref="E48:K48"/>
    <mergeCell ref="C49:D49"/>
    <mergeCell ref="E64:K64"/>
    <mergeCell ref="C51:D51"/>
    <mergeCell ref="C52:D52"/>
    <mergeCell ref="C53:D53"/>
    <mergeCell ref="C54:D54"/>
    <mergeCell ref="C55:D55"/>
    <mergeCell ref="C56:D56"/>
    <mergeCell ref="C50:D50"/>
    <mergeCell ref="C70:D70"/>
    <mergeCell ref="C57:D57"/>
    <mergeCell ref="C58:D58"/>
    <mergeCell ref="C59:D59"/>
    <mergeCell ref="B60:D60"/>
    <mergeCell ref="B61:D61"/>
    <mergeCell ref="E65:K65"/>
    <mergeCell ref="C66:D66"/>
    <mergeCell ref="C67:D67"/>
    <mergeCell ref="C68:D68"/>
    <mergeCell ref="C69:D69"/>
    <mergeCell ref="B77:D77"/>
    <mergeCell ref="D81:K81"/>
    <mergeCell ref="D82:K82"/>
    <mergeCell ref="B94:C94"/>
    <mergeCell ref="C71:D71"/>
    <mergeCell ref="C72:D72"/>
    <mergeCell ref="C73:D73"/>
    <mergeCell ref="C74:D74"/>
    <mergeCell ref="C75:D75"/>
    <mergeCell ref="C76:D76"/>
  </mergeCells>
  <conditionalFormatting sqref="I34:I43 I50:I59 I67:I76">
    <cfRule type="expression" dxfId="16" priority="27">
      <formula>(dms_FRCPlength_Num)&lt;3</formula>
    </cfRule>
  </conditionalFormatting>
  <conditionalFormatting sqref="J34:J43 J50:J59 J67:J76">
    <cfRule type="expression" dxfId="15" priority="26">
      <formula>(dms_FRCPlength_Num)&lt;4</formula>
    </cfRule>
  </conditionalFormatting>
  <conditionalFormatting sqref="K34:K43 K50:K59 K67:K76">
    <cfRule type="expression" dxfId="14" priority="25">
      <formula>(dms_FRCPlength_Num)&lt;5</formula>
    </cfRule>
  </conditionalFormatting>
  <conditionalFormatting sqref="K94">
    <cfRule type="expression" dxfId="13" priority="24">
      <formula>(dms_FRCPlength_Num)&lt;5</formula>
    </cfRule>
  </conditionalFormatting>
  <conditionalFormatting sqref="I84:I93">
    <cfRule type="expression" dxfId="12" priority="23">
      <formula>(dms_FRCPlength_Num)&lt;3</formula>
    </cfRule>
  </conditionalFormatting>
  <conditionalFormatting sqref="J84:J93">
    <cfRule type="expression" dxfId="11" priority="22">
      <formula>(dms_FRCPlength_Num)&lt;4</formula>
    </cfRule>
  </conditionalFormatting>
  <conditionalFormatting sqref="K84:K93">
    <cfRule type="expression" dxfId="10" priority="21">
      <formula>(dms_FRCPlength_Num)&lt;4</formula>
    </cfRule>
  </conditionalFormatting>
  <conditionalFormatting sqref="K77">
    <cfRule type="expression" dxfId="9" priority="20">
      <formula>(dms_FRCPlength_Num)&lt;5</formula>
    </cfRule>
  </conditionalFormatting>
  <conditionalFormatting sqref="B50:K59 B67:K76">
    <cfRule type="expression" dxfId="8" priority="19" stopIfTrue="1">
      <formula>dms_TradingName="TasNetworks (D)"</formula>
    </cfRule>
  </conditionalFormatting>
  <conditionalFormatting sqref="K60">
    <cfRule type="expression" dxfId="7" priority="18">
      <formula>(dms_FRCPlength_Num)&lt;5</formula>
    </cfRule>
  </conditionalFormatting>
  <conditionalFormatting sqref="K44">
    <cfRule type="expression" dxfId="6" priority="17">
      <formula>(dms_FRCPlength_Num)&lt;5</formula>
    </cfRule>
  </conditionalFormatting>
  <conditionalFormatting sqref="I16:I23 I25:I26">
    <cfRule type="expression" dxfId="5" priority="6">
      <formula>(dms_FRCPlength_Num)&lt;3</formula>
    </cfRule>
  </conditionalFormatting>
  <conditionalFormatting sqref="J16:J23 J25:J26">
    <cfRule type="expression" dxfId="4" priority="5">
      <formula>(dms_FRCPlength_Num)&lt;4</formula>
    </cfRule>
  </conditionalFormatting>
  <conditionalFormatting sqref="K16:K23 K25:K26">
    <cfRule type="expression" dxfId="3" priority="4">
      <formula>(dms_FRCPlength_Num)&lt;5</formula>
    </cfRule>
  </conditionalFormatting>
  <conditionalFormatting sqref="I24">
    <cfRule type="expression" dxfId="2" priority="3">
      <formula>(dms_FRCPlength_Num)&lt;3</formula>
    </cfRule>
  </conditionalFormatting>
  <conditionalFormatting sqref="J24">
    <cfRule type="expression" dxfId="1" priority="2">
      <formula>(dms_FRCPlength_Num)&lt;4</formula>
    </cfRule>
  </conditionalFormatting>
  <conditionalFormatting sqref="K24">
    <cfRule type="expression" dxfId="0" priority="1">
      <formula>(dms_FRCPlength_Num)&lt;5</formula>
    </cfRule>
  </conditionalFormatting>
  <dataValidations count="4">
    <dataValidation allowBlank="1" showInputMessage="1" showErrorMessage="1" sqref="E95:K418 E84:J93 D82 E65:K79 E15:K30 E48:K63 E32:K46"/>
    <dataValidation type="textLength" operator="greaterThanOrEqual" allowBlank="1" showInputMessage="1" showErrorMessage="1" promptTitle="Step change" prompt="Enter description of step change" sqref="C84:D93 C67:D76 C34:D43 C50:D59 C16 C24:D26">
      <formula1>0</formula1>
    </dataValidation>
    <dataValidation type="textLength" operator="greaterThanOrEqual" allowBlank="1" showInputMessage="1" showErrorMessage="1" promptTitle="Step change" prompt="Enter step change" sqref="B84:B93 B16:B26 B34:B43 B50:B59 B67:B76">
      <formula1>0</formula1>
    </dataValidation>
    <dataValidation type="textLength" operator="greaterThanOrEqual" allowBlank="1" showInputMessage="1" showErrorMessage="1" promptTitle="Step change" prompt="Enter description of step change" sqref="C17:C20 D18:D20 C21:D23">
      <formula1>0</formula1>
    </dataValidation>
  </dataValidation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pageSetUpPr fitToPage="1"/>
  </sheetPr>
  <dimension ref="A1:Z36"/>
  <sheetViews>
    <sheetView showGridLines="0" zoomScale="80" zoomScaleNormal="80" workbookViewId="0">
      <pane xSplit="7" ySplit="5" topLeftCell="H6" activePane="bottomRight" state="frozen"/>
      <selection pane="topRight" activeCell="H1" sqref="H1"/>
      <selection pane="bottomLeft" activeCell="A6" sqref="A6"/>
      <selection pane="bottomRight" activeCell="H8" sqref="H8"/>
    </sheetView>
  </sheetViews>
  <sheetFormatPr defaultColWidth="9" defaultRowHeight="12.75" x14ac:dyDescent="0.2"/>
  <cols>
    <col min="1" max="1" width="3.125" style="1" customWidth="1"/>
    <col min="2" max="2" width="8.5" style="1" customWidth="1"/>
    <col min="3" max="3" width="5.875" style="184" customWidth="1"/>
    <col min="4" max="4" width="9.5" style="1" customWidth="1"/>
    <col min="5" max="5" width="4.5" style="1" customWidth="1"/>
    <col min="6" max="6" width="4.125" style="1" customWidth="1"/>
    <col min="7" max="7" width="17.625" style="1" customWidth="1"/>
    <col min="8" max="9" width="2.5" style="1" customWidth="1"/>
    <col min="10" max="12" width="9" style="1" customWidth="1"/>
    <col min="13" max="17" width="10.25" style="1" customWidth="1"/>
    <col min="18" max="18" width="2.375" style="1" customWidth="1"/>
    <col min="19" max="20" width="9" style="1"/>
    <col min="21" max="21" width="9.625" style="1" bestFit="1" customWidth="1"/>
    <col min="22" max="16384" width="9" style="1"/>
  </cols>
  <sheetData>
    <row r="1" spans="1:26" ht="21" x14ac:dyDescent="0.35">
      <c r="A1" s="3" t="s">
        <v>261</v>
      </c>
    </row>
    <row r="2" spans="1:26" ht="18.75" x14ac:dyDescent="0.3">
      <c r="A2" s="8" t="str">
        <f ca="1">RIGHT(CELL("filename",A1),LEN(CELL("filename",A1))-FIND("]",CELL("filename",A1),1))</f>
        <v>Summary</v>
      </c>
      <c r="P2" s="22"/>
    </row>
    <row r="3" spans="1:26" x14ac:dyDescent="0.2">
      <c r="A3" s="125" t="s">
        <v>233</v>
      </c>
      <c r="M3" s="277" t="str">
        <f>SUBSTITUTE(ADDRESS(1,COLUMN(M5),4),"1","")</f>
        <v>M</v>
      </c>
      <c r="N3" s="277" t="str">
        <f>SUBSTITUTE(ADDRESS(1,COLUMN(N5),4),"1","")</f>
        <v>N</v>
      </c>
      <c r="O3" s="277" t="str">
        <f>SUBSTITUTE(ADDRESS(1,COLUMN(O5),4),"1","")</f>
        <v>O</v>
      </c>
      <c r="P3" s="277" t="str">
        <f>SUBSTITUTE(ADDRESS(1,COLUMN(P5),4),"1","")</f>
        <v>P</v>
      </c>
      <c r="Q3" s="277" t="str">
        <f>SUBSTITUTE(ADDRESS(1,COLUMN(Q5),4),"1","")</f>
        <v>Q</v>
      </c>
    </row>
    <row r="4" spans="1:26" x14ac:dyDescent="0.2">
      <c r="L4" s="117"/>
      <c r="M4" s="117"/>
      <c r="N4" s="117"/>
      <c r="O4" s="117"/>
      <c r="P4" s="117"/>
      <c r="Q4" s="117"/>
    </row>
    <row r="5" spans="1:26" x14ac:dyDescent="0.2">
      <c r="A5" s="214"/>
      <c r="B5" s="214" t="s">
        <v>4</v>
      </c>
      <c r="C5" s="278" t="s">
        <v>232</v>
      </c>
      <c r="D5" s="214" t="s">
        <v>241</v>
      </c>
      <c r="E5" s="214"/>
      <c r="F5" s="214" t="s">
        <v>242</v>
      </c>
      <c r="G5" s="214"/>
      <c r="H5" s="214" t="s">
        <v>256</v>
      </c>
      <c r="I5" s="214"/>
      <c r="J5" s="214"/>
      <c r="K5" s="2"/>
      <c r="L5" s="7"/>
      <c r="M5" s="7" t="s">
        <v>48</v>
      </c>
      <c r="N5" s="7" t="s">
        <v>49</v>
      </c>
      <c r="O5" s="7" t="s">
        <v>50</v>
      </c>
      <c r="P5" s="7" t="s">
        <v>51</v>
      </c>
      <c r="Q5" s="7" t="s">
        <v>52</v>
      </c>
      <c r="S5" s="7" t="s">
        <v>135</v>
      </c>
    </row>
    <row r="7" spans="1:26" x14ac:dyDescent="0.2">
      <c r="B7" s="108" t="s">
        <v>9</v>
      </c>
      <c r="C7" s="310">
        <f t="shared" ref="C7:C17" ca="1" si="0">RANK(S7, $S$7:$S$17, 0)</f>
        <v>9</v>
      </c>
      <c r="D7" s="108" t="str">
        <f ca="1">B7&amp;C7</f>
        <v>Powercor9</v>
      </c>
      <c r="F7" s="1" t="str">
        <f ca="1">'5 minute settlement'!$A2</f>
        <v>5 minute settlement</v>
      </c>
      <c r="H7" s="1" t="str">
        <f>'5 minute settlement'!$A3</f>
        <v>5 minute settlement</v>
      </c>
      <c r="M7" s="9">
        <f ca="1">INDEX(INDIRECT("'"&amp;$F7&amp;"'!"&amp;M$3&amp;":"&amp;M$3), MATCH($B7&amp;" "&amp;$F7, INDIRECT("'"&amp;$F7&amp;"'!b:b"), 0))</f>
        <v>557.80042690542814</v>
      </c>
      <c r="N7" s="9">
        <f ca="1">INDEX(INDIRECT("'"&amp;$F7&amp;"'!"&amp;N$3&amp;":"&amp;N$3), MATCH($B7&amp;" "&amp;$F7, INDIRECT("'"&amp;$F7&amp;"'!b:b"), 0))</f>
        <v>761.24334790433159</v>
      </c>
      <c r="O7" s="9">
        <f ca="1">INDEX(INDIRECT("'"&amp;$F7&amp;"'!"&amp;O$3&amp;":"&amp;O$3), MATCH($B7&amp;" "&amp;$F7, INDIRECT("'"&amp;$F7&amp;"'!b:b"), 0))</f>
        <v>971.2167668680587</v>
      </c>
      <c r="P7" s="9">
        <f ca="1">INDEX(INDIRECT("'"&amp;$F7&amp;"'!"&amp;P$3&amp;":"&amp;P$3), MATCH($B7&amp;" "&amp;$F7, INDIRECT("'"&amp;$F7&amp;"'!b:b"), 0))</f>
        <v>1201.0254982439833</v>
      </c>
      <c r="Q7" s="9">
        <f ca="1">INDEX(INDIRECT("'"&amp;$F7&amp;"'!"&amp;Q$3&amp;":"&amp;Q$3), MATCH($B7&amp;" "&amp;$F7, INDIRECT("'"&amp;$F7&amp;"'!b:b"), 0))</f>
        <v>1450.3879618709564</v>
      </c>
      <c r="S7" s="10">
        <f t="shared" ref="S7:S17" ca="1" si="1">SUM(M7:Q7)</f>
        <v>4941.6740017927577</v>
      </c>
      <c r="T7" s="9"/>
    </row>
    <row r="8" spans="1:26" x14ac:dyDescent="0.2">
      <c r="B8" s="108" t="s">
        <v>9</v>
      </c>
      <c r="C8" s="310">
        <f t="shared" ca="1" si="0"/>
        <v>2</v>
      </c>
      <c r="D8" s="108" t="str">
        <f t="shared" ref="D8:D17" ca="1" si="2">B8&amp;C8</f>
        <v>Powercor2</v>
      </c>
      <c r="F8" s="1" t="str">
        <f ca="1">'Security of critical infra.'!$A2</f>
        <v>Security of critical infra.</v>
      </c>
      <c r="H8" s="1" t="str">
        <f>'Security of critical infra.'!$A3</f>
        <v>Security of critical infrastructure</v>
      </c>
      <c r="M8" s="9">
        <f t="shared" ref="M8:M17" ca="1" si="3">INDEX(INDIRECT("'"&amp;$F8&amp;"'!"&amp;M$3&amp;":"&amp;M$3), MATCH($B8&amp;" "&amp;$F8, INDIRECT("'"&amp;$F8&amp;"'!b:b"), 0))</f>
        <v>3068.4464689641345</v>
      </c>
      <c r="N8" s="9">
        <f t="shared" ref="N8:Q17" ca="1" si="4">INDEX(INDIRECT("'"&amp;$F8&amp;"'!"&amp;N$3&amp;":"&amp;N$3), MATCH($B8&amp;" "&amp;$F8, INDIRECT("'"&amp;$F8&amp;"'!b:b"), 0))</f>
        <v>2784.2264272226976</v>
      </c>
      <c r="O8" s="9">
        <f t="shared" ca="1" si="4"/>
        <v>2830.2975887521666</v>
      </c>
      <c r="P8" s="9">
        <f t="shared" ca="1" si="4"/>
        <v>2871.6416523787107</v>
      </c>
      <c r="Q8" s="9">
        <f t="shared" ca="1" si="4"/>
        <v>2909.3463951843637</v>
      </c>
      <c r="S8" s="10">
        <f t="shared" ca="1" si="1"/>
        <v>14463.958532502073</v>
      </c>
      <c r="T8" s="9"/>
      <c r="U8" s="148"/>
      <c r="V8" s="148"/>
      <c r="W8" s="148"/>
      <c r="X8" s="148"/>
      <c r="Y8" s="148"/>
      <c r="Z8" s="148"/>
    </row>
    <row r="9" spans="1:26" x14ac:dyDescent="0.2">
      <c r="B9" s="108" t="s">
        <v>9</v>
      </c>
      <c r="C9" s="310">
        <f t="shared" ca="1" si="0"/>
        <v>4</v>
      </c>
      <c r="D9" s="108" t="str">
        <f t="shared" ca="1" si="2"/>
        <v>Powercor4</v>
      </c>
      <c r="F9" s="1" t="str">
        <f ca="1">'Replacing EDO fuses'!$A2</f>
        <v>Replacing EDO fuses</v>
      </c>
      <c r="H9" s="1" t="str">
        <f>'Replacing EDO fuses'!$A3</f>
        <v>Replacing EDO fuses with fault tamers</v>
      </c>
      <c r="M9" s="9">
        <f t="shared" ca="1" si="3"/>
        <v>2178.9407185436485</v>
      </c>
      <c r="N9" s="9">
        <f t="shared" ca="1" si="4"/>
        <v>2208.855513093125</v>
      </c>
      <c r="O9" s="9">
        <f t="shared" ca="1" si="4"/>
        <v>2238.9577716257627</v>
      </c>
      <c r="P9" s="9">
        <f t="shared" ca="1" si="4"/>
        <v>2265.1214207397243</v>
      </c>
      <c r="Q9" s="9">
        <f t="shared" ca="1" si="4"/>
        <v>2288.234318111527</v>
      </c>
      <c r="S9" s="10">
        <f t="shared" ca="1" si="1"/>
        <v>11180.109742113787</v>
      </c>
      <c r="T9" s="9"/>
    </row>
    <row r="10" spans="1:26" x14ac:dyDescent="0.2">
      <c r="B10" s="108" t="s">
        <v>9</v>
      </c>
      <c r="C10" s="310">
        <f t="shared" ca="1" si="0"/>
        <v>6</v>
      </c>
      <c r="D10" s="108" t="str">
        <f t="shared" ca="1" si="2"/>
        <v>Powercor6</v>
      </c>
      <c r="F10" s="1" t="str">
        <f ca="1">'Solar enablement'!$A2</f>
        <v>Solar enablement</v>
      </c>
      <c r="H10" s="14" t="str">
        <f>'Solar enablement'!$A3</f>
        <v>Solar enablement</v>
      </c>
      <c r="M10" s="9">
        <f t="shared" ca="1" si="3"/>
        <v>1346.1992567001635</v>
      </c>
      <c r="N10" s="9">
        <f t="shared" ca="1" si="4"/>
        <v>1320.5743311744511</v>
      </c>
      <c r="O10" s="9">
        <f t="shared" ca="1" si="4"/>
        <v>1516.58829167004</v>
      </c>
      <c r="P10" s="9">
        <f t="shared" ca="1" si="4"/>
        <v>971.01172958388361</v>
      </c>
      <c r="Q10" s="9">
        <f t="shared" ca="1" si="4"/>
        <v>1008.0169012266997</v>
      </c>
      <c r="S10" s="10">
        <f t="shared" ca="1" si="1"/>
        <v>6162.3905103552379</v>
      </c>
      <c r="T10" s="9"/>
    </row>
    <row r="11" spans="1:26" x14ac:dyDescent="0.2">
      <c r="B11" s="108" t="s">
        <v>9</v>
      </c>
      <c r="C11" s="310">
        <f t="shared" ca="1" si="0"/>
        <v>3</v>
      </c>
      <c r="D11" s="108" t="str">
        <f t="shared" ca="1" si="2"/>
        <v>Powercor3</v>
      </c>
      <c r="F11" s="1" t="str">
        <f ca="1">'REFCL opex'!$A2</f>
        <v>REFCL opex</v>
      </c>
      <c r="H11" s="1" t="str">
        <f>'REFCL opex'!$A3</f>
        <v xml:space="preserve">REFCL on-going operating expenditure </v>
      </c>
      <c r="M11" s="9">
        <f t="shared" ca="1" si="3"/>
        <v>1844.8417632832895</v>
      </c>
      <c r="N11" s="9">
        <f t="shared" ca="1" si="4"/>
        <v>2184.4468425082741</v>
      </c>
      <c r="O11" s="9">
        <f t="shared" ca="1" si="4"/>
        <v>2791.9800558595161</v>
      </c>
      <c r="P11" s="9">
        <f t="shared" ca="1" si="4"/>
        <v>3174.1642046599427</v>
      </c>
      <c r="Q11" s="9">
        <f t="shared" ca="1" si="4"/>
        <v>3326.2825692940364</v>
      </c>
      <c r="S11" s="10">
        <f t="shared" ca="1" si="1"/>
        <v>13321.71543560506</v>
      </c>
      <c r="T11" s="9"/>
    </row>
    <row r="12" spans="1:26" x14ac:dyDescent="0.2">
      <c r="B12" s="108" t="s">
        <v>9</v>
      </c>
      <c r="C12" s="310">
        <f t="shared" ca="1" si="0"/>
        <v>11</v>
      </c>
      <c r="D12" s="108" t="str">
        <f t="shared" ca="1" si="2"/>
        <v>Powercor11</v>
      </c>
      <c r="F12" s="1" t="str">
        <f ca="1">'Financial year RIN'!$A2</f>
        <v>Financial year RIN</v>
      </c>
      <c r="H12" s="1" t="str">
        <f ca="1">'Financial year RIN'!$A2</f>
        <v>Financial year RIN</v>
      </c>
      <c r="M12" s="9">
        <f t="shared" ca="1" si="3"/>
        <v>354.00237616175133</v>
      </c>
      <c r="N12" s="9">
        <f t="shared" ca="1" si="4"/>
        <v>359.89303788395983</v>
      </c>
      <c r="O12" s="9">
        <f t="shared" ca="1" si="4"/>
        <v>365.84826125213345</v>
      </c>
      <c r="P12" s="9">
        <f t="shared" ca="1" si="4"/>
        <v>371.19245327313484</v>
      </c>
      <c r="Q12" s="9">
        <f t="shared" ca="1" si="4"/>
        <v>376.06622154797151</v>
      </c>
      <c r="S12" s="10">
        <f t="shared" ca="1" si="1"/>
        <v>1827.002350118951</v>
      </c>
      <c r="T12" s="9"/>
    </row>
    <row r="13" spans="1:26" x14ac:dyDescent="0.2">
      <c r="B13" s="108" t="s">
        <v>9</v>
      </c>
      <c r="C13" s="310">
        <f t="shared" ca="1" si="0"/>
        <v>8</v>
      </c>
      <c r="D13" s="108" t="str">
        <f t="shared" ca="1" si="2"/>
        <v>Powercor8</v>
      </c>
      <c r="F13" s="14" t="str">
        <f ca="1">'Increasing insurance premiums'!$A2</f>
        <v>Increasing insurance premiums</v>
      </c>
      <c r="H13" s="1" t="str">
        <f ca="1">F13</f>
        <v>Increasing insurance premiums</v>
      </c>
      <c r="M13" s="9">
        <f t="shared" ca="1" si="3"/>
        <v>1008.3242202339634</v>
      </c>
      <c r="N13" s="9">
        <f t="shared" ca="1" si="4"/>
        <v>1008.3242202339634</v>
      </c>
      <c r="O13" s="9">
        <f t="shared" ca="1" si="4"/>
        <v>1008.3242202339634</v>
      </c>
      <c r="P13" s="9">
        <f t="shared" ca="1" si="4"/>
        <v>1008.3242202339634</v>
      </c>
      <c r="Q13" s="9">
        <f t="shared" ca="1" si="4"/>
        <v>1008.3242202339634</v>
      </c>
      <c r="S13" s="10">
        <f t="shared" ca="1" si="1"/>
        <v>5041.6211011698169</v>
      </c>
      <c r="T13" s="9"/>
    </row>
    <row r="14" spans="1:26" x14ac:dyDescent="0.2">
      <c r="B14" s="108" t="s">
        <v>9</v>
      </c>
      <c r="C14" s="310">
        <f t="shared" ca="1" si="0"/>
        <v>1</v>
      </c>
      <c r="D14" s="108" t="str">
        <f t="shared" ca="1" si="2"/>
        <v>Powercor1</v>
      </c>
      <c r="F14" s="1" t="str">
        <f ca="1">'HBRA reclassification'!$A2</f>
        <v>HBRA reclassification</v>
      </c>
      <c r="H14" s="1" t="str">
        <f>'HBRA reclassification'!$A3</f>
        <v>HBRA zone reclassification</v>
      </c>
      <c r="M14" s="9">
        <f t="shared" ca="1" si="3"/>
        <v>20809.123979948432</v>
      </c>
      <c r="N14" s="9">
        <f t="shared" ca="1" si="4"/>
        <v>733.58197555347158</v>
      </c>
      <c r="O14" s="9">
        <f t="shared" ca="1" si="4"/>
        <v>0</v>
      </c>
      <c r="P14" s="9">
        <f t="shared" ca="1" si="4"/>
        <v>0</v>
      </c>
      <c r="Q14" s="9">
        <f t="shared" ca="1" si="4"/>
        <v>0</v>
      </c>
      <c r="S14" s="10">
        <f t="shared" ca="1" si="1"/>
        <v>21542.705955501904</v>
      </c>
      <c r="T14" s="9"/>
    </row>
    <row r="15" spans="1:26" x14ac:dyDescent="0.2">
      <c r="B15" s="108" t="s">
        <v>9</v>
      </c>
      <c r="C15" s="310">
        <f t="shared" ca="1" si="0"/>
        <v>7</v>
      </c>
      <c r="D15" s="108" t="str">
        <f t="shared" ca="1" si="2"/>
        <v>Powercor7</v>
      </c>
      <c r="F15" s="1" t="str">
        <f ca="1">'IT cloud solutions'!$A2</f>
        <v>IT cloud solutions</v>
      </c>
      <c r="H15" s="14" t="str">
        <f>'IT cloud solutions'!$A3</f>
        <v>IT cloud solutions</v>
      </c>
      <c r="M15" s="9">
        <f t="shared" ca="1" si="3"/>
        <v>854.45048923365653</v>
      </c>
      <c r="N15" s="9">
        <f t="shared" ca="1" si="4"/>
        <v>857.03460857410084</v>
      </c>
      <c r="O15" s="9">
        <f t="shared" ca="1" si="4"/>
        <v>1241.5994819656999</v>
      </c>
      <c r="P15" s="9">
        <f t="shared" ca="1" si="4"/>
        <v>1486.3577699209795</v>
      </c>
      <c r="Q15" s="9">
        <f t="shared" ca="1" si="4"/>
        <v>1488.9216583139566</v>
      </c>
      <c r="S15" s="10">
        <f t="shared" ca="1" si="1"/>
        <v>5928.3640080083933</v>
      </c>
    </row>
    <row r="16" spans="1:26" x14ac:dyDescent="0.2">
      <c r="B16" s="108" t="s">
        <v>9</v>
      </c>
      <c r="C16" s="310">
        <f t="shared" ca="1" si="0"/>
        <v>5</v>
      </c>
      <c r="D16" s="108" t="str">
        <f t="shared" ca="1" si="2"/>
        <v>Powercor5</v>
      </c>
      <c r="F16" s="1" t="str">
        <f ca="1">'EPA regulations change'!$A2</f>
        <v>EPA regulations change</v>
      </c>
      <c r="H16" s="14" t="str">
        <f>'EPA regulations change'!$A3</f>
        <v>EPA regulations change</v>
      </c>
      <c r="M16" s="9">
        <f t="shared" ca="1" si="3"/>
        <v>3163.5365022268452</v>
      </c>
      <c r="N16" s="9">
        <f t="shared" ca="1" si="4"/>
        <v>3283.3425965440847</v>
      </c>
      <c r="O16" s="9">
        <f t="shared" ca="1" si="4"/>
        <v>3061.1323097303866</v>
      </c>
      <c r="P16" s="9">
        <f t="shared" ca="1" si="4"/>
        <v>11.674436367962613</v>
      </c>
      <c r="Q16" s="9">
        <f t="shared" ca="1" si="4"/>
        <v>80.377668898520852</v>
      </c>
      <c r="S16" s="10">
        <f t="shared" ca="1" si="1"/>
        <v>9600.0635137678</v>
      </c>
    </row>
    <row r="17" spans="2:25" x14ac:dyDescent="0.2">
      <c r="B17" s="108" t="s">
        <v>9</v>
      </c>
      <c r="C17" s="310">
        <f t="shared" ca="1" si="0"/>
        <v>10</v>
      </c>
      <c r="D17" s="108" t="str">
        <f t="shared" ca="1" si="2"/>
        <v>Powercor10</v>
      </c>
      <c r="F17" s="1" t="s">
        <v>172</v>
      </c>
      <c r="H17" s="14" t="s">
        <v>172</v>
      </c>
      <c r="M17" s="9">
        <f t="shared" ca="1" si="3"/>
        <v>743.06919988765731</v>
      </c>
      <c r="N17" s="9">
        <f t="shared" ca="1" si="4"/>
        <v>769.81577428951323</v>
      </c>
      <c r="O17" s="9">
        <f t="shared" ca="1" si="4"/>
        <v>796.58414575233473</v>
      </c>
      <c r="P17" s="9">
        <f t="shared" ca="1" si="4"/>
        <v>823.55101495046938</v>
      </c>
      <c r="Q17" s="9">
        <f t="shared" ca="1" si="4"/>
        <v>850.71785382071312</v>
      </c>
      <c r="S17" s="10">
        <f t="shared" ca="1" si="1"/>
        <v>3983.7379887006878</v>
      </c>
    </row>
    <row r="18" spans="2:25" x14ac:dyDescent="0.2">
      <c r="B18" s="293"/>
      <c r="C18" s="294"/>
      <c r="D18" s="293"/>
    </row>
    <row r="19" spans="2:25" x14ac:dyDescent="0.2">
      <c r="B19" s="293"/>
      <c r="C19" s="294"/>
      <c r="D19" s="293"/>
      <c r="M19" s="18"/>
      <c r="N19" s="18"/>
      <c r="O19" s="18"/>
      <c r="P19" s="18"/>
      <c r="Q19" s="18"/>
      <c r="R19" s="5"/>
      <c r="S19" s="18"/>
    </row>
    <row r="20" spans="2:25" ht="13.5" thickBot="1" x14ac:dyDescent="0.25">
      <c r="B20" s="293"/>
      <c r="C20" s="294"/>
      <c r="D20" s="293"/>
      <c r="F20" s="23" t="str">
        <f>"Total "&amp;B17</f>
        <v>Total Powercor</v>
      </c>
      <c r="G20" s="23"/>
      <c r="H20" s="23"/>
      <c r="I20" s="23"/>
      <c r="J20" s="23"/>
      <c r="K20" s="23"/>
      <c r="L20" s="23"/>
      <c r="M20" s="23">
        <f ca="1">SUM(M7:M19)</f>
        <v>35928.735402088969</v>
      </c>
      <c r="N20" s="23">
        <f ca="1">SUM(N7:N19)</f>
        <v>16271.338674981969</v>
      </c>
      <c r="O20" s="23">
        <f ca="1">SUM(O7:O19)</f>
        <v>16822.528893710063</v>
      </c>
      <c r="P20" s="23">
        <f ca="1">SUM(P7:P19)</f>
        <v>14184.064400352756</v>
      </c>
      <c r="Q20" s="23">
        <f ca="1">SUM(Q7:Q19)</f>
        <v>14786.675768502711</v>
      </c>
      <c r="S20" s="23">
        <f ca="1">SUM(S7:S19)</f>
        <v>97993.343139636461</v>
      </c>
      <c r="U20" s="9"/>
      <c r="Y20" s="9"/>
    </row>
    <row r="21" spans="2:25" ht="13.5" thickTop="1" x14ac:dyDescent="0.2">
      <c r="B21" s="293"/>
      <c r="C21" s="294"/>
      <c r="D21" s="293"/>
      <c r="F21" s="108" t="s">
        <v>257</v>
      </c>
      <c r="G21" s="108"/>
      <c r="H21" s="108"/>
      <c r="I21" s="108"/>
      <c r="J21" s="108"/>
      <c r="K21" s="108"/>
      <c r="L21" s="108"/>
      <c r="M21" s="108"/>
      <c r="N21" s="108"/>
      <c r="O21" s="108"/>
      <c r="P21" s="108"/>
      <c r="Q21" s="108"/>
      <c r="R21" s="108"/>
      <c r="S21" s="311">
        <f ca="1">COUNT(S7:S17)-COUNTIF(S7:S17, 0)</f>
        <v>11</v>
      </c>
    </row>
    <row r="22" spans="2:25" x14ac:dyDescent="0.2">
      <c r="B22" s="293"/>
      <c r="C22" s="294"/>
      <c r="D22" s="293"/>
      <c r="N22" s="100"/>
      <c r="O22" s="100"/>
      <c r="P22" s="100"/>
      <c r="Q22" s="100"/>
      <c r="T22" s="100"/>
    </row>
    <row r="23" spans="2:25" x14ac:dyDescent="0.2">
      <c r="B23" s="293"/>
      <c r="C23" s="294"/>
      <c r="D23" s="293"/>
      <c r="T23" s="100"/>
    </row>
    <row r="24" spans="2:25" x14ac:dyDescent="0.2">
      <c r="B24" s="293"/>
      <c r="C24" s="294"/>
      <c r="D24" s="293"/>
      <c r="T24" s="100"/>
    </row>
    <row r="25" spans="2:25" x14ac:dyDescent="0.2">
      <c r="M25" s="9"/>
      <c r="N25" s="9"/>
      <c r="O25" s="9"/>
      <c r="P25" s="9"/>
      <c r="Q25" s="9"/>
    </row>
    <row r="26" spans="2:25" x14ac:dyDescent="0.2">
      <c r="M26" s="9"/>
      <c r="N26" s="9"/>
      <c r="O26" s="9"/>
      <c r="P26" s="9"/>
      <c r="Q26" s="9"/>
    </row>
    <row r="27" spans="2:25" x14ac:dyDescent="0.2">
      <c r="M27" s="9"/>
      <c r="N27" s="9"/>
      <c r="O27" s="9"/>
      <c r="P27" s="9"/>
      <c r="Q27" s="9"/>
    </row>
    <row r="28" spans="2:25" x14ac:dyDescent="0.2">
      <c r="M28" s="9"/>
      <c r="N28" s="9"/>
      <c r="O28" s="9"/>
      <c r="P28" s="9"/>
      <c r="Q28" s="9"/>
    </row>
    <row r="29" spans="2:25" x14ac:dyDescent="0.2">
      <c r="M29" s="9"/>
      <c r="N29" s="9"/>
      <c r="O29" s="9"/>
      <c r="P29" s="9"/>
      <c r="Q29" s="9"/>
    </row>
    <row r="30" spans="2:25" x14ac:dyDescent="0.2">
      <c r="M30" s="9"/>
      <c r="N30" s="9"/>
      <c r="O30" s="9"/>
      <c r="P30" s="9"/>
      <c r="Q30" s="9"/>
    </row>
    <row r="31" spans="2:25" x14ac:dyDescent="0.2">
      <c r="M31" s="9"/>
      <c r="N31" s="9"/>
      <c r="O31" s="9"/>
      <c r="P31" s="9"/>
      <c r="Q31" s="9"/>
    </row>
    <row r="32" spans="2:25" x14ac:dyDescent="0.2">
      <c r="M32" s="9"/>
      <c r="N32" s="9"/>
      <c r="O32" s="9"/>
      <c r="P32" s="9"/>
      <c r="Q32" s="9"/>
    </row>
    <row r="33" spans="13:17" x14ac:dyDescent="0.2">
      <c r="M33" s="9"/>
      <c r="N33" s="9"/>
      <c r="O33" s="9"/>
      <c r="P33" s="9"/>
      <c r="Q33" s="9"/>
    </row>
    <row r="34" spans="13:17" x14ac:dyDescent="0.2">
      <c r="M34" s="9"/>
      <c r="N34" s="9"/>
      <c r="O34" s="9"/>
      <c r="P34" s="9"/>
      <c r="Q34" s="9"/>
    </row>
    <row r="35" spans="13:17" x14ac:dyDescent="0.2">
      <c r="M35" s="9"/>
      <c r="N35" s="9"/>
      <c r="O35" s="9"/>
      <c r="P35" s="9"/>
      <c r="Q35" s="9"/>
    </row>
    <row r="36" spans="13:17" x14ac:dyDescent="0.2">
      <c r="M36" s="9"/>
      <c r="N36" s="9"/>
      <c r="O36" s="9"/>
      <c r="P36" s="9"/>
      <c r="Q36" s="9"/>
    </row>
  </sheetData>
  <pageMargins left="0.7" right="0.7" top="0.75" bottom="0.75" header="0.3" footer="0.3"/>
  <pageSetup scale="7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FFCC"/>
  </sheetPr>
  <dimension ref="A1:T46"/>
  <sheetViews>
    <sheetView showGridLines="0" zoomScale="80" zoomScaleNormal="80" workbookViewId="0">
      <pane xSplit="2" ySplit="2" topLeftCell="C3" activePane="bottomRight" state="frozen"/>
      <selection pane="topRight" activeCell="C1" sqref="C1"/>
      <selection pane="bottomLeft" activeCell="A3" sqref="A3"/>
      <selection pane="bottomRight" activeCell="C3" sqref="C3"/>
    </sheetView>
  </sheetViews>
  <sheetFormatPr defaultColWidth="9" defaultRowHeight="12.75" x14ac:dyDescent="0.2"/>
  <cols>
    <col min="1" max="1" width="2" style="1" customWidth="1"/>
    <col min="2" max="2" width="33.125" style="1" customWidth="1"/>
    <col min="3" max="3" width="10.5" style="1" customWidth="1"/>
    <col min="4" max="4" width="9" style="1"/>
    <col min="5" max="5" width="9.25" style="1" customWidth="1"/>
    <col min="6" max="6" width="8.5" style="1" customWidth="1"/>
    <col min="7" max="18" width="8.375" style="1" customWidth="1"/>
    <col min="19" max="16384" width="9" style="1"/>
  </cols>
  <sheetData>
    <row r="1" spans="1:18" ht="21" x14ac:dyDescent="0.35">
      <c r="A1" s="3" t="s">
        <v>5</v>
      </c>
    </row>
    <row r="2" spans="1:18" ht="18.75" x14ac:dyDescent="0.3">
      <c r="A2" s="8" t="str">
        <f ca="1">RIGHT(CELL("filename",A1),LEN(CELL("filename",A1))-FIND("]",CELL("filename",A1),1))</f>
        <v>Assumptions</v>
      </c>
      <c r="L2" s="117"/>
      <c r="M2" s="117"/>
      <c r="N2" s="117"/>
      <c r="O2" s="117"/>
      <c r="P2" s="117"/>
      <c r="Q2" s="117"/>
      <c r="R2" s="117"/>
    </row>
    <row r="4" spans="1:18" x14ac:dyDescent="0.2">
      <c r="A4" s="2" t="s">
        <v>3</v>
      </c>
      <c r="B4" s="2"/>
      <c r="C4" s="2"/>
      <c r="D4" s="2"/>
      <c r="E4" s="2"/>
      <c r="F4" s="2"/>
      <c r="G4" s="2"/>
      <c r="H4" s="2"/>
      <c r="I4" s="2"/>
      <c r="J4" s="2"/>
      <c r="K4" s="2"/>
      <c r="L4" s="2"/>
      <c r="M4" s="2"/>
      <c r="N4" s="2"/>
      <c r="O4" s="2"/>
      <c r="P4" s="2"/>
      <c r="Q4" s="2"/>
      <c r="R4" s="2"/>
    </row>
    <row r="6" spans="1:18" x14ac:dyDescent="0.2">
      <c r="B6" s="172" t="s">
        <v>186</v>
      </c>
    </row>
    <row r="7" spans="1:18" x14ac:dyDescent="0.2">
      <c r="B7" s="173" t="s">
        <v>187</v>
      </c>
    </row>
    <row r="9" spans="1:18" x14ac:dyDescent="0.2">
      <c r="B9" s="1" t="s">
        <v>215</v>
      </c>
      <c r="D9" s="291">
        <v>0.5</v>
      </c>
    </row>
    <row r="10" spans="1:18" x14ac:dyDescent="0.2">
      <c r="B10" s="1" t="s">
        <v>216</v>
      </c>
      <c r="D10" s="150">
        <f>1-CP_cost_split</f>
        <v>0.5</v>
      </c>
    </row>
    <row r="11" spans="1:18" x14ac:dyDescent="0.2">
      <c r="B11" s="1" t="s">
        <v>45</v>
      </c>
      <c r="D11" s="290" t="s">
        <v>47</v>
      </c>
    </row>
    <row r="12" spans="1:18" x14ac:dyDescent="0.2">
      <c r="B12" s="1" t="s">
        <v>185</v>
      </c>
      <c r="D12" s="290">
        <v>2019</v>
      </c>
    </row>
    <row r="15" spans="1:18" x14ac:dyDescent="0.2">
      <c r="A15" s="2" t="s">
        <v>2</v>
      </c>
      <c r="B15" s="2"/>
      <c r="C15" s="2"/>
      <c r="D15" s="2"/>
      <c r="E15" s="2"/>
      <c r="F15" s="2"/>
      <c r="G15" s="2">
        <v>2015</v>
      </c>
      <c r="H15" s="2">
        <f>G15+1</f>
        <v>2016</v>
      </c>
      <c r="I15" s="2">
        <f>H15+1</f>
        <v>2017</v>
      </c>
      <c r="J15" s="2">
        <f>I15+1</f>
        <v>2018</v>
      </c>
      <c r="K15" s="2">
        <v>2019</v>
      </c>
      <c r="L15" s="2">
        <v>2020</v>
      </c>
      <c r="M15" s="7" t="s">
        <v>47</v>
      </c>
    </row>
    <row r="18" spans="1:19" x14ac:dyDescent="0.2">
      <c r="B18" s="1" t="s">
        <v>169</v>
      </c>
      <c r="F18" s="16"/>
      <c r="G18" s="151">
        <v>1.5108593012275628E-2</v>
      </c>
      <c r="H18" s="151">
        <v>1.0232558139534831E-2</v>
      </c>
      <c r="I18" s="151">
        <v>1.9337016574585641E-2</v>
      </c>
      <c r="J18" s="151">
        <v>2.0776874435411097E-2</v>
      </c>
      <c r="K18" s="151">
        <v>1.5929203539823078E-2</v>
      </c>
      <c r="L18" s="151">
        <v>2.000000000000024E-2</v>
      </c>
      <c r="M18" s="151">
        <v>2.1998043050963867E-2</v>
      </c>
    </row>
    <row r="19" spans="1:19" s="14" customFormat="1" x14ac:dyDescent="0.2">
      <c r="B19" s="14" t="s">
        <v>170</v>
      </c>
      <c r="F19" s="16"/>
      <c r="G19" s="174">
        <v>1</v>
      </c>
      <c r="H19" s="152">
        <f t="shared" ref="H19:M19" si="0">G19*(1+H18)</f>
        <v>1.0102325581395348</v>
      </c>
      <c r="I19" s="152">
        <f t="shared" si="0"/>
        <v>1.029767441860465</v>
      </c>
      <c r="J19" s="152">
        <f>I19*(1+J18)</f>
        <v>1.0511627906976744</v>
      </c>
      <c r="K19" s="152">
        <f t="shared" si="0"/>
        <v>1.067906976744186</v>
      </c>
      <c r="L19" s="152">
        <f t="shared" si="0"/>
        <v>1.0892651162790701</v>
      </c>
      <c r="M19" s="152">
        <f t="shared" si="0"/>
        <v>1.1132268172008901</v>
      </c>
      <c r="N19" s="1"/>
      <c r="O19" s="1"/>
      <c r="P19" s="1"/>
      <c r="Q19" s="1"/>
      <c r="R19" s="1"/>
      <c r="S19" s="1"/>
    </row>
    <row r="20" spans="1:19" x14ac:dyDescent="0.2">
      <c r="B20" s="1" t="str">
        <f>"Convert from "&amp;D20&amp;" nominal to $ June 2021"</f>
        <v>Convert from 2018 nominal to $ June 2021</v>
      </c>
      <c r="D20" s="290">
        <v>2018</v>
      </c>
      <c r="E20" s="178" t="str">
        <f>"conv_"&amp;RIGHT(D20,2)&amp;"_"&amp;RIGHT(D$11,2)</f>
        <v>conv_18_21</v>
      </c>
      <c r="F20" s="177">
        <f>INDEX($G$19:$M$19, MATCH(Year_of_Currency,$G$15:$M$15,0))/INDEX($G$19:$M$19, MATCH($D20,$G$15:$M$15,0))</f>
        <v>1.0590432110539443</v>
      </c>
      <c r="G20" s="4"/>
    </row>
    <row r="21" spans="1:19" x14ac:dyDescent="0.2">
      <c r="B21" s="1" t="str">
        <f>"Convert from "&amp;D21&amp;" nominal to $ June 2021"</f>
        <v>Convert from 2019 nominal to $ June 2021</v>
      </c>
      <c r="D21" s="290">
        <v>2019</v>
      </c>
      <c r="E21" s="178" t="str">
        <f>"conv_"&amp;RIGHT(D21,2)&amp;"_"&amp;RIGHT(D$11,2)</f>
        <v>conv_19_21</v>
      </c>
      <c r="F21" s="177">
        <f>INDEX($G$19:$M$19, MATCH(Year_of_Currency,$G$15:$M$15,0))/INDEX($G$19:$M$19, MATCH($D21,$G$15:$M$15,0))</f>
        <v>1.0424380039119834</v>
      </c>
      <c r="G21" s="4"/>
    </row>
    <row r="22" spans="1:19" x14ac:dyDescent="0.2">
      <c r="B22" s="1" t="str">
        <f>"Convert from "&amp;D22&amp;" nominal to $ June 2021"</f>
        <v>Convert from 2020/21 nominal to $ June 2021</v>
      </c>
      <c r="D22" s="290" t="s">
        <v>47</v>
      </c>
      <c r="E22" s="178" t="str">
        <f>"conv_"&amp;RIGHT(D22,2)&amp;"_"&amp;RIGHT(D$11,2)</f>
        <v>conv_21_21</v>
      </c>
      <c r="F22" s="177">
        <f>INDEX($G$19:$M$19, MATCH(Year_of_Currency,$G$15:$M$15,0))/INDEX($G$19:$M$19, MATCH($D22,$G$15:$M$15,0))</f>
        <v>1</v>
      </c>
      <c r="G22" s="4"/>
      <c r="K22" s="9"/>
    </row>
    <row r="23" spans="1:19" x14ac:dyDescent="0.2">
      <c r="G23" s="4"/>
      <c r="K23" s="9"/>
    </row>
    <row r="24" spans="1:19" x14ac:dyDescent="0.2">
      <c r="G24" s="9"/>
    </row>
    <row r="25" spans="1:19" x14ac:dyDescent="0.2">
      <c r="A25" s="214" t="s">
        <v>7</v>
      </c>
      <c r="B25" s="214"/>
      <c r="C25" s="214"/>
      <c r="D25" s="214"/>
      <c r="E25" s="214"/>
      <c r="F25" s="214"/>
      <c r="G25" s="2"/>
      <c r="H25" s="2"/>
      <c r="I25" s="2"/>
      <c r="J25" s="2"/>
      <c r="K25" s="2"/>
      <c r="L25" s="7" t="s">
        <v>46</v>
      </c>
      <c r="M25" s="7" t="s">
        <v>47</v>
      </c>
      <c r="N25" s="7" t="s">
        <v>48</v>
      </c>
      <c r="O25" s="7" t="s">
        <v>49</v>
      </c>
      <c r="P25" s="7" t="s">
        <v>50</v>
      </c>
      <c r="Q25" s="7" t="s">
        <v>51</v>
      </c>
      <c r="R25" s="7" t="s">
        <v>52</v>
      </c>
    </row>
    <row r="27" spans="1:19" x14ac:dyDescent="0.2">
      <c r="B27" s="1" t="s">
        <v>8</v>
      </c>
      <c r="C27" s="1" t="s">
        <v>10</v>
      </c>
      <c r="F27" s="11">
        <f>SUM($M27:$R27)/SUM($M$27:$R$28)</f>
        <v>0.28237749813107138</v>
      </c>
      <c r="G27" s="9"/>
      <c r="H27" s="9"/>
      <c r="I27" s="9"/>
      <c r="J27" s="9"/>
      <c r="K27" s="9"/>
      <c r="L27" s="201">
        <v>350512.70286229136</v>
      </c>
      <c r="M27" s="201">
        <v>355701.55873403541</v>
      </c>
      <c r="N27" s="201">
        <v>360634.52102242614</v>
      </c>
      <c r="O27" s="201">
        <v>365318.63037611131</v>
      </c>
      <c r="P27" s="201">
        <v>369797.94428244897</v>
      </c>
      <c r="Q27" s="201">
        <v>374094.0310249622</v>
      </c>
      <c r="R27" s="201">
        <v>378214.70572001225</v>
      </c>
    </row>
    <row r="28" spans="1:19" x14ac:dyDescent="0.2">
      <c r="B28" s="1" t="s">
        <v>9</v>
      </c>
      <c r="C28" s="1" t="s">
        <v>10</v>
      </c>
      <c r="F28" s="11">
        <f>SUM($M28:$R28)/SUM($M$27:$R$28)</f>
        <v>0.71762250186892862</v>
      </c>
      <c r="G28" s="9"/>
      <c r="H28" s="9"/>
      <c r="I28" s="9"/>
      <c r="J28" s="9"/>
      <c r="K28" s="9"/>
      <c r="L28" s="173">
        <f>'[1]Output growth'!N14</f>
        <v>865113.62854829244</v>
      </c>
      <c r="M28" s="173">
        <f>'[1]Output growth'!O14</f>
        <v>884806.06181940215</v>
      </c>
      <c r="N28" s="173">
        <f>'[1]Output growth'!P14</f>
        <v>904405.12201858975</v>
      </c>
      <c r="O28" s="173">
        <f>'[1]Output growth'!Q14</f>
        <v>923831.52824762848</v>
      </c>
      <c r="P28" s="173">
        <f>'[1]Output growth'!R14</f>
        <v>943230.91869478743</v>
      </c>
      <c r="Q28" s="173">
        <f>'[1]Output growth'!S14</f>
        <v>962544.3570306492</v>
      </c>
      <c r="R28" s="173">
        <f>'[1]Output growth'!T14</f>
        <v>981730.12070825358</v>
      </c>
    </row>
    <row r="29" spans="1:19" x14ac:dyDescent="0.2">
      <c r="G29" s="9"/>
      <c r="H29" s="9"/>
      <c r="I29" s="9"/>
      <c r="J29" s="9"/>
      <c r="K29" s="9"/>
      <c r="L29" s="9"/>
      <c r="M29" s="9"/>
      <c r="N29" s="9"/>
      <c r="O29" s="9"/>
      <c r="P29" s="9"/>
      <c r="Q29" s="9"/>
      <c r="R29" s="9"/>
    </row>
    <row r="30" spans="1:19" x14ac:dyDescent="0.2">
      <c r="A30" s="214" t="s">
        <v>12</v>
      </c>
      <c r="B30" s="214"/>
      <c r="C30" s="214"/>
      <c r="D30" s="214"/>
      <c r="E30" s="214"/>
      <c r="F30" s="214"/>
      <c r="G30" s="2"/>
      <c r="H30" s="2"/>
      <c r="I30" s="2"/>
      <c r="J30" s="2"/>
      <c r="K30" s="2"/>
      <c r="L30" s="7" t="s">
        <v>46</v>
      </c>
      <c r="M30" s="7" t="s">
        <v>47</v>
      </c>
      <c r="N30" s="7" t="s">
        <v>48</v>
      </c>
      <c r="O30" s="7" t="s">
        <v>49</v>
      </c>
      <c r="P30" s="7" t="s">
        <v>50</v>
      </c>
      <c r="Q30" s="7" t="s">
        <v>51</v>
      </c>
      <c r="R30" s="7" t="s">
        <v>52</v>
      </c>
    </row>
    <row r="31" spans="1:19" x14ac:dyDescent="0.2">
      <c r="G31" s="9"/>
      <c r="H31" s="9"/>
      <c r="I31" s="9"/>
      <c r="J31" s="9"/>
      <c r="K31" s="9"/>
      <c r="L31" s="9"/>
      <c r="M31" s="9"/>
      <c r="N31" s="9"/>
      <c r="O31" s="9"/>
      <c r="P31" s="9"/>
      <c r="Q31" s="9"/>
      <c r="R31" s="9"/>
    </row>
    <row r="32" spans="1:19" ht="12" customHeight="1" x14ac:dyDescent="0.2">
      <c r="A32" s="20"/>
      <c r="B32" s="169" t="s">
        <v>219</v>
      </c>
      <c r="C32" s="170"/>
      <c r="D32" s="170"/>
      <c r="E32" s="170"/>
      <c r="F32" s="170"/>
      <c r="G32" s="171"/>
      <c r="H32" s="171"/>
      <c r="I32" s="171"/>
      <c r="J32" s="171"/>
      <c r="K32" s="171"/>
      <c r="L32" s="176">
        <v>0.5</v>
      </c>
      <c r="M32" s="176">
        <v>1</v>
      </c>
      <c r="N32" s="176">
        <v>1</v>
      </c>
      <c r="O32" s="176">
        <v>1</v>
      </c>
      <c r="P32" s="176">
        <v>1</v>
      </c>
      <c r="Q32" s="176">
        <v>1</v>
      </c>
      <c r="R32" s="176">
        <v>1</v>
      </c>
    </row>
    <row r="33" spans="1:20" ht="12" customHeight="1" x14ac:dyDescent="0.2">
      <c r="A33" s="20"/>
      <c r="B33" s="20"/>
      <c r="C33" s="20"/>
      <c r="D33" s="20"/>
      <c r="E33" s="20"/>
      <c r="F33" s="20"/>
      <c r="G33" s="20"/>
      <c r="H33" s="20"/>
      <c r="I33" s="20"/>
      <c r="J33" s="20"/>
      <c r="K33" s="20"/>
      <c r="L33" s="20"/>
      <c r="M33" s="20"/>
      <c r="N33" s="20"/>
      <c r="O33" s="20"/>
      <c r="P33" s="20"/>
      <c r="Q33" s="20"/>
      <c r="R33" s="20"/>
      <c r="S33" s="20"/>
      <c r="T33" s="20"/>
    </row>
    <row r="34" spans="1:20" x14ac:dyDescent="0.2">
      <c r="B34" s="103" t="s">
        <v>218</v>
      </c>
      <c r="C34" s="103"/>
      <c r="D34" s="103"/>
      <c r="E34" s="103"/>
      <c r="F34" s="103"/>
      <c r="G34" s="105"/>
      <c r="H34" s="105"/>
      <c r="I34" s="105"/>
      <c r="J34" s="105"/>
      <c r="K34" s="105"/>
      <c r="L34" s="215">
        <f>'[1]Price escalation'!N$26</f>
        <v>1.43E-2</v>
      </c>
      <c r="M34" s="215">
        <f>'[1]Price escalation'!O$26</f>
        <v>1.38E-2</v>
      </c>
      <c r="N34" s="215">
        <f>'[1]Price escalation'!P$26</f>
        <v>2.0036529680365511E-2</v>
      </c>
      <c r="O34" s="215">
        <f>'[1]Price escalation'!Q$26</f>
        <v>2.1723181818181558E-2</v>
      </c>
      <c r="P34" s="215">
        <f>'[1]Price escalation'!R$26</f>
        <v>2.1601809954751472E-2</v>
      </c>
      <c r="Q34" s="215">
        <f>'[1]Price escalation'!S$26</f>
        <v>1.9069819819819811E-2</v>
      </c>
      <c r="R34" s="215">
        <f>'[1]Price escalation'!T$26</f>
        <v>1.7140807174887973E-2</v>
      </c>
    </row>
    <row r="35" spans="1:20" x14ac:dyDescent="0.2">
      <c r="B35" s="103" t="s">
        <v>217</v>
      </c>
      <c r="C35" s="103"/>
      <c r="E35" s="204"/>
      <c r="F35" s="103"/>
      <c r="G35" s="104"/>
      <c r="H35" s="104"/>
      <c r="I35" s="104"/>
      <c r="J35" s="104"/>
      <c r="K35" s="154">
        <v>1</v>
      </c>
      <c r="L35" s="21">
        <f>K35*(1+L$34)^L$32</f>
        <v>1.0071246198956711</v>
      </c>
      <c r="M35" s="21">
        <f t="shared" ref="M35:R35" si="1">L35*(1+M$34)^M$32</f>
        <v>1.0210229396502315</v>
      </c>
      <c r="N35" s="21">
        <f t="shared" si="1"/>
        <v>1.0414806960848675</v>
      </c>
      <c r="O35" s="21">
        <f t="shared" si="1"/>
        <v>1.0641049706060453</v>
      </c>
      <c r="P35" s="21">
        <f t="shared" si="1"/>
        <v>1.0870915639529835</v>
      </c>
      <c r="Q35" s="21">
        <f t="shared" si="1"/>
        <v>1.107822204205213</v>
      </c>
      <c r="R35" s="21">
        <f t="shared" si="1"/>
        <v>1.126811170991554</v>
      </c>
    </row>
    <row r="36" spans="1:20" x14ac:dyDescent="0.2">
      <c r="G36" s="9"/>
      <c r="H36" s="9"/>
      <c r="I36" s="9"/>
      <c r="J36" s="9"/>
      <c r="K36" s="9"/>
      <c r="L36" s="17"/>
      <c r="M36" s="17"/>
      <c r="N36" s="17"/>
      <c r="O36" s="17"/>
      <c r="P36" s="17"/>
      <c r="Q36" s="17"/>
      <c r="R36" s="17"/>
    </row>
    <row r="37" spans="1:20" ht="12" customHeight="1" x14ac:dyDescent="0.2">
      <c r="A37" s="214" t="s">
        <v>164</v>
      </c>
      <c r="B37" s="214"/>
      <c r="C37" s="214"/>
      <c r="D37" s="214"/>
      <c r="E37" s="214"/>
      <c r="F37" s="214"/>
      <c r="G37" s="2"/>
      <c r="H37" s="2"/>
      <c r="I37" s="2"/>
      <c r="J37" s="2"/>
      <c r="K37" s="2"/>
      <c r="L37" s="7" t="s">
        <v>46</v>
      </c>
      <c r="M37" s="7" t="s">
        <v>47</v>
      </c>
      <c r="N37" s="7" t="s">
        <v>48</v>
      </c>
      <c r="O37" s="7" t="s">
        <v>49</v>
      </c>
      <c r="P37" s="7" t="s">
        <v>50</v>
      </c>
      <c r="Q37" s="7" t="s">
        <v>51</v>
      </c>
      <c r="R37" s="7" t="s">
        <v>52</v>
      </c>
    </row>
    <row r="38" spans="1:20" x14ac:dyDescent="0.2">
      <c r="G38" s="9"/>
      <c r="H38" s="9"/>
      <c r="I38" s="9"/>
      <c r="J38" s="9"/>
      <c r="K38" s="9"/>
      <c r="L38" s="9"/>
      <c r="M38" s="9"/>
      <c r="N38" s="9"/>
      <c r="O38" s="9"/>
      <c r="P38" s="9"/>
      <c r="Q38" s="9"/>
      <c r="R38" s="9"/>
    </row>
    <row r="39" spans="1:20" x14ac:dyDescent="0.2">
      <c r="B39" s="1" t="s">
        <v>14</v>
      </c>
      <c r="D39" s="19"/>
      <c r="G39" s="9"/>
      <c r="H39" s="9"/>
      <c r="I39" s="9"/>
      <c r="J39" s="9"/>
      <c r="K39" s="9"/>
      <c r="L39" s="175">
        <f>'[1]Price escalation'!N$37</f>
        <v>0.76601005303644099</v>
      </c>
      <c r="M39" s="175">
        <f>'[1]Price escalation'!O$37</f>
        <v>0.76601005303644099</v>
      </c>
      <c r="N39" s="175">
        <f>'[1]Price escalation'!P$37</f>
        <v>0.76601005303644099</v>
      </c>
      <c r="O39" s="175">
        <f>'[1]Price escalation'!Q$37</f>
        <v>0.76601005303644099</v>
      </c>
      <c r="P39" s="175">
        <f>'[1]Price escalation'!R$37</f>
        <v>0.76601005303644099</v>
      </c>
      <c r="Q39" s="175">
        <f>'[1]Price escalation'!S$37</f>
        <v>0.76601005303644099</v>
      </c>
      <c r="R39" s="175">
        <f>'[1]Price escalation'!T$37</f>
        <v>0.76601005303644099</v>
      </c>
    </row>
    <row r="40" spans="1:20" x14ac:dyDescent="0.2">
      <c r="B40" s="1" t="s">
        <v>15</v>
      </c>
      <c r="D40" s="19"/>
      <c r="G40" s="9"/>
      <c r="H40" s="9"/>
      <c r="I40" s="9"/>
      <c r="J40" s="9"/>
      <c r="K40" s="9"/>
      <c r="L40" s="153">
        <f>1-L39</f>
        <v>0.23398994696355901</v>
      </c>
      <c r="M40" s="153">
        <f t="shared" ref="M40" si="2">1-M39</f>
        <v>0.23398994696355901</v>
      </c>
      <c r="N40" s="153">
        <f t="shared" ref="N40" si="3">1-N39</f>
        <v>0.23398994696355901</v>
      </c>
      <c r="O40" s="153">
        <f t="shared" ref="O40" si="4">1-O39</f>
        <v>0.23398994696355901</v>
      </c>
      <c r="P40" s="153">
        <f t="shared" ref="P40" si="5">1-P39</f>
        <v>0.23398994696355901</v>
      </c>
      <c r="Q40" s="153">
        <f t="shared" ref="Q40" si="6">1-Q39</f>
        <v>0.23398994696355901</v>
      </c>
      <c r="R40" s="153">
        <f t="shared" ref="R40" si="7">1-R39</f>
        <v>0.23398994696355901</v>
      </c>
    </row>
    <row r="41" spans="1:20" x14ac:dyDescent="0.2">
      <c r="D41" s="19"/>
      <c r="G41" s="9"/>
      <c r="H41" s="9"/>
      <c r="I41" s="9"/>
      <c r="J41" s="9"/>
      <c r="K41" s="9"/>
      <c r="L41" s="19"/>
      <c r="M41" s="19"/>
      <c r="N41" s="19"/>
      <c r="O41" s="19"/>
      <c r="P41" s="19"/>
      <c r="Q41" s="19"/>
      <c r="R41" s="19"/>
    </row>
    <row r="42" spans="1:20" ht="12" customHeight="1" x14ac:dyDescent="0.2">
      <c r="A42" s="214" t="s">
        <v>13</v>
      </c>
      <c r="B42" s="214"/>
      <c r="C42" s="214"/>
      <c r="D42" s="214"/>
      <c r="E42" s="214"/>
      <c r="F42" s="214"/>
      <c r="G42" s="2"/>
      <c r="H42" s="2"/>
      <c r="I42" s="2"/>
      <c r="J42" s="2"/>
      <c r="K42" s="2"/>
      <c r="L42" s="7" t="s">
        <v>46</v>
      </c>
      <c r="M42" s="7" t="s">
        <v>47</v>
      </c>
      <c r="N42" s="7" t="s">
        <v>48</v>
      </c>
      <c r="O42" s="7" t="s">
        <v>49</v>
      </c>
      <c r="P42" s="7" t="s">
        <v>50</v>
      </c>
      <c r="Q42" s="7" t="s">
        <v>51</v>
      </c>
      <c r="R42" s="7" t="s">
        <v>52</v>
      </c>
    </row>
    <row r="43" spans="1:20" ht="12" customHeight="1" x14ac:dyDescent="0.2">
      <c r="A43" s="20"/>
      <c r="B43" s="20"/>
      <c r="C43" s="20"/>
      <c r="D43" s="20"/>
      <c r="E43" s="20"/>
      <c r="F43" s="20"/>
      <c r="G43" s="12"/>
      <c r="H43" s="12"/>
      <c r="I43" s="12"/>
      <c r="J43" s="12"/>
      <c r="K43" s="12"/>
      <c r="L43" s="12"/>
      <c r="M43" s="12"/>
      <c r="N43" s="12"/>
      <c r="O43" s="12"/>
      <c r="P43" s="12"/>
      <c r="Q43" s="12"/>
      <c r="R43" s="12"/>
    </row>
    <row r="44" spans="1:20" x14ac:dyDescent="0.2">
      <c r="B44" s="1" t="s">
        <v>266</v>
      </c>
      <c r="E44" s="204"/>
      <c r="G44" s="9"/>
      <c r="H44" s="9"/>
      <c r="I44" s="18"/>
      <c r="J44" s="18"/>
      <c r="K44" s="21"/>
      <c r="L44" s="21">
        <f t="shared" ref="L44:R44" si="8">(1+L$34*L39)^L$32</f>
        <v>1.005462054857577</v>
      </c>
      <c r="M44" s="21">
        <f t="shared" si="8"/>
        <v>1.0105709387319028</v>
      </c>
      <c r="N44" s="21">
        <f t="shared" si="8"/>
        <v>1.015348183163123</v>
      </c>
      <c r="O44" s="21">
        <f t="shared" si="8"/>
        <v>1.0166401756566654</v>
      </c>
      <c r="P44" s="21">
        <f t="shared" si="8"/>
        <v>1.0165472035891223</v>
      </c>
      <c r="Q44" s="21">
        <f t="shared" si="8"/>
        <v>1.0146076736915755</v>
      </c>
      <c r="R44" s="21">
        <f t="shared" si="8"/>
        <v>1.0131300306131235</v>
      </c>
    </row>
    <row r="45" spans="1:20" x14ac:dyDescent="0.2">
      <c r="B45" s="1" t="s">
        <v>267</v>
      </c>
      <c r="E45" s="204" t="s">
        <v>225</v>
      </c>
      <c r="G45" s="9"/>
      <c r="H45" s="9"/>
      <c r="I45" s="17"/>
      <c r="J45" s="17"/>
      <c r="K45" s="154">
        <v>1</v>
      </c>
      <c r="L45" s="21">
        <f t="shared" ref="L45:R45" si="9">K45*L44</f>
        <v>1.005462054857577</v>
      </c>
      <c r="M45" s="21">
        <f t="shared" si="9"/>
        <v>1.0160907326367297</v>
      </c>
      <c r="N45" s="21">
        <f t="shared" si="9"/>
        <v>1.0316858793115902</v>
      </c>
      <c r="O45" s="21">
        <f t="shared" si="9"/>
        <v>1.0488533135658364</v>
      </c>
      <c r="P45" s="21">
        <f t="shared" si="9"/>
        <v>1.0662089028805359</v>
      </c>
      <c r="Q45" s="21">
        <f t="shared" si="9"/>
        <v>1.0817837346208674</v>
      </c>
      <c r="R45" s="21">
        <f t="shared" si="9"/>
        <v>1.0959875881732184</v>
      </c>
    </row>
    <row r="46" spans="1:20" x14ac:dyDescent="0.2">
      <c r="G46" s="9"/>
      <c r="H46" s="9"/>
      <c r="I46" s="17"/>
      <c r="J46" s="17"/>
      <c r="K46" s="9"/>
      <c r="L46" s="21"/>
      <c r="M46" s="21"/>
      <c r="N46" s="21"/>
      <c r="O46" s="21"/>
      <c r="P46" s="21"/>
      <c r="Q46" s="21"/>
      <c r="R46" s="21"/>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theme="3"/>
  </sheetPr>
  <dimension ref="A1:AJ89"/>
  <sheetViews>
    <sheetView showGridLines="0" zoomScale="80" zoomScaleNormal="80" workbookViewId="0">
      <pane xSplit="2" ySplit="2" topLeftCell="C3" activePane="bottomRight" state="frozen"/>
      <selection pane="topRight" activeCell="C1" sqref="C1"/>
      <selection pane="bottomLeft" activeCell="A3" sqref="A3"/>
      <selection pane="bottomRight" activeCell="C3" sqref="C3"/>
    </sheetView>
  </sheetViews>
  <sheetFormatPr defaultColWidth="9" defaultRowHeight="12.75" x14ac:dyDescent="0.2"/>
  <cols>
    <col min="1" max="1" width="2" style="1" customWidth="1"/>
    <col min="2" max="2" width="38.625" style="1" customWidth="1"/>
    <col min="3" max="3" width="17.25" style="1" customWidth="1"/>
    <col min="4" max="4" width="15" style="1" customWidth="1"/>
    <col min="5" max="5" width="16" style="1" customWidth="1"/>
    <col min="6" max="6" width="12" style="1" customWidth="1"/>
    <col min="7" max="7" width="11.375" style="161" customWidth="1"/>
    <col min="8" max="8" width="17" style="161" customWidth="1"/>
    <col min="9" max="9" width="5.875" style="1" customWidth="1"/>
    <col min="10" max="10" width="9.625" style="1" bestFit="1" customWidth="1"/>
    <col min="11" max="17" width="11.75" style="1" customWidth="1"/>
    <col min="18" max="18" width="2.5" style="1" customWidth="1"/>
    <col min="19" max="19" width="11.125" style="1" customWidth="1"/>
    <col min="20" max="16384" width="9" style="1"/>
  </cols>
  <sheetData>
    <row r="1" spans="1:36" ht="21" x14ac:dyDescent="0.35">
      <c r="A1" s="3" t="s">
        <v>5</v>
      </c>
    </row>
    <row r="2" spans="1:36" ht="18.75" x14ac:dyDescent="0.3">
      <c r="A2" s="8" t="str">
        <f ca="1">RIGHT(CELL("filename",A1),LEN(CELL("filename",A1))-FIND("]",CELL("filename",A1),1))</f>
        <v>5 minute settlement</v>
      </c>
      <c r="J2" s="117"/>
      <c r="K2" s="117"/>
      <c r="L2" s="117"/>
      <c r="M2" s="117"/>
      <c r="N2" s="117"/>
      <c r="O2" s="117"/>
      <c r="P2" s="117"/>
      <c r="Q2" s="117"/>
      <c r="U2" s="298" t="s">
        <v>16</v>
      </c>
    </row>
    <row r="3" spans="1:36" x14ac:dyDescent="0.2">
      <c r="A3" s="1" t="s">
        <v>61</v>
      </c>
      <c r="U3" s="306" t="b">
        <f>ROUND(SUM(U6:U91),4)=0</f>
        <v>1</v>
      </c>
    </row>
    <row r="4" spans="1:36" x14ac:dyDescent="0.2">
      <c r="N4" s="9"/>
      <c r="O4" s="9"/>
      <c r="P4" s="9"/>
      <c r="Q4" s="9"/>
    </row>
    <row r="5" spans="1:36" x14ac:dyDescent="0.2">
      <c r="A5" s="2" t="s">
        <v>44</v>
      </c>
      <c r="B5" s="2"/>
      <c r="C5" s="2"/>
      <c r="D5" s="2"/>
      <c r="E5" s="2"/>
      <c r="F5" s="2"/>
      <c r="G5" s="229"/>
      <c r="H5" s="229"/>
      <c r="I5" s="2"/>
      <c r="J5" s="2"/>
      <c r="K5" s="7"/>
      <c r="L5" s="7"/>
      <c r="M5" s="7"/>
      <c r="N5" s="7"/>
      <c r="O5" s="7"/>
      <c r="P5" s="7"/>
      <c r="Q5" s="7"/>
    </row>
    <row r="6" spans="1:36" x14ac:dyDescent="0.2">
      <c r="B6" s="116"/>
      <c r="N6" s="9"/>
      <c r="O6" s="9"/>
      <c r="P6" s="9"/>
      <c r="Q6" s="9"/>
    </row>
    <row r="7" spans="1:36" x14ac:dyDescent="0.2">
      <c r="B7" s="116"/>
      <c r="N7" s="9"/>
      <c r="O7" s="9"/>
      <c r="P7" s="9"/>
      <c r="Q7" s="9"/>
    </row>
    <row r="8" spans="1:36" x14ac:dyDescent="0.2">
      <c r="K8" s="119"/>
      <c r="N8" s="9"/>
      <c r="O8" s="9"/>
      <c r="P8" s="9"/>
      <c r="Q8" s="9"/>
    </row>
    <row r="9" spans="1:36" x14ac:dyDescent="0.2">
      <c r="B9" s="141" t="s">
        <v>134</v>
      </c>
      <c r="K9" s="133"/>
      <c r="N9" s="9"/>
      <c r="O9" s="9"/>
      <c r="P9" s="9"/>
      <c r="Q9" s="9"/>
    </row>
    <row r="10" spans="1:36" x14ac:dyDescent="0.2">
      <c r="B10" s="162" t="s">
        <v>167</v>
      </c>
      <c r="K10" s="133"/>
      <c r="N10" s="9"/>
      <c r="O10" s="9"/>
      <c r="P10" s="9"/>
      <c r="Q10" s="9"/>
    </row>
    <row r="11" spans="1:36" x14ac:dyDescent="0.2">
      <c r="B11" s="162" t="s">
        <v>146</v>
      </c>
      <c r="K11" s="133"/>
      <c r="N11" s="9"/>
      <c r="O11" s="9"/>
      <c r="P11" s="9"/>
      <c r="Q11" s="9"/>
    </row>
    <row r="12" spans="1:36" x14ac:dyDescent="0.2">
      <c r="B12" s="162" t="s">
        <v>263</v>
      </c>
      <c r="K12" s="133"/>
      <c r="N12" s="9"/>
      <c r="O12" s="9"/>
      <c r="P12" s="9"/>
      <c r="Q12" s="9"/>
    </row>
    <row r="14" spans="1:36" x14ac:dyDescent="0.2">
      <c r="A14" s="2" t="s">
        <v>53</v>
      </c>
      <c r="B14" s="2"/>
      <c r="C14" s="2"/>
      <c r="D14" s="2"/>
      <c r="E14" s="2"/>
      <c r="F14" s="2"/>
      <c r="G14" s="229"/>
      <c r="H14" s="229" t="s">
        <v>132</v>
      </c>
      <c r="I14" s="2"/>
      <c r="J14" s="2"/>
      <c r="K14" s="7">
        <v>2019</v>
      </c>
      <c r="L14" s="7">
        <v>2020</v>
      </c>
      <c r="M14" s="7" t="s">
        <v>48</v>
      </c>
      <c r="N14" s="7" t="s">
        <v>49</v>
      </c>
      <c r="O14" s="7" t="s">
        <v>50</v>
      </c>
      <c r="P14" s="7" t="s">
        <v>51</v>
      </c>
      <c r="Q14" s="7" t="s">
        <v>52</v>
      </c>
    </row>
    <row r="15" spans="1:36" x14ac:dyDescent="0.2">
      <c r="A15" s="12"/>
      <c r="B15" s="12"/>
      <c r="C15" s="12"/>
      <c r="D15" s="12"/>
      <c r="E15" s="12"/>
      <c r="F15" s="12"/>
      <c r="G15" s="234"/>
      <c r="H15" s="234"/>
      <c r="I15" s="13"/>
      <c r="J15" s="12"/>
      <c r="K15" s="13"/>
      <c r="L15" s="13"/>
      <c r="M15" s="13"/>
      <c r="N15" s="13"/>
      <c r="O15" s="13"/>
      <c r="P15" s="13"/>
      <c r="Q15" s="13"/>
      <c r="S15" s="14"/>
      <c r="T15" s="14"/>
      <c r="U15" s="14"/>
      <c r="V15" s="14"/>
      <c r="W15" s="14"/>
      <c r="X15" s="14"/>
      <c r="Y15" s="14"/>
      <c r="Z15" s="14"/>
      <c r="AA15" s="14"/>
      <c r="AB15" s="14"/>
      <c r="AC15" s="14"/>
      <c r="AD15" s="14"/>
      <c r="AE15" s="14"/>
      <c r="AF15" s="14"/>
      <c r="AG15" s="14"/>
      <c r="AH15" s="14"/>
      <c r="AI15" s="14"/>
      <c r="AJ15" s="14"/>
    </row>
    <row r="16" spans="1:36" x14ac:dyDescent="0.2">
      <c r="B16" s="1" t="s">
        <v>32</v>
      </c>
      <c r="C16" s="292">
        <v>2019</v>
      </c>
      <c r="H16" s="234"/>
      <c r="I16" s="13"/>
      <c r="J16" s="12"/>
      <c r="K16" s="13"/>
      <c r="L16" s="13"/>
      <c r="M16" s="13"/>
      <c r="N16" s="13"/>
      <c r="O16" s="13"/>
      <c r="P16" s="13"/>
      <c r="Q16" s="13"/>
      <c r="S16" s="14"/>
      <c r="T16" s="14"/>
      <c r="U16" s="14"/>
      <c r="V16" s="14"/>
      <c r="W16" s="14"/>
      <c r="X16" s="14"/>
      <c r="Y16" s="14"/>
      <c r="Z16" s="14"/>
      <c r="AA16" s="14"/>
      <c r="AB16" s="14"/>
      <c r="AC16" s="14"/>
      <c r="AD16" s="14"/>
      <c r="AE16" s="14"/>
      <c r="AF16" s="14"/>
      <c r="AG16" s="14"/>
      <c r="AH16" s="14"/>
      <c r="AI16" s="14"/>
      <c r="AJ16" s="14"/>
    </row>
    <row r="17" spans="1:36" x14ac:dyDescent="0.2">
      <c r="A17" s="12"/>
      <c r="B17" s="12"/>
      <c r="C17" s="12"/>
      <c r="G17" s="234"/>
      <c r="H17" s="234"/>
      <c r="I17" s="13"/>
      <c r="J17" s="12"/>
      <c r="K17" s="13"/>
      <c r="L17" s="13"/>
      <c r="M17" s="13"/>
      <c r="N17" s="13"/>
      <c r="O17" s="13"/>
      <c r="P17" s="13"/>
      <c r="Q17" s="13"/>
      <c r="S17" s="14"/>
      <c r="T17" s="14"/>
      <c r="U17" s="14"/>
      <c r="V17" s="14"/>
      <c r="W17" s="14"/>
      <c r="X17" s="14"/>
      <c r="Y17" s="14"/>
      <c r="Z17" s="14"/>
      <c r="AA17" s="14"/>
      <c r="AB17" s="14"/>
      <c r="AC17" s="14"/>
      <c r="AD17" s="14"/>
      <c r="AE17" s="14"/>
      <c r="AF17" s="14"/>
      <c r="AG17" s="14"/>
      <c r="AH17" s="14"/>
      <c r="AI17" s="14"/>
      <c r="AJ17" s="14"/>
    </row>
    <row r="18" spans="1:36" x14ac:dyDescent="0.2">
      <c r="A18" s="12"/>
      <c r="B18" s="200" t="s">
        <v>197</v>
      </c>
      <c r="C18" s="199" t="s">
        <v>193</v>
      </c>
      <c r="G18" s="234"/>
      <c r="H18" s="234"/>
      <c r="I18" s="13"/>
      <c r="J18" s="12"/>
      <c r="K18" s="13"/>
      <c r="L18" s="13"/>
      <c r="M18" s="13"/>
      <c r="N18" s="13"/>
      <c r="O18" s="13"/>
      <c r="P18" s="13"/>
      <c r="Q18" s="13"/>
      <c r="S18" s="14"/>
      <c r="T18" s="14"/>
      <c r="U18" s="14"/>
      <c r="V18" s="14"/>
      <c r="W18" s="14"/>
      <c r="X18" s="14"/>
      <c r="Y18" s="14"/>
      <c r="Z18" s="14"/>
      <c r="AA18" s="14"/>
      <c r="AB18" s="14"/>
      <c r="AC18" s="14"/>
      <c r="AD18" s="14"/>
      <c r="AE18" s="14"/>
      <c r="AF18" s="14"/>
      <c r="AG18" s="14"/>
      <c r="AH18" s="14"/>
      <c r="AI18" s="14"/>
      <c r="AJ18" s="14"/>
    </row>
    <row r="19" spans="1:36" x14ac:dyDescent="0.2">
      <c r="A19" s="12"/>
      <c r="B19" s="295">
        <v>30</v>
      </c>
      <c r="C19" s="182">
        <f>24*60/B19</f>
        <v>48</v>
      </c>
      <c r="G19" s="234"/>
      <c r="H19" s="234"/>
      <c r="I19" s="13"/>
      <c r="J19" s="12"/>
      <c r="K19" s="13"/>
      <c r="L19" s="13"/>
      <c r="M19" s="13"/>
      <c r="N19" s="13"/>
      <c r="O19" s="13"/>
      <c r="P19" s="13"/>
      <c r="Q19" s="13"/>
      <c r="S19" s="14"/>
      <c r="T19" s="14"/>
      <c r="U19" s="14"/>
      <c r="V19" s="14"/>
      <c r="W19" s="14"/>
      <c r="X19" s="14"/>
      <c r="Y19" s="14"/>
      <c r="Z19" s="14"/>
      <c r="AA19" s="14"/>
      <c r="AB19" s="14"/>
      <c r="AC19" s="14"/>
      <c r="AD19" s="14"/>
      <c r="AE19" s="14"/>
      <c r="AF19" s="14"/>
      <c r="AG19" s="14"/>
      <c r="AH19" s="14"/>
      <c r="AI19" s="14"/>
      <c r="AJ19" s="14"/>
    </row>
    <row r="20" spans="1:36" x14ac:dyDescent="0.2">
      <c r="A20" s="12"/>
      <c r="B20" s="295">
        <v>5</v>
      </c>
      <c r="C20" s="182">
        <f>24*60/B20</f>
        <v>288</v>
      </c>
      <c r="G20" s="234"/>
      <c r="H20" s="234"/>
      <c r="I20" s="13"/>
      <c r="J20" s="12"/>
      <c r="K20" s="13"/>
      <c r="L20" s="13"/>
      <c r="M20" s="13"/>
      <c r="N20" s="13"/>
      <c r="O20" s="13"/>
      <c r="P20" s="13"/>
      <c r="Q20" s="13"/>
      <c r="S20" s="14"/>
      <c r="T20" s="14"/>
      <c r="U20" s="14"/>
      <c r="V20" s="14"/>
      <c r="W20" s="14"/>
      <c r="X20" s="14"/>
      <c r="Y20" s="14"/>
      <c r="Z20" s="14"/>
      <c r="AA20" s="14"/>
      <c r="AB20" s="14"/>
      <c r="AC20" s="14"/>
      <c r="AD20" s="14"/>
      <c r="AE20" s="14"/>
      <c r="AF20" s="14"/>
      <c r="AG20" s="14"/>
      <c r="AH20" s="14"/>
      <c r="AI20" s="14"/>
      <c r="AJ20" s="14"/>
    </row>
    <row r="21" spans="1:36" x14ac:dyDescent="0.2">
      <c r="M21" s="101"/>
      <c r="N21" s="101"/>
      <c r="O21" s="101"/>
      <c r="P21" s="101"/>
      <c r="Q21" s="101"/>
      <c r="S21" s="101"/>
    </row>
    <row r="22" spans="1:36" x14ac:dyDescent="0.2">
      <c r="A22" s="12"/>
      <c r="B22" s="190"/>
      <c r="C22" s="190" t="s">
        <v>190</v>
      </c>
      <c r="D22" s="199" t="s">
        <v>196</v>
      </c>
      <c r="F22" s="184"/>
      <c r="G22" s="234"/>
      <c r="H22" s="234"/>
      <c r="I22" s="13"/>
      <c r="J22" s="12"/>
      <c r="K22" s="13"/>
      <c r="L22" s="13"/>
      <c r="M22" s="13"/>
      <c r="N22" s="13"/>
      <c r="O22" s="13"/>
      <c r="P22" s="13"/>
      <c r="Q22" s="13"/>
      <c r="S22" s="14"/>
      <c r="T22" s="14"/>
      <c r="U22" s="14"/>
      <c r="V22" s="14"/>
      <c r="W22" s="14"/>
      <c r="X22" s="14"/>
      <c r="Y22" s="14"/>
      <c r="Z22" s="14"/>
      <c r="AA22" s="14"/>
      <c r="AB22" s="14"/>
      <c r="AC22" s="14"/>
      <c r="AD22" s="14"/>
      <c r="AE22" s="14"/>
      <c r="AF22" s="14"/>
      <c r="AG22" s="14"/>
      <c r="AH22" s="14"/>
      <c r="AI22" s="14"/>
      <c r="AJ22" s="14"/>
    </row>
    <row r="23" spans="1:36" x14ac:dyDescent="0.2">
      <c r="A23" s="12"/>
      <c r="B23" s="14" t="s">
        <v>243</v>
      </c>
      <c r="C23" s="193">
        <v>2</v>
      </c>
      <c r="D23" s="156">
        <v>24366.666666666672</v>
      </c>
      <c r="F23" s="184"/>
      <c r="G23" s="234"/>
      <c r="H23" s="161" t="s">
        <v>150</v>
      </c>
      <c r="I23" s="13"/>
      <c r="J23" s="12"/>
      <c r="K23" s="13"/>
      <c r="L23" s="13"/>
      <c r="M23" s="13"/>
      <c r="N23" s="13"/>
      <c r="O23" s="13"/>
      <c r="P23" s="13"/>
      <c r="Q23" s="13"/>
      <c r="S23" s="14"/>
      <c r="T23" s="14"/>
      <c r="U23" s="14"/>
      <c r="V23" s="14"/>
      <c r="W23" s="14"/>
      <c r="X23" s="14"/>
      <c r="Y23" s="14"/>
      <c r="Z23" s="14"/>
      <c r="AA23" s="14"/>
      <c r="AB23" s="14"/>
      <c r="AC23" s="14"/>
      <c r="AD23" s="14"/>
      <c r="AE23" s="14"/>
      <c r="AF23" s="14"/>
      <c r="AG23" s="14"/>
      <c r="AH23" s="14"/>
      <c r="AI23" s="14"/>
      <c r="AJ23" s="14"/>
    </row>
    <row r="24" spans="1:36" x14ac:dyDescent="0.2">
      <c r="A24" s="12"/>
      <c r="B24" s="12"/>
      <c r="C24" s="12"/>
      <c r="D24" s="12"/>
      <c r="E24" s="12"/>
      <c r="F24" s="12"/>
      <c r="G24" s="234"/>
      <c r="H24" s="234"/>
      <c r="I24" s="12"/>
      <c r="J24" s="12"/>
      <c r="K24" s="13"/>
      <c r="L24" s="13"/>
      <c r="M24" s="13"/>
      <c r="N24" s="13"/>
      <c r="O24" s="13"/>
      <c r="P24" s="13"/>
      <c r="Q24" s="13"/>
      <c r="S24" s="14"/>
      <c r="T24" s="14"/>
      <c r="U24" s="14"/>
      <c r="V24" s="14"/>
      <c r="W24" s="14"/>
      <c r="X24" s="14"/>
      <c r="Y24" s="14"/>
      <c r="Z24" s="14"/>
      <c r="AA24" s="14"/>
      <c r="AB24" s="14"/>
      <c r="AC24" s="14"/>
      <c r="AD24" s="14"/>
      <c r="AE24" s="14"/>
      <c r="AF24" s="14"/>
      <c r="AG24" s="14"/>
      <c r="AH24" s="14"/>
      <c r="AI24" s="14"/>
      <c r="AJ24" s="14"/>
    </row>
    <row r="25" spans="1:36" x14ac:dyDescent="0.2">
      <c r="A25" s="12"/>
      <c r="B25" s="12"/>
      <c r="C25" s="12"/>
      <c r="D25" s="12"/>
      <c r="E25" s="12"/>
      <c r="F25" s="12"/>
      <c r="G25" s="234"/>
      <c r="H25" s="234"/>
      <c r="I25" s="12"/>
      <c r="J25" s="12"/>
      <c r="K25" s="13"/>
      <c r="L25" s="13"/>
      <c r="M25" s="13"/>
      <c r="N25" s="13"/>
      <c r="O25" s="13"/>
      <c r="P25" s="13"/>
      <c r="Q25" s="13"/>
      <c r="S25" s="14"/>
      <c r="T25" s="14"/>
      <c r="U25" s="14"/>
      <c r="V25" s="14"/>
      <c r="W25" s="14"/>
      <c r="X25" s="14"/>
      <c r="Y25" s="14"/>
      <c r="Z25" s="14"/>
      <c r="AA25" s="14"/>
      <c r="AB25" s="14"/>
      <c r="AC25" s="14"/>
      <c r="AD25" s="14"/>
      <c r="AE25" s="14"/>
      <c r="AF25" s="14"/>
      <c r="AG25" s="14"/>
      <c r="AH25" s="14"/>
      <c r="AI25" s="14"/>
      <c r="AJ25" s="14"/>
    </row>
    <row r="26" spans="1:36" x14ac:dyDescent="0.2">
      <c r="B26" s="28" t="s">
        <v>54</v>
      </c>
      <c r="C26" s="158">
        <v>0.15</v>
      </c>
      <c r="D26" s="12"/>
      <c r="F26" s="185"/>
      <c r="H26" s="161" t="s">
        <v>150</v>
      </c>
    </row>
    <row r="27" spans="1:36" x14ac:dyDescent="0.2">
      <c r="B27" s="28"/>
      <c r="F27" s="185"/>
    </row>
    <row r="29" spans="1:36" x14ac:dyDescent="0.2">
      <c r="B29" s="159" t="s">
        <v>244</v>
      </c>
      <c r="F29" s="184"/>
      <c r="I29" s="101"/>
      <c r="M29" s="101"/>
      <c r="N29" s="101"/>
      <c r="O29" s="101"/>
      <c r="P29" s="101"/>
      <c r="Q29" s="101"/>
      <c r="S29" s="101"/>
    </row>
    <row r="30" spans="1:36" x14ac:dyDescent="0.2">
      <c r="B30" s="28" t="s">
        <v>55</v>
      </c>
      <c r="C30" s="155">
        <v>8.7246872464148244E-6</v>
      </c>
      <c r="F30" s="185"/>
      <c r="G30" s="181" t="s">
        <v>143</v>
      </c>
      <c r="H30" s="161" t="s">
        <v>150</v>
      </c>
      <c r="M30" s="101"/>
      <c r="N30" s="101"/>
      <c r="O30" s="101"/>
      <c r="P30" s="101"/>
      <c r="Q30" s="101"/>
      <c r="S30" s="101"/>
    </row>
    <row r="31" spans="1:36" x14ac:dyDescent="0.2">
      <c r="B31" s="28" t="s">
        <v>188</v>
      </c>
      <c r="C31" s="156">
        <v>131914</v>
      </c>
      <c r="F31" s="185"/>
      <c r="G31" s="181" t="s">
        <v>144</v>
      </c>
      <c r="H31" s="161" t="s">
        <v>150</v>
      </c>
      <c r="M31" s="101"/>
      <c r="N31" s="101"/>
      <c r="O31" s="101"/>
      <c r="P31" s="101"/>
      <c r="Q31" s="101"/>
      <c r="S31" s="101"/>
    </row>
    <row r="32" spans="1:36" x14ac:dyDescent="0.2">
      <c r="B32" s="28" t="s">
        <v>141</v>
      </c>
      <c r="C32" s="157">
        <f>4/60</f>
        <v>6.6666666666666666E-2</v>
      </c>
      <c r="F32" s="185"/>
      <c r="G32" s="181" t="s">
        <v>142</v>
      </c>
      <c r="H32" s="161" t="s">
        <v>150</v>
      </c>
      <c r="M32" s="101"/>
      <c r="N32" s="101"/>
      <c r="O32" s="101"/>
      <c r="P32" s="101"/>
      <c r="Q32" s="101"/>
      <c r="S32" s="101"/>
    </row>
    <row r="33" spans="1:21" x14ac:dyDescent="0.2">
      <c r="B33" s="28" t="s">
        <v>124</v>
      </c>
      <c r="C33" s="158">
        <f>C31/(8*5*52)*C32</f>
        <v>4.2280128205128209</v>
      </c>
      <c r="F33" s="185"/>
      <c r="G33" s="181" t="s">
        <v>144</v>
      </c>
      <c r="H33" s="161" t="s">
        <v>150</v>
      </c>
      <c r="M33" s="101"/>
      <c r="N33" s="101"/>
      <c r="O33" s="101"/>
      <c r="P33" s="101"/>
      <c r="Q33" s="101"/>
      <c r="S33" s="101"/>
    </row>
    <row r="34" spans="1:21" x14ac:dyDescent="0.2">
      <c r="B34" s="28"/>
      <c r="C34" s="28"/>
      <c r="D34" s="28"/>
      <c r="F34" s="185"/>
      <c r="G34" s="181"/>
      <c r="M34" s="101"/>
      <c r="N34" s="101"/>
      <c r="O34" s="101"/>
      <c r="P34" s="101"/>
      <c r="Q34" s="101"/>
      <c r="S34" s="101"/>
    </row>
    <row r="35" spans="1:21" x14ac:dyDescent="0.2">
      <c r="B35" s="159" t="s">
        <v>192</v>
      </c>
      <c r="C35" s="28"/>
      <c r="D35" s="28"/>
      <c r="F35" s="185"/>
      <c r="G35" s="181"/>
      <c r="K35" s="117">
        <v>2019</v>
      </c>
      <c r="L35" s="117">
        <v>2020</v>
      </c>
      <c r="M35" s="117" t="s">
        <v>48</v>
      </c>
      <c r="N35" s="117" t="s">
        <v>49</v>
      </c>
      <c r="O35" s="117" t="s">
        <v>50</v>
      </c>
      <c r="P35" s="117" t="s">
        <v>51</v>
      </c>
      <c r="Q35" s="117" t="s">
        <v>52</v>
      </c>
      <c r="S35" s="101"/>
    </row>
    <row r="36" spans="1:21" x14ac:dyDescent="0.2">
      <c r="B36" s="166" t="s">
        <v>191</v>
      </c>
      <c r="C36" s="166"/>
      <c r="D36" s="166"/>
      <c r="E36" s="166"/>
      <c r="F36" s="180"/>
      <c r="G36" s="237" t="s">
        <v>165</v>
      </c>
      <c r="H36" s="166"/>
      <c r="I36" s="180"/>
      <c r="J36" s="166"/>
      <c r="K36" s="307">
        <v>6</v>
      </c>
      <c r="L36" s="307">
        <v>6</v>
      </c>
      <c r="M36" s="307">
        <v>7</v>
      </c>
      <c r="N36" s="307">
        <v>7</v>
      </c>
      <c r="O36" s="307">
        <v>8</v>
      </c>
      <c r="P36" s="307">
        <v>9</v>
      </c>
      <c r="Q36" s="307">
        <v>10</v>
      </c>
      <c r="S36" s="101"/>
    </row>
    <row r="38" spans="1:21" x14ac:dyDescent="0.2">
      <c r="G38" s="1"/>
      <c r="H38" s="1"/>
    </row>
    <row r="39" spans="1:21" x14ac:dyDescent="0.2">
      <c r="G39" s="1"/>
      <c r="H39" s="1"/>
    </row>
    <row r="40" spans="1:21" x14ac:dyDescent="0.2">
      <c r="A40" s="2" t="s">
        <v>11</v>
      </c>
      <c r="B40" s="2"/>
      <c r="C40" s="2"/>
      <c r="D40" s="2"/>
      <c r="E40" s="2"/>
      <c r="F40" s="2"/>
      <c r="G40" s="229"/>
      <c r="H40" s="229"/>
      <c r="I40" s="2"/>
      <c r="J40" s="2"/>
      <c r="K40" s="7">
        <v>2019</v>
      </c>
      <c r="L40" s="7">
        <v>2020</v>
      </c>
      <c r="M40" s="7" t="s">
        <v>48</v>
      </c>
      <c r="N40" s="7" t="s">
        <v>49</v>
      </c>
      <c r="O40" s="7" t="s">
        <v>50</v>
      </c>
      <c r="P40" s="7" t="s">
        <v>51</v>
      </c>
      <c r="Q40" s="7" t="s">
        <v>52</v>
      </c>
    </row>
    <row r="41" spans="1:21" x14ac:dyDescent="0.2">
      <c r="B41" s="1" t="s">
        <v>211</v>
      </c>
      <c r="K41" s="205" t="s">
        <v>204</v>
      </c>
      <c r="L41" s="205" t="s">
        <v>205</v>
      </c>
      <c r="M41" s="206" t="s">
        <v>206</v>
      </c>
      <c r="N41" s="206" t="s">
        <v>207</v>
      </c>
      <c r="O41" s="206" t="s">
        <v>208</v>
      </c>
      <c r="P41" s="206" t="s">
        <v>209</v>
      </c>
      <c r="Q41" s="206" t="s">
        <v>210</v>
      </c>
    </row>
    <row r="42" spans="1:21" x14ac:dyDescent="0.2">
      <c r="M42" s="29"/>
      <c r="N42" s="29"/>
      <c r="O42" s="29"/>
      <c r="P42" s="29"/>
      <c r="Q42" s="29"/>
    </row>
    <row r="43" spans="1:21" x14ac:dyDescent="0.2">
      <c r="B43" s="5" t="s">
        <v>214</v>
      </c>
      <c r="M43" s="29"/>
      <c r="N43" s="29"/>
      <c r="O43" s="29"/>
      <c r="P43" s="29"/>
      <c r="Q43" s="29"/>
    </row>
    <row r="44" spans="1:21" x14ac:dyDescent="0.2">
      <c r="B44" s="28" t="s">
        <v>56</v>
      </c>
      <c r="C44" s="191">
        <v>30</v>
      </c>
      <c r="K44" s="179">
        <f>INDEX([2]Powercor!$Q71:$X71, MATCH(K$41, [2]Powercor!$Q$3:$X$3,0))</f>
        <v>890418.95217558218</v>
      </c>
      <c r="L44" s="179">
        <f>INDEX([2]Powercor!$Q71:$X71, MATCH(L$41, [2]Powercor!$Q$3:$X$3,0))</f>
        <v>911355.81692867586</v>
      </c>
      <c r="M44" s="179">
        <f>INDEX([2]Powercor!$Q71:$X71, MATCH(M$41, [2]Powercor!$Q$3:$X$3,0))</f>
        <v>826399.66383345553</v>
      </c>
      <c r="N44" s="179">
        <f>INDEX([2]Powercor!$Q71:$X71, MATCH(N$41, [2]Powercor!$Q$3:$X$3,0))</f>
        <v>810757.67271920666</v>
      </c>
      <c r="O44" s="179">
        <f>INDEX([2]Powercor!$Q71:$X71, MATCH(O$41, [2]Powercor!$Q$3:$X$3,0))</f>
        <v>792584.20129020908</v>
      </c>
      <c r="P44" s="179">
        <f>INDEX([2]Powercor!$Q71:$X71, MATCH(P$41, [2]Powercor!$Q$3:$X$3,0))</f>
        <v>770222.10956235952</v>
      </c>
      <c r="Q44" s="179">
        <f>INDEX([2]Powercor!$Q71:$X71, MATCH(Q$41, [2]Powercor!$Q$3:$X$3,0))</f>
        <v>744863.5061101024</v>
      </c>
      <c r="U44" s="299">
        <f>SUM(K44:Q44)-SUM([2]Powercor!$Q71:$R71, [2]Powercor!$T71:$X71)</f>
        <v>0</v>
      </c>
    </row>
    <row r="45" spans="1:21" x14ac:dyDescent="0.2">
      <c r="B45" s="28" t="s">
        <v>125</v>
      </c>
      <c r="C45" s="191">
        <v>5</v>
      </c>
      <c r="K45" s="179">
        <f>INDEX([2]Powercor!$Q72:$X72, MATCH(K$41, [2]Powercor!$Q$3:$X$3,0))</f>
        <v>0</v>
      </c>
      <c r="L45" s="179">
        <f>INDEX([2]Powercor!$Q72:$X72, MATCH(L$41, [2]Powercor!$Q$3:$X$3,0))</f>
        <v>0</v>
      </c>
      <c r="M45" s="179">
        <f>INDEX([2]Powercor!$Q72:$X72, MATCH(M$41, [2]Powercor!$Q$3:$X$3,0))</f>
        <v>122529.72010059019</v>
      </c>
      <c r="N45" s="179">
        <f>INDEX([2]Powercor!$Q72:$X72, MATCH(N$41, [2]Powercor!$Q$3:$X$3,0))</f>
        <v>164617.52480964974</v>
      </c>
      <c r="O45" s="179">
        <f>INDEX([2]Powercor!$Q72:$X72, MATCH(O$41, [2]Powercor!$Q$3:$X$3,0))</f>
        <v>203759.41455008817</v>
      </c>
      <c r="P45" s="179">
        <f>INDEX([2]Powercor!$Q72:$X72, MATCH(P$41, [2]Powercor!$Q$3:$X$3,0))</f>
        <v>246958.93676646354</v>
      </c>
      <c r="Q45" s="179">
        <f>INDEX([2]Powercor!$Q72:$X72, MATCH(Q$41, [2]Powercor!$Q$3:$X$3,0))</f>
        <v>293099.76400420786</v>
      </c>
      <c r="U45" s="299">
        <f>SUM(K45:Q45)-SUM([2]Powercor!$Q72:$R72, [2]Powercor!$T72:$X72)</f>
        <v>0</v>
      </c>
    </row>
    <row r="47" spans="1:21" x14ac:dyDescent="0.2">
      <c r="B47" s="28" t="s">
        <v>57</v>
      </c>
      <c r="C47" s="191">
        <v>30</v>
      </c>
      <c r="K47" s="287">
        <v>341694.18301533378</v>
      </c>
      <c r="L47" s="287">
        <v>347133.92784157861</v>
      </c>
      <c r="M47" s="287">
        <v>319413.85825432744</v>
      </c>
      <c r="N47" s="287">
        <v>313336.38910808339</v>
      </c>
      <c r="O47" s="287">
        <v>306323.281429036</v>
      </c>
      <c r="P47" s="287">
        <v>298318.74342609622</v>
      </c>
      <c r="Q47" s="287">
        <v>288413.02958536253</v>
      </c>
    </row>
    <row r="48" spans="1:21" x14ac:dyDescent="0.2">
      <c r="B48" s="28" t="s">
        <v>58</v>
      </c>
      <c r="C48" s="191">
        <v>5</v>
      </c>
      <c r="K48" s="287">
        <v>0</v>
      </c>
      <c r="L48" s="287">
        <v>0</v>
      </c>
      <c r="M48" s="287">
        <v>37947.649745088136</v>
      </c>
      <c r="N48" s="287">
        <v>51245.558986259501</v>
      </c>
      <c r="O48" s="287">
        <v>62970.780717862654</v>
      </c>
      <c r="P48" s="287">
        <v>75472.565535993432</v>
      </c>
      <c r="Q48" s="287">
        <v>89712.332786389874</v>
      </c>
    </row>
    <row r="49" spans="1:19" x14ac:dyDescent="0.2">
      <c r="M49" s="29"/>
      <c r="N49" s="29"/>
      <c r="O49" s="29"/>
      <c r="P49" s="29"/>
      <c r="Q49" s="29"/>
    </row>
    <row r="50" spans="1:19" x14ac:dyDescent="0.2">
      <c r="M50" s="29"/>
      <c r="N50" s="29"/>
      <c r="O50" s="29"/>
      <c r="P50" s="29"/>
      <c r="Q50" s="29"/>
    </row>
    <row r="51" spans="1:19" x14ac:dyDescent="0.2">
      <c r="B51" s="28" t="s">
        <v>194</v>
      </c>
      <c r="C51" s="191">
        <v>30</v>
      </c>
      <c r="G51" s="181" t="s">
        <v>203</v>
      </c>
      <c r="K51" s="122">
        <f t="shared" ref="K51:Q52" si="0">SUMIF($C$44:$C$48, $C51,K$44:K$48)*INDEX($C$19:$C$20, MATCH($C51, $B$19:$B$20,0))</f>
        <v>59141430.489163965</v>
      </c>
      <c r="L51" s="122">
        <f t="shared" si="0"/>
        <v>60407507.748972215</v>
      </c>
      <c r="M51" s="122">
        <f t="shared" si="0"/>
        <v>54999049.060213588</v>
      </c>
      <c r="N51" s="122">
        <f t="shared" si="0"/>
        <v>53956514.967709929</v>
      </c>
      <c r="O51" s="122">
        <f t="shared" si="0"/>
        <v>52747559.170523763</v>
      </c>
      <c r="P51" s="122">
        <f t="shared" si="0"/>
        <v>51289960.943445876</v>
      </c>
      <c r="Q51" s="122">
        <f t="shared" si="0"/>
        <v>49597273.713382319</v>
      </c>
    </row>
    <row r="52" spans="1:19" x14ac:dyDescent="0.2">
      <c r="B52" s="28" t="s">
        <v>195</v>
      </c>
      <c r="C52" s="191">
        <v>5</v>
      </c>
      <c r="G52" s="181" t="s">
        <v>203</v>
      </c>
      <c r="K52" s="122">
        <f t="shared" si="0"/>
        <v>0</v>
      </c>
      <c r="L52" s="122">
        <f t="shared" si="0"/>
        <v>0</v>
      </c>
      <c r="M52" s="122">
        <f t="shared" si="0"/>
        <v>46217482.515555359</v>
      </c>
      <c r="N52" s="122">
        <f t="shared" si="0"/>
        <v>62168568.133221865</v>
      </c>
      <c r="O52" s="122">
        <f t="shared" si="0"/>
        <v>76818296.237169832</v>
      </c>
      <c r="P52" s="122">
        <f t="shared" si="0"/>
        <v>92860272.663107619</v>
      </c>
      <c r="Q52" s="122">
        <f t="shared" si="0"/>
        <v>110249883.87569214</v>
      </c>
    </row>
    <row r="53" spans="1:19" x14ac:dyDescent="0.2">
      <c r="B53" s="186" t="s">
        <v>6</v>
      </c>
      <c r="C53" s="187"/>
      <c r="D53" s="188"/>
      <c r="E53" s="188"/>
      <c r="F53" s="188"/>
      <c r="G53" s="236" t="s">
        <v>203</v>
      </c>
      <c r="H53" s="257"/>
      <c r="I53" s="188"/>
      <c r="J53" s="188"/>
      <c r="K53" s="189">
        <f>SUM(K51:K52)</f>
        <v>59141430.489163965</v>
      </c>
      <c r="L53" s="189">
        <f t="shared" ref="L53:Q53" si="1">SUM(L51:L52)</f>
        <v>60407507.748972215</v>
      </c>
      <c r="M53" s="189">
        <f t="shared" si="1"/>
        <v>101216531.57576895</v>
      </c>
      <c r="N53" s="189">
        <f t="shared" si="1"/>
        <v>116125083.10093179</v>
      </c>
      <c r="O53" s="189">
        <f t="shared" si="1"/>
        <v>129565855.40769359</v>
      </c>
      <c r="P53" s="189">
        <f t="shared" si="1"/>
        <v>144150233.60655349</v>
      </c>
      <c r="Q53" s="189">
        <f t="shared" si="1"/>
        <v>159847157.58907446</v>
      </c>
    </row>
    <row r="54" spans="1:19" x14ac:dyDescent="0.2">
      <c r="B54" s="28"/>
      <c r="K54" s="122"/>
      <c r="L54" s="122"/>
      <c r="M54" s="122"/>
      <c r="N54" s="122"/>
      <c r="O54" s="122"/>
      <c r="P54" s="122"/>
      <c r="Q54" s="122"/>
    </row>
    <row r="55" spans="1:19" x14ac:dyDescent="0.2">
      <c r="M55" s="29"/>
      <c r="N55" s="29"/>
      <c r="O55" s="29"/>
      <c r="P55" s="29"/>
      <c r="Q55" s="29"/>
    </row>
    <row r="56" spans="1:19" x14ac:dyDescent="0.2">
      <c r="B56" s="300" t="s">
        <v>255</v>
      </c>
      <c r="C56" s="301"/>
      <c r="D56" s="301"/>
      <c r="E56" s="283"/>
      <c r="F56" s="302"/>
      <c r="G56" s="303"/>
      <c r="H56" s="304"/>
      <c r="I56" s="283"/>
      <c r="J56" s="283"/>
      <c r="K56" s="283"/>
      <c r="L56" s="283"/>
      <c r="M56" s="305"/>
      <c r="N56" s="305"/>
      <c r="O56" s="305"/>
      <c r="P56" s="305"/>
      <c r="Q56" s="305"/>
    </row>
    <row r="57" spans="1:19" x14ac:dyDescent="0.2">
      <c r="B57" s="1" t="s">
        <v>181</v>
      </c>
      <c r="F57" s="181"/>
      <c r="G57" s="197">
        <v>2019</v>
      </c>
      <c r="K57" s="123">
        <f t="shared" ref="K57:Q57" si="2">((K44+K47)*30/$B$19+(K45+K48)*30/$B$20)*$C26</f>
        <v>184816.9702786374</v>
      </c>
      <c r="L57" s="123">
        <f t="shared" si="2"/>
        <v>188773.46171553817</v>
      </c>
      <c r="M57" s="123">
        <f t="shared" si="2"/>
        <v>316301.66117427795</v>
      </c>
      <c r="N57" s="123">
        <f t="shared" si="2"/>
        <v>362890.88469041185</v>
      </c>
      <c r="O57" s="123">
        <f t="shared" si="2"/>
        <v>404893.29814904253</v>
      </c>
      <c r="P57" s="123">
        <f t="shared" si="2"/>
        <v>450469.48002047971</v>
      </c>
      <c r="Q57" s="123">
        <f t="shared" si="2"/>
        <v>499522.36746585765</v>
      </c>
    </row>
    <row r="58" spans="1:19" x14ac:dyDescent="0.2">
      <c r="B58" s="1" t="s">
        <v>182</v>
      </c>
      <c r="F58" s="181"/>
      <c r="G58" s="197">
        <v>2019</v>
      </c>
      <c r="K58" s="123">
        <f t="shared" ref="K58:Q58" si="3">K36*$D23</f>
        <v>146200.00000000003</v>
      </c>
      <c r="L58" s="123">
        <f t="shared" si="3"/>
        <v>146200.00000000003</v>
      </c>
      <c r="M58" s="123">
        <f t="shared" si="3"/>
        <v>170566.66666666669</v>
      </c>
      <c r="N58" s="123">
        <f t="shared" si="3"/>
        <v>170566.66666666669</v>
      </c>
      <c r="O58" s="123">
        <f t="shared" si="3"/>
        <v>194933.33333333337</v>
      </c>
      <c r="P58" s="123">
        <f t="shared" si="3"/>
        <v>219300.00000000006</v>
      </c>
      <c r="Q58" s="123">
        <f t="shared" si="3"/>
        <v>243666.66666666672</v>
      </c>
    </row>
    <row r="59" spans="1:19" x14ac:dyDescent="0.2">
      <c r="B59" s="1" t="s">
        <v>189</v>
      </c>
      <c r="C59" s="207"/>
      <c r="F59" s="181"/>
      <c r="G59" s="197">
        <v>2019</v>
      </c>
      <c r="K59" s="143">
        <f t="shared" ref="K59:Q59" si="4">K53*days_per_year*$C$30*$C$33</f>
        <v>796834.65338437166</v>
      </c>
      <c r="L59" s="143">
        <f t="shared" si="4"/>
        <v>813892.98670726945</v>
      </c>
      <c r="M59" s="143">
        <f t="shared" si="4"/>
        <v>1363728.2559427365</v>
      </c>
      <c r="N59" s="143">
        <f t="shared" si="4"/>
        <v>1564596.7569032065</v>
      </c>
      <c r="O59" s="143">
        <f t="shared" si="4"/>
        <v>1745689.3184745591</v>
      </c>
      <c r="P59" s="143">
        <f t="shared" si="4"/>
        <v>1942190.1107414013</v>
      </c>
      <c r="Q59" s="143">
        <f t="shared" si="4"/>
        <v>2153680.6492244811</v>
      </c>
    </row>
    <row r="61" spans="1:19" ht="13.5" thickBot="1" x14ac:dyDescent="0.25">
      <c r="B61" s="114" t="s">
        <v>199</v>
      </c>
      <c r="C61" s="114"/>
      <c r="D61" s="114"/>
      <c r="E61" s="114"/>
      <c r="F61" s="114"/>
      <c r="G61" s="198">
        <v>2019</v>
      </c>
      <c r="H61" s="258"/>
      <c r="I61" s="114"/>
      <c r="J61" s="114"/>
      <c r="K61" s="296">
        <f t="shared" ref="K61:Q61" si="5">SUM(K57:K60)</f>
        <v>1127851.6236630091</v>
      </c>
      <c r="L61" s="296">
        <f t="shared" si="5"/>
        <v>1148866.4484228077</v>
      </c>
      <c r="M61" s="296">
        <f t="shared" si="5"/>
        <v>1850596.583783681</v>
      </c>
      <c r="N61" s="296">
        <f t="shared" si="5"/>
        <v>2098054.3082602853</v>
      </c>
      <c r="O61" s="296">
        <f t="shared" si="5"/>
        <v>2345515.9499569349</v>
      </c>
      <c r="P61" s="296">
        <f t="shared" si="5"/>
        <v>2611959.5907618813</v>
      </c>
      <c r="Q61" s="296">
        <f t="shared" si="5"/>
        <v>2896869.6833570055</v>
      </c>
    </row>
    <row r="62" spans="1:19" ht="13.5" thickTop="1" x14ac:dyDescent="0.2">
      <c r="J62" s="120"/>
      <c r="K62" s="120"/>
      <c r="L62" s="120"/>
      <c r="M62" s="120"/>
      <c r="N62" s="120"/>
      <c r="O62" s="120"/>
      <c r="P62" s="120"/>
      <c r="Q62" s="120"/>
    </row>
    <row r="63" spans="1:19" x14ac:dyDescent="0.2">
      <c r="J63" s="120"/>
      <c r="K63" s="120"/>
      <c r="L63" s="120"/>
      <c r="M63" s="120"/>
      <c r="N63" s="120"/>
      <c r="O63" s="120"/>
      <c r="P63" s="120"/>
      <c r="Q63" s="120"/>
    </row>
    <row r="64" spans="1:19" x14ac:dyDescent="0.2">
      <c r="A64" s="2" t="s">
        <v>198</v>
      </c>
      <c r="B64" s="2"/>
      <c r="C64" s="2"/>
      <c r="D64" s="2"/>
      <c r="E64" s="2"/>
      <c r="F64" s="2"/>
      <c r="G64" s="229"/>
      <c r="H64" s="229"/>
      <c r="I64" s="2"/>
      <c r="J64" s="2"/>
      <c r="K64" s="7">
        <v>2019</v>
      </c>
      <c r="L64" s="7">
        <v>2020</v>
      </c>
      <c r="M64" s="7" t="s">
        <v>48</v>
      </c>
      <c r="N64" s="7" t="s">
        <v>49</v>
      </c>
      <c r="O64" s="7" t="s">
        <v>50</v>
      </c>
      <c r="P64" s="7" t="s">
        <v>51</v>
      </c>
      <c r="Q64" s="7" t="s">
        <v>52</v>
      </c>
      <c r="S64" s="7" t="s">
        <v>135</v>
      </c>
    </row>
    <row r="65" spans="1:23" s="14" customFormat="1" x14ac:dyDescent="0.2">
      <c r="A65" s="12"/>
      <c r="B65" s="12"/>
      <c r="C65" s="12"/>
      <c r="D65" s="12"/>
      <c r="E65" s="12"/>
      <c r="F65" s="12"/>
      <c r="G65" s="234"/>
      <c r="H65" s="234"/>
      <c r="I65" s="12"/>
      <c r="J65" s="12"/>
      <c r="K65" s="12"/>
      <c r="L65" s="12"/>
      <c r="M65" s="12"/>
      <c r="N65" s="12"/>
      <c r="O65" s="12"/>
      <c r="P65" s="12"/>
      <c r="Q65" s="12"/>
      <c r="R65" s="1"/>
    </row>
    <row r="66" spans="1:23" x14ac:dyDescent="0.2">
      <c r="B66" s="1" t="s">
        <v>59</v>
      </c>
      <c r="G66" s="194" t="s">
        <v>200</v>
      </c>
      <c r="M66" s="140">
        <f t="shared" ref="M66:Q67" si="6">(M57-$K57)/1000</f>
        <v>131.48469089564054</v>
      </c>
      <c r="N66" s="140">
        <f t="shared" si="6"/>
        <v>178.07391441177447</v>
      </c>
      <c r="O66" s="140">
        <f t="shared" si="6"/>
        <v>220.07632787040512</v>
      </c>
      <c r="P66" s="140">
        <f t="shared" si="6"/>
        <v>265.65250974184227</v>
      </c>
      <c r="Q66" s="140">
        <f t="shared" si="6"/>
        <v>314.70539718722029</v>
      </c>
      <c r="S66" s="15">
        <f>SUM(M66:Q66)</f>
        <v>1109.9928401068828</v>
      </c>
    </row>
    <row r="67" spans="1:23" x14ac:dyDescent="0.2">
      <c r="B67" s="1" t="s">
        <v>60</v>
      </c>
      <c r="G67" s="194" t="s">
        <v>200</v>
      </c>
      <c r="M67" s="140">
        <f t="shared" si="6"/>
        <v>24.366666666666656</v>
      </c>
      <c r="N67" s="140">
        <f t="shared" si="6"/>
        <v>24.366666666666656</v>
      </c>
      <c r="O67" s="140">
        <f t="shared" si="6"/>
        <v>48.733333333333341</v>
      </c>
      <c r="P67" s="140">
        <f t="shared" si="6"/>
        <v>73.100000000000023</v>
      </c>
      <c r="Q67" s="140">
        <f t="shared" si="6"/>
        <v>97.466666666666683</v>
      </c>
      <c r="S67" s="15">
        <f t="shared" ref="S67:S68" si="7">SUM(M67:Q67)</f>
        <v>268.03333333333336</v>
      </c>
    </row>
    <row r="68" spans="1:23" x14ac:dyDescent="0.2">
      <c r="B68" s="1" t="s">
        <v>62</v>
      </c>
      <c r="G68" s="194" t="s">
        <v>200</v>
      </c>
      <c r="M68" s="140">
        <f>(M59-$K$59)/1000</f>
        <v>566.89360255836482</v>
      </c>
      <c r="N68" s="140">
        <f>(N59-$K$59)/1000</f>
        <v>767.76210351883481</v>
      </c>
      <c r="O68" s="140">
        <f>(O59-$K$59)/1000</f>
        <v>948.8546650901875</v>
      </c>
      <c r="P68" s="140">
        <f>(P59-$K$59)/1000</f>
        <v>1145.3554573570298</v>
      </c>
      <c r="Q68" s="140">
        <f>(Q59-$K$59)/1000</f>
        <v>1356.8459958401095</v>
      </c>
      <c r="S68" s="15">
        <f t="shared" si="7"/>
        <v>4785.7118243645273</v>
      </c>
    </row>
    <row r="69" spans="1:23" x14ac:dyDescent="0.2">
      <c r="F69" s="101"/>
      <c r="M69" s="140"/>
      <c r="N69" s="140"/>
      <c r="O69" s="140"/>
      <c r="P69" s="140"/>
      <c r="Q69" s="140"/>
      <c r="S69" s="118"/>
    </row>
    <row r="70" spans="1:23" x14ac:dyDescent="0.2">
      <c r="B70" s="218" t="s">
        <v>202</v>
      </c>
      <c r="C70" s="218"/>
      <c r="D70" s="218"/>
      <c r="E70" s="218"/>
      <c r="F70" s="218"/>
      <c r="G70" s="238" t="s">
        <v>200</v>
      </c>
      <c r="H70" s="252"/>
      <c r="I70" s="218"/>
      <c r="J70" s="218"/>
      <c r="K70" s="218"/>
      <c r="L70" s="218"/>
      <c r="M70" s="219">
        <f>SUM(M66:M68)</f>
        <v>722.74496012067198</v>
      </c>
      <c r="N70" s="219">
        <f>SUM(N66:N68)</f>
        <v>970.20268459727595</v>
      </c>
      <c r="O70" s="219">
        <f>SUM(O66:O68)</f>
        <v>1217.664326293926</v>
      </c>
      <c r="P70" s="219">
        <f>SUM(P66:P68)</f>
        <v>1484.107967098872</v>
      </c>
      <c r="Q70" s="219">
        <f>SUM(Q66:Q68)</f>
        <v>1769.0180596939965</v>
      </c>
      <c r="S70" s="219">
        <f>SUM(S66:S68)</f>
        <v>6163.7379978047429</v>
      </c>
    </row>
    <row r="71" spans="1:23" x14ac:dyDescent="0.2">
      <c r="B71" s="216" t="str">
        <f ca="1">"Total: "&amp;$A$1&amp;" "&amp;$A$2</f>
        <v>Total: VPN 5 minute settlement</v>
      </c>
      <c r="C71" s="216"/>
      <c r="D71" s="216"/>
      <c r="E71" s="216"/>
      <c r="F71" s="216"/>
      <c r="G71" s="239" t="s">
        <v>201</v>
      </c>
      <c r="H71" s="240"/>
      <c r="I71" s="216"/>
      <c r="J71" s="216"/>
      <c r="K71" s="216"/>
      <c r="L71" s="216"/>
      <c r="M71" s="217">
        <f>M70*INDEX(Assumptions!$F$20:$F$22,MATCH($C$16,Assumptions!$D$20:$D$22,0))</f>
        <v>753.41681356563936</v>
      </c>
      <c r="N71" s="217">
        <f>N70*INDEX(Assumptions!$F$20:$F$22,MATCH($C$16,Assumptions!$D$20:$D$22,0))</f>
        <v>1011.376149921632</v>
      </c>
      <c r="O71" s="217">
        <f>O70*INDEX(Assumptions!$F$20:$F$22,MATCH($C$16,Assumptions!$D$20:$D$22,0))</f>
        <v>1269.3395697366702</v>
      </c>
      <c r="P71" s="217">
        <f>P70*INDEX(Assumptions!$F$20:$F$22,MATCH($C$16,Assumptions!$D$20:$D$22,0))</f>
        <v>1547.0905468124197</v>
      </c>
      <c r="Q71" s="217">
        <f>Q70*INDEX(Assumptions!$F$20:$F$22,MATCH($C$16,Assumptions!$D$20:$D$22,0))</f>
        <v>1844.0916550316597</v>
      </c>
      <c r="S71" s="217">
        <f>S70*INDEX(Assumptions!$F$20:$F$22,MATCH($C$16,Assumptions!$D$20:$D$22,0))</f>
        <v>6425.314735068021</v>
      </c>
    </row>
    <row r="72" spans="1:23" x14ac:dyDescent="0.2">
      <c r="J72" s="120"/>
      <c r="K72" s="120"/>
      <c r="L72" s="120"/>
      <c r="M72" s="120"/>
      <c r="N72" s="120"/>
      <c r="O72" s="120"/>
      <c r="P72" s="120"/>
      <c r="Q72" s="120"/>
      <c r="S72" s="120"/>
      <c r="T72" s="120"/>
      <c r="U72" s="120"/>
      <c r="V72" s="120"/>
      <c r="W72" s="120"/>
    </row>
    <row r="73" spans="1:23" x14ac:dyDescent="0.2">
      <c r="J73" s="120"/>
      <c r="K73" s="120"/>
      <c r="L73" s="120"/>
      <c r="M73" s="120"/>
      <c r="N73" s="120"/>
      <c r="O73" s="120"/>
      <c r="P73" s="120"/>
      <c r="Q73" s="120"/>
      <c r="S73" s="120"/>
      <c r="T73" s="120"/>
      <c r="U73" s="120"/>
      <c r="V73" s="120"/>
      <c r="W73" s="120"/>
    </row>
    <row r="74" spans="1:23" x14ac:dyDescent="0.2">
      <c r="A74" s="2" t="s">
        <v>234</v>
      </c>
      <c r="B74" s="2"/>
      <c r="C74" s="2"/>
      <c r="D74" s="2"/>
      <c r="E74" s="2"/>
      <c r="F74" s="2"/>
      <c r="G74" s="229"/>
      <c r="H74" s="229"/>
      <c r="I74" s="2"/>
      <c r="J74" s="2"/>
      <c r="K74" s="7">
        <v>2019</v>
      </c>
      <c r="L74" s="7">
        <v>2020</v>
      </c>
      <c r="M74" s="7" t="s">
        <v>48</v>
      </c>
      <c r="N74" s="7" t="s">
        <v>49</v>
      </c>
      <c r="O74" s="7" t="s">
        <v>50</v>
      </c>
      <c r="P74" s="7" t="s">
        <v>51</v>
      </c>
      <c r="Q74" s="7" t="s">
        <v>52</v>
      </c>
      <c r="S74" s="7" t="s">
        <v>135</v>
      </c>
      <c r="T74" s="120"/>
      <c r="U74" s="120"/>
      <c r="V74" s="120"/>
      <c r="W74" s="120"/>
    </row>
    <row r="75" spans="1:23" x14ac:dyDescent="0.2">
      <c r="J75" s="120"/>
      <c r="K75" s="120"/>
      <c r="L75" s="120"/>
      <c r="M75" s="120"/>
      <c r="N75" s="120"/>
      <c r="O75" s="120"/>
      <c r="P75" s="120"/>
      <c r="Q75" s="120"/>
      <c r="S75" s="120"/>
      <c r="T75" s="120"/>
      <c r="U75" s="120"/>
      <c r="V75" s="120"/>
      <c r="W75" s="120"/>
    </row>
    <row r="76" spans="1:23" x14ac:dyDescent="0.2">
      <c r="B76" s="1" t="str">
        <f ca="1">"Powercor "&amp;$A$2 &amp;" allocated cost"</f>
        <v>Powercor 5 minute settlement allocated cost</v>
      </c>
      <c r="C76" s="270" t="s">
        <v>42</v>
      </c>
      <c r="G76" s="235" t="s">
        <v>201</v>
      </c>
      <c r="J76" s="120"/>
      <c r="K76" s="120"/>
      <c r="L76" s="120"/>
      <c r="M76" s="140">
        <f ca="1">M$71*INDIRECT($C76)</f>
        <v>540.66885870109024</v>
      </c>
      <c r="N76" s="140">
        <f t="shared" ref="N76:Q77" ca="1" si="8">N$71*INDIRECT($C76)</f>
        <v>725.78628303732614</v>
      </c>
      <c r="O76" s="140">
        <f t="shared" ca="1" si="8"/>
        <v>910.90663775565872</v>
      </c>
      <c r="P76" s="140">
        <f t="shared" ca="1" si="8"/>
        <v>1110.2269888212975</v>
      </c>
      <c r="Q76" s="140">
        <f t="shared" ca="1" si="8"/>
        <v>1323.361667159433</v>
      </c>
      <c r="S76" s="15">
        <f ca="1">SUM(M76:Q76)</f>
        <v>4610.9504354748051</v>
      </c>
      <c r="T76" s="120"/>
      <c r="U76" s="120"/>
      <c r="V76" s="120"/>
      <c r="W76" s="120"/>
    </row>
    <row r="77" spans="1:23" x14ac:dyDescent="0.2">
      <c r="B77" s="1" t="str">
        <f ca="1">"CitiPower "&amp;$A$2 &amp;" allocated cost"</f>
        <v>CitiPower 5 minute settlement allocated cost</v>
      </c>
      <c r="C77" s="270" t="s">
        <v>41</v>
      </c>
      <c r="G77" s="235" t="s">
        <v>201</v>
      </c>
      <c r="H77" s="120"/>
      <c r="J77" s="120"/>
      <c r="K77" s="120"/>
      <c r="L77" s="120"/>
      <c r="M77" s="140">
        <f ca="1">M$71*INDIRECT($C77)</f>
        <v>212.74795486454909</v>
      </c>
      <c r="N77" s="140">
        <f t="shared" ca="1" si="8"/>
        <v>285.58986688430582</v>
      </c>
      <c r="O77" s="140">
        <f t="shared" ca="1" si="8"/>
        <v>358.43293198101156</v>
      </c>
      <c r="P77" s="140">
        <f t="shared" ca="1" si="8"/>
        <v>436.86355799112226</v>
      </c>
      <c r="Q77" s="140">
        <f t="shared" ca="1" si="8"/>
        <v>520.72998787222684</v>
      </c>
      <c r="S77" s="15">
        <f ca="1">SUM(M77:Q77)</f>
        <v>1814.3642995932155</v>
      </c>
      <c r="T77" s="120"/>
      <c r="U77" s="120"/>
      <c r="V77" s="120"/>
      <c r="W77" s="120"/>
    </row>
    <row r="78" spans="1:23" x14ac:dyDescent="0.2">
      <c r="J78" s="120"/>
      <c r="K78" s="120"/>
      <c r="L78" s="120"/>
      <c r="M78" s="120"/>
      <c r="N78" s="120"/>
      <c r="O78" s="120"/>
      <c r="P78" s="120"/>
      <c r="Q78" s="120"/>
      <c r="S78" s="120"/>
      <c r="T78" s="120"/>
      <c r="U78" s="120"/>
      <c r="V78" s="120"/>
      <c r="W78" s="120"/>
    </row>
    <row r="79" spans="1:23" x14ac:dyDescent="0.2">
      <c r="B79" s="5" t="s">
        <v>224</v>
      </c>
      <c r="J79" s="120"/>
      <c r="K79" s="120"/>
      <c r="L79" s="120"/>
      <c r="M79" s="120"/>
      <c r="N79" s="120"/>
      <c r="O79" s="120"/>
      <c r="P79" s="120"/>
      <c r="Q79" s="120"/>
      <c r="S79" s="120"/>
      <c r="T79" s="120"/>
      <c r="U79" s="120"/>
      <c r="V79" s="120"/>
      <c r="W79" s="120"/>
    </row>
    <row r="80" spans="1:23" x14ac:dyDescent="0.2">
      <c r="B80" s="1" t="str">
        <f ca="1">"Powercor "&amp;$A$2</f>
        <v>Powercor 5 minute settlement</v>
      </c>
      <c r="C80" s="270" t="s">
        <v>225</v>
      </c>
      <c r="G80" s="235" t="s">
        <v>201</v>
      </c>
      <c r="J80" s="120"/>
      <c r="K80" s="120"/>
      <c r="L80" s="120"/>
      <c r="M80" s="140">
        <f ca="1">M76*INDEX(Assumptions!$N$44:$R$45, MATCH($C80, Assumptions!$E$44:$E$45,0), MATCH(M$64, Assumptions!$N$30:$R$30,0))</f>
        <v>557.80042690542814</v>
      </c>
      <c r="N80" s="140">
        <f ca="1">N76*INDEX(Assumptions!$N$44:$R$45, MATCH($C80, Assumptions!$E$44:$E$45,0), MATCH(N$64, Assumptions!$N$30:$R$30,0))</f>
        <v>761.24334790433159</v>
      </c>
      <c r="O80" s="140">
        <f ca="1">O76*INDEX(Assumptions!$N$44:$R$45, MATCH($C80, Assumptions!$E$44:$E$45,0), MATCH(O$64, Assumptions!$N$30:$R$30,0))</f>
        <v>971.2167668680587</v>
      </c>
      <c r="P80" s="140">
        <f ca="1">P76*INDEX(Assumptions!$N$44:$R$45, MATCH($C80, Assumptions!$E$44:$E$45,0), MATCH(P$64, Assumptions!$N$30:$R$30,0))</f>
        <v>1201.0254982439833</v>
      </c>
      <c r="Q80" s="140">
        <f ca="1">Q76*INDEX(Assumptions!$N$44:$R$45, MATCH($C80, Assumptions!$E$44:$E$45,0), MATCH(Q$64, Assumptions!$N$30:$R$30,0))</f>
        <v>1450.3879618709564</v>
      </c>
      <c r="S80" s="15">
        <f ca="1">SUM(M80:Q80)</f>
        <v>4941.6740017927577</v>
      </c>
      <c r="T80" s="120"/>
      <c r="U80" s="120"/>
      <c r="V80" s="120"/>
      <c r="W80" s="120"/>
    </row>
    <row r="81" spans="1:23" x14ac:dyDescent="0.2">
      <c r="C81" s="270"/>
      <c r="G81" s="235"/>
      <c r="J81" s="120"/>
      <c r="K81" s="120"/>
      <c r="L81" s="120"/>
      <c r="M81" s="140"/>
      <c r="N81" s="140"/>
      <c r="O81" s="140"/>
      <c r="P81" s="140"/>
      <c r="Q81" s="140"/>
      <c r="S81" s="15"/>
      <c r="T81" s="120"/>
      <c r="U81" s="120"/>
      <c r="V81" s="120"/>
      <c r="W81" s="120"/>
    </row>
    <row r="82" spans="1:23" x14ac:dyDescent="0.2">
      <c r="J82" s="120"/>
      <c r="K82" s="120"/>
      <c r="L82" s="120"/>
      <c r="M82" s="120"/>
      <c r="N82" s="120"/>
      <c r="O82" s="120"/>
      <c r="P82" s="120"/>
      <c r="Q82" s="120"/>
      <c r="S82" s="120"/>
      <c r="T82" s="120"/>
      <c r="U82" s="120"/>
      <c r="V82" s="120"/>
      <c r="W82" s="120"/>
    </row>
    <row r="83" spans="1:23" x14ac:dyDescent="0.2">
      <c r="J83" s="120"/>
      <c r="K83" s="120"/>
      <c r="L83" s="120"/>
      <c r="M83" s="120"/>
      <c r="N83" s="120"/>
      <c r="O83" s="120"/>
      <c r="P83" s="120"/>
      <c r="Q83" s="120"/>
      <c r="S83" s="120"/>
      <c r="T83" s="120"/>
      <c r="U83" s="120"/>
      <c r="V83" s="120"/>
      <c r="W83" s="120"/>
    </row>
    <row r="85" spans="1:23" x14ac:dyDescent="0.2">
      <c r="A85" s="2" t="s">
        <v>145</v>
      </c>
      <c r="B85" s="2"/>
      <c r="C85" s="2"/>
      <c r="D85" s="2"/>
      <c r="E85" s="2"/>
      <c r="F85" s="2"/>
      <c r="G85" s="229"/>
      <c r="H85" s="229"/>
      <c r="I85" s="7"/>
      <c r="J85" s="2"/>
      <c r="K85" s="7">
        <v>2019</v>
      </c>
      <c r="L85" s="7">
        <v>2020</v>
      </c>
      <c r="M85" s="7" t="s">
        <v>48</v>
      </c>
      <c r="N85" s="7" t="s">
        <v>49</v>
      </c>
      <c r="O85" s="7" t="s">
        <v>50</v>
      </c>
      <c r="P85" s="7" t="s">
        <v>51</v>
      </c>
      <c r="Q85" s="7" t="s">
        <v>52</v>
      </c>
    </row>
    <row r="86" spans="1:23" x14ac:dyDescent="0.2">
      <c r="B86" s="1" t="s">
        <v>91</v>
      </c>
      <c r="C86" s="192">
        <v>30</v>
      </c>
      <c r="K86" s="100">
        <f t="shared" ref="K86:Q87" si="9">K44*INDEX($C$19:$C$20, MATCH($C86, $B$19:$B$20,0))</f>
        <v>42740109.704427943</v>
      </c>
      <c r="L86" s="100">
        <f t="shared" si="9"/>
        <v>43745079.212576441</v>
      </c>
      <c r="M86" s="100">
        <f t="shared" si="9"/>
        <v>39667183.864005864</v>
      </c>
      <c r="N86" s="100">
        <f t="shared" si="9"/>
        <v>38916368.29052192</v>
      </c>
      <c r="O86" s="100">
        <f t="shared" si="9"/>
        <v>38044041.66193004</v>
      </c>
      <c r="P86" s="100">
        <f t="shared" si="9"/>
        <v>36970661.258993253</v>
      </c>
      <c r="Q86" s="100">
        <f t="shared" si="9"/>
        <v>35753448.293284915</v>
      </c>
    </row>
    <row r="87" spans="1:23" x14ac:dyDescent="0.2">
      <c r="B87" s="1" t="s">
        <v>92</v>
      </c>
      <c r="C87" s="192">
        <v>5</v>
      </c>
      <c r="K87" s="100">
        <f t="shared" si="9"/>
        <v>0</v>
      </c>
      <c r="L87" s="100">
        <f t="shared" si="9"/>
        <v>0</v>
      </c>
      <c r="M87" s="100">
        <f t="shared" si="9"/>
        <v>35288559.388969973</v>
      </c>
      <c r="N87" s="100">
        <f t="shared" si="9"/>
        <v>47409847.145179123</v>
      </c>
      <c r="O87" s="100">
        <f t="shared" si="9"/>
        <v>58682711.390425391</v>
      </c>
      <c r="P87" s="100">
        <f t="shared" si="9"/>
        <v>71124173.788741499</v>
      </c>
      <c r="Q87" s="100">
        <f t="shared" si="9"/>
        <v>84412732.033211857</v>
      </c>
    </row>
    <row r="88" spans="1:23" x14ac:dyDescent="0.2">
      <c r="B88" s="1" t="s">
        <v>93</v>
      </c>
      <c r="C88" s="192">
        <v>30</v>
      </c>
      <c r="K88" s="100">
        <f t="shared" ref="K88:Q89" si="10">K47*INDEX($C$19:$C$20, MATCH($C88, $B$19:$B$20,0))</f>
        <v>16401320.784736022</v>
      </c>
      <c r="L88" s="100">
        <f t="shared" si="10"/>
        <v>16662428.536395773</v>
      </c>
      <c r="M88" s="100">
        <f t="shared" si="10"/>
        <v>15331865.196207717</v>
      </c>
      <c r="N88" s="100">
        <f t="shared" si="10"/>
        <v>15040146.677188002</v>
      </c>
      <c r="O88" s="100">
        <f t="shared" si="10"/>
        <v>14703517.508593727</v>
      </c>
      <c r="P88" s="100">
        <f t="shared" si="10"/>
        <v>14319299.684452619</v>
      </c>
      <c r="Q88" s="100">
        <f t="shared" si="10"/>
        <v>13843825.420097401</v>
      </c>
    </row>
    <row r="89" spans="1:23" x14ac:dyDescent="0.2">
      <c r="B89" s="1" t="s">
        <v>94</v>
      </c>
      <c r="C89" s="192">
        <v>5</v>
      </c>
      <c r="K89" s="100">
        <f t="shared" si="10"/>
        <v>0</v>
      </c>
      <c r="L89" s="100">
        <f t="shared" si="10"/>
        <v>0</v>
      </c>
      <c r="M89" s="100">
        <f t="shared" si="10"/>
        <v>10928923.126585383</v>
      </c>
      <c r="N89" s="100">
        <f t="shared" si="10"/>
        <v>14758720.988042736</v>
      </c>
      <c r="O89" s="100">
        <f t="shared" si="10"/>
        <v>18135584.846744444</v>
      </c>
      <c r="P89" s="100">
        <f t="shared" si="10"/>
        <v>21736098.874366108</v>
      </c>
      <c r="Q89" s="100">
        <f t="shared" si="10"/>
        <v>25837151.842480283</v>
      </c>
    </row>
  </sheetData>
  <conditionalFormatting sqref="U3">
    <cfRule type="expression" dxfId="17" priority="1">
      <formula>$U$3=FALSE</formula>
    </cfRule>
  </conditionalFormatting>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theme="3"/>
  </sheetPr>
  <dimension ref="A1:T91"/>
  <sheetViews>
    <sheetView showGridLines="0" zoomScale="80" zoomScaleNormal="80" workbookViewId="0">
      <pane xSplit="2" ySplit="2" topLeftCell="C3" activePane="bottomRight" state="frozen"/>
      <selection activeCell="G66" sqref="G66"/>
      <selection pane="topRight" activeCell="G66" sqref="G66"/>
      <selection pane="bottomLeft" activeCell="G66" sqref="G66"/>
      <selection pane="bottomRight" activeCell="U17" sqref="U17"/>
    </sheetView>
  </sheetViews>
  <sheetFormatPr defaultColWidth="9" defaultRowHeight="12.75" x14ac:dyDescent="0.2"/>
  <cols>
    <col min="1" max="1" width="2" style="1" customWidth="1"/>
    <col min="2" max="2" width="43.125" style="1" customWidth="1"/>
    <col min="3" max="3" width="17.25" style="1" customWidth="1"/>
    <col min="4" max="4" width="13.125" style="1" customWidth="1"/>
    <col min="5" max="5" width="16" style="1" customWidth="1"/>
    <col min="6" max="6" width="1.625" style="1" customWidth="1"/>
    <col min="7" max="7" width="11.375" style="161" customWidth="1"/>
    <col min="8" max="8" width="17" style="161" customWidth="1"/>
    <col min="9" max="9" width="5.875" style="1" customWidth="1"/>
    <col min="10" max="10" width="9.75" style="1" customWidth="1"/>
    <col min="11" max="12" width="9" style="1" customWidth="1"/>
    <col min="13" max="17" width="9" style="1"/>
    <col min="18" max="18" width="2.5" style="1" customWidth="1"/>
    <col min="19" max="16384" width="9" style="1"/>
  </cols>
  <sheetData>
    <row r="1" spans="1:17" ht="21" x14ac:dyDescent="0.35">
      <c r="A1" s="3" t="s">
        <v>5</v>
      </c>
    </row>
    <row r="2" spans="1:17" ht="18.75" x14ac:dyDescent="0.3">
      <c r="A2" s="8" t="str">
        <f ca="1">RIGHT(CELL("filename",A1),LEN(CELL("filename",A1))-FIND("]",CELL("filename",A1),1))</f>
        <v>Security of critical infra.</v>
      </c>
    </row>
    <row r="3" spans="1:17" x14ac:dyDescent="0.2">
      <c r="A3" s="1" t="s">
        <v>43</v>
      </c>
    </row>
    <row r="5" spans="1:17" x14ac:dyDescent="0.2">
      <c r="A5" s="2" t="s">
        <v>44</v>
      </c>
      <c r="B5" s="2"/>
      <c r="C5" s="2"/>
      <c r="D5" s="2"/>
      <c r="E5" s="2"/>
      <c r="F5" s="2"/>
      <c r="G5" s="229"/>
      <c r="H5" s="229"/>
      <c r="I5" s="2"/>
      <c r="J5" s="2"/>
      <c r="K5" s="7"/>
      <c r="L5" s="7"/>
      <c r="M5" s="7"/>
      <c r="N5" s="7"/>
      <c r="O5" s="7"/>
      <c r="P5" s="7"/>
      <c r="Q5" s="7"/>
    </row>
    <row r="6" spans="1:17" x14ac:dyDescent="0.2">
      <c r="B6" s="161"/>
      <c r="C6" s="161"/>
      <c r="D6" s="161"/>
      <c r="E6" s="161"/>
      <c r="F6" s="161"/>
    </row>
    <row r="7" spans="1:17" x14ac:dyDescent="0.2">
      <c r="B7" s="161"/>
      <c r="C7" s="161"/>
      <c r="D7" s="161"/>
      <c r="E7" s="161"/>
      <c r="F7" s="161"/>
    </row>
    <row r="8" spans="1:17" x14ac:dyDescent="0.2">
      <c r="B8" s="161"/>
      <c r="C8" s="161"/>
      <c r="D8" s="161"/>
      <c r="E8" s="161"/>
      <c r="F8" s="161"/>
    </row>
    <row r="9" spans="1:17" x14ac:dyDescent="0.2">
      <c r="B9" s="161"/>
      <c r="C9" s="161"/>
      <c r="D9" s="161"/>
      <c r="E9" s="161"/>
      <c r="F9" s="161"/>
    </row>
    <row r="11" spans="1:17" x14ac:dyDescent="0.2">
      <c r="B11" s="5" t="s">
        <v>134</v>
      </c>
    </row>
    <row r="12" spans="1:17" x14ac:dyDescent="0.2">
      <c r="B12" s="1" t="s">
        <v>137</v>
      </c>
    </row>
    <row r="13" spans="1:17" x14ac:dyDescent="0.2">
      <c r="B13" s="1" t="s">
        <v>133</v>
      </c>
    </row>
    <row r="14" spans="1:17" x14ac:dyDescent="0.2">
      <c r="B14" s="162" t="s">
        <v>263</v>
      </c>
    </row>
    <row r="16" spans="1:17" x14ac:dyDescent="0.2">
      <c r="A16" s="2" t="s">
        <v>53</v>
      </c>
      <c r="B16" s="2"/>
      <c r="C16" s="2"/>
      <c r="D16" s="2"/>
      <c r="E16" s="2"/>
      <c r="F16" s="2"/>
      <c r="G16" s="229"/>
      <c r="H16" s="229" t="s">
        <v>132</v>
      </c>
      <c r="I16" s="2"/>
      <c r="J16" s="2"/>
      <c r="K16" s="7" t="s">
        <v>123</v>
      </c>
      <c r="L16" s="7" t="s">
        <v>46</v>
      </c>
      <c r="M16" s="7" t="s">
        <v>48</v>
      </c>
      <c r="N16" s="7" t="s">
        <v>49</v>
      </c>
      <c r="O16" s="7" t="s">
        <v>50</v>
      </c>
      <c r="P16" s="7" t="s">
        <v>51</v>
      </c>
      <c r="Q16" s="7" t="s">
        <v>52</v>
      </c>
    </row>
    <row r="18" spans="1:20" x14ac:dyDescent="0.2">
      <c r="B18" s="1" t="s">
        <v>32</v>
      </c>
      <c r="G18" s="292">
        <v>2019</v>
      </c>
      <c r="S18" s="15"/>
    </row>
    <row r="20" spans="1:20" x14ac:dyDescent="0.2">
      <c r="B20" s="322"/>
      <c r="C20" s="322"/>
      <c r="D20" s="324"/>
    </row>
    <row r="21" spans="1:20" x14ac:dyDescent="0.2">
      <c r="B21" s="322"/>
      <c r="C21" s="322"/>
      <c r="D21" s="322"/>
    </row>
    <row r="22" spans="1:20" x14ac:dyDescent="0.2">
      <c r="B22" s="325"/>
      <c r="C22" s="325"/>
      <c r="D22" s="325"/>
      <c r="E22" s="139"/>
      <c r="F22" s="139"/>
      <c r="G22" s="181">
        <v>2019</v>
      </c>
      <c r="H22" s="348"/>
      <c r="I22" s="349"/>
      <c r="J22" s="349"/>
      <c r="K22" s="317"/>
      <c r="L22" s="317"/>
      <c r="M22" s="316"/>
      <c r="N22" s="316"/>
      <c r="O22" s="316"/>
      <c r="P22" s="316"/>
      <c r="Q22" s="316"/>
    </row>
    <row r="23" spans="1:20" x14ac:dyDescent="0.2">
      <c r="B23" s="325"/>
      <c r="C23" s="325"/>
      <c r="D23" s="325"/>
      <c r="E23" s="139"/>
      <c r="F23" s="139"/>
      <c r="G23" s="181">
        <v>2019</v>
      </c>
      <c r="H23" s="348"/>
      <c r="I23" s="349"/>
      <c r="J23" s="349"/>
      <c r="K23" s="317"/>
      <c r="L23" s="317"/>
      <c r="M23" s="318"/>
      <c r="N23" s="318"/>
      <c r="O23" s="318"/>
      <c r="P23" s="318"/>
      <c r="Q23" s="318"/>
    </row>
    <row r="24" spans="1:20" x14ac:dyDescent="0.2">
      <c r="B24" s="325"/>
      <c r="C24" s="325"/>
      <c r="D24" s="325"/>
      <c r="E24" s="139"/>
      <c r="F24" s="139"/>
      <c r="G24" s="181">
        <v>2019</v>
      </c>
      <c r="H24" s="348"/>
      <c r="I24" s="349"/>
      <c r="J24" s="349"/>
      <c r="K24" s="317"/>
      <c r="L24" s="317"/>
      <c r="M24" s="316"/>
      <c r="N24" s="316"/>
      <c r="O24" s="316"/>
      <c r="P24" s="316"/>
      <c r="Q24" s="316"/>
    </row>
    <row r="25" spans="1:20" x14ac:dyDescent="0.2">
      <c r="B25" s="325"/>
      <c r="C25" s="325"/>
      <c r="D25" s="325"/>
      <c r="E25" s="139"/>
      <c r="F25" s="139"/>
      <c r="G25" s="181">
        <v>2019</v>
      </c>
      <c r="H25" s="348"/>
      <c r="I25" s="349"/>
      <c r="J25" s="349"/>
      <c r="K25" s="317"/>
      <c r="L25" s="317"/>
      <c r="M25" s="316"/>
      <c r="N25" s="316"/>
      <c r="O25" s="316"/>
      <c r="P25" s="316"/>
      <c r="Q25" s="316"/>
    </row>
    <row r="26" spans="1:20" x14ac:dyDescent="0.2">
      <c r="B26" s="322"/>
      <c r="C26" s="322"/>
      <c r="D26" s="322"/>
      <c r="H26" s="350"/>
      <c r="I26" s="349"/>
      <c r="J26" s="349"/>
      <c r="K26" s="317"/>
      <c r="L26" s="317"/>
      <c r="M26" s="317"/>
      <c r="N26" s="317"/>
      <c r="O26" s="317"/>
      <c r="P26" s="317"/>
      <c r="Q26" s="317"/>
    </row>
    <row r="27" spans="1:20" x14ac:dyDescent="0.2">
      <c r="B27" s="322"/>
      <c r="C27" s="326"/>
      <c r="D27" s="322"/>
      <c r="G27" s="181">
        <v>2019</v>
      </c>
      <c r="H27" s="348"/>
      <c r="I27" s="349"/>
      <c r="J27" s="349"/>
      <c r="K27" s="316"/>
      <c r="L27" s="316"/>
      <c r="M27" s="317"/>
      <c r="N27" s="317"/>
      <c r="O27" s="317"/>
      <c r="P27" s="317"/>
      <c r="Q27" s="317"/>
    </row>
    <row r="28" spans="1:20" x14ac:dyDescent="0.2">
      <c r="B28" s="327"/>
      <c r="C28" s="328"/>
      <c r="D28" s="327"/>
      <c r="E28" s="5"/>
      <c r="F28" s="5"/>
      <c r="G28" s="249">
        <v>2019</v>
      </c>
      <c r="H28" s="351"/>
      <c r="I28" s="349"/>
      <c r="J28" s="352"/>
      <c r="K28" s="316"/>
      <c r="L28" s="317"/>
      <c r="M28" s="316"/>
      <c r="N28" s="316"/>
      <c r="O28" s="316"/>
      <c r="P28" s="316"/>
      <c r="Q28" s="316"/>
    </row>
    <row r="30" spans="1:20" x14ac:dyDescent="0.2">
      <c r="K30" s="161"/>
    </row>
    <row r="31" spans="1:20" x14ac:dyDescent="0.2">
      <c r="A31" s="2" t="s">
        <v>11</v>
      </c>
      <c r="B31" s="2"/>
      <c r="C31" s="2"/>
      <c r="D31" s="2"/>
      <c r="E31" s="2"/>
      <c r="F31" s="2"/>
      <c r="G31" s="229"/>
      <c r="H31" s="229"/>
      <c r="I31" s="2"/>
      <c r="J31" s="2"/>
      <c r="K31" s="7" t="s">
        <v>123</v>
      </c>
      <c r="L31" s="7" t="s">
        <v>46</v>
      </c>
      <c r="M31" s="7" t="s">
        <v>48</v>
      </c>
      <c r="N31" s="7" t="s">
        <v>49</v>
      </c>
      <c r="O31" s="7" t="s">
        <v>50</v>
      </c>
      <c r="P31" s="7" t="s">
        <v>51</v>
      </c>
      <c r="Q31" s="7" t="s">
        <v>52</v>
      </c>
    </row>
    <row r="32" spans="1:20" s="14" customFormat="1" x14ac:dyDescent="0.2">
      <c r="A32" s="12"/>
      <c r="B32" s="12"/>
      <c r="C32" s="12"/>
      <c r="D32" s="12"/>
      <c r="E32" s="12"/>
      <c r="F32" s="12"/>
      <c r="G32" s="234"/>
      <c r="H32" s="234"/>
      <c r="I32" s="12"/>
      <c r="J32" s="12"/>
      <c r="K32" s="12"/>
      <c r="L32" s="12"/>
      <c r="M32" s="12"/>
      <c r="N32" s="12"/>
      <c r="O32" s="12"/>
      <c r="P32" s="12"/>
      <c r="Q32" s="12"/>
      <c r="R32" s="1"/>
      <c r="S32" s="1"/>
      <c r="T32" s="1"/>
    </row>
    <row r="33" spans="1:19" x14ac:dyDescent="0.2">
      <c r="B33" s="322"/>
      <c r="C33" s="322"/>
      <c r="D33" s="322"/>
      <c r="G33" s="194" t="s">
        <v>200</v>
      </c>
      <c r="H33" s="181"/>
      <c r="K33" s="317"/>
      <c r="L33" s="317"/>
      <c r="M33" s="319"/>
      <c r="N33" s="319"/>
      <c r="O33" s="319"/>
      <c r="P33" s="319"/>
      <c r="Q33" s="319"/>
    </row>
    <row r="34" spans="1:19" x14ac:dyDescent="0.2">
      <c r="B34" s="322"/>
      <c r="C34" s="322"/>
      <c r="D34" s="322"/>
      <c r="G34" s="194" t="s">
        <v>200</v>
      </c>
      <c r="H34" s="181"/>
      <c r="K34" s="317"/>
      <c r="L34" s="317"/>
      <c r="M34" s="319"/>
      <c r="N34" s="319"/>
      <c r="O34" s="319"/>
      <c r="P34" s="319"/>
      <c r="Q34" s="319"/>
    </row>
    <row r="35" spans="1:19" x14ac:dyDescent="0.2">
      <c r="B35" s="323"/>
      <c r="C35" s="322"/>
      <c r="D35" s="322"/>
      <c r="G35" s="194"/>
      <c r="H35" s="181"/>
      <c r="K35" s="317"/>
      <c r="L35" s="317"/>
      <c r="M35" s="319"/>
      <c r="N35" s="319"/>
      <c r="O35" s="319"/>
      <c r="P35" s="319"/>
      <c r="Q35" s="319"/>
    </row>
    <row r="36" spans="1:19" x14ac:dyDescent="0.2">
      <c r="B36" s="322"/>
      <c r="C36" s="322"/>
      <c r="D36" s="322"/>
      <c r="G36" s="194"/>
      <c r="H36" s="181"/>
      <c r="K36" s="317"/>
      <c r="L36" s="317"/>
      <c r="M36" s="319"/>
      <c r="N36" s="319"/>
      <c r="O36" s="319"/>
      <c r="P36" s="319"/>
      <c r="Q36" s="319"/>
    </row>
    <row r="37" spans="1:19" x14ac:dyDescent="0.2">
      <c r="G37" s="194"/>
      <c r="H37" s="181"/>
      <c r="M37" s="15"/>
      <c r="N37" s="15"/>
      <c r="O37" s="15"/>
      <c r="P37" s="15"/>
      <c r="Q37" s="15"/>
    </row>
    <row r="38" spans="1:19" x14ac:dyDescent="0.2">
      <c r="A38" s="2" t="s">
        <v>198</v>
      </c>
      <c r="B38" s="2"/>
      <c r="C38" s="2"/>
      <c r="D38" s="2"/>
      <c r="E38" s="2"/>
      <c r="F38" s="2"/>
      <c r="G38" s="229"/>
      <c r="H38" s="229"/>
      <c r="I38" s="2"/>
      <c r="J38" s="2"/>
      <c r="K38" s="7" t="s">
        <v>123</v>
      </c>
      <c r="L38" s="7" t="s">
        <v>46</v>
      </c>
      <c r="M38" s="7" t="s">
        <v>48</v>
      </c>
      <c r="N38" s="7" t="s">
        <v>49</v>
      </c>
      <c r="O38" s="7" t="s">
        <v>50</v>
      </c>
      <c r="P38" s="7" t="s">
        <v>51</v>
      </c>
      <c r="Q38" s="7" t="s">
        <v>52</v>
      </c>
      <c r="S38" s="7" t="s">
        <v>135</v>
      </c>
    </row>
    <row r="39" spans="1:19" x14ac:dyDescent="0.2">
      <c r="G39" s="194"/>
      <c r="H39" s="181"/>
      <c r="M39" s="15"/>
      <c r="N39" s="15"/>
      <c r="O39" s="15"/>
      <c r="P39" s="15"/>
      <c r="Q39" s="15"/>
      <c r="S39" s="219"/>
    </row>
    <row r="40" spans="1:19" x14ac:dyDescent="0.2">
      <c r="G40" s="194"/>
      <c r="H40" s="181"/>
      <c r="M40" s="15"/>
      <c r="N40" s="15"/>
      <c r="O40" s="15"/>
      <c r="P40" s="15"/>
      <c r="Q40" s="15"/>
    </row>
    <row r="41" spans="1:19" x14ac:dyDescent="0.2">
      <c r="B41" s="195" t="s">
        <v>202</v>
      </c>
      <c r="C41" s="195"/>
      <c r="D41" s="195"/>
      <c r="E41" s="195"/>
      <c r="F41" s="195"/>
      <c r="G41" s="250" t="s">
        <v>200</v>
      </c>
      <c r="H41" s="256"/>
      <c r="I41" s="195"/>
      <c r="J41" s="195"/>
      <c r="K41" s="195"/>
      <c r="L41" s="196"/>
      <c r="M41" s="196">
        <v>5706.2503884999996</v>
      </c>
      <c r="N41" s="196">
        <v>5092.9516885000003</v>
      </c>
      <c r="O41" s="196">
        <v>5092.9516885000003</v>
      </c>
      <c r="P41" s="196">
        <v>5092.9516885000003</v>
      </c>
      <c r="Q41" s="196">
        <v>5092.9516885000003</v>
      </c>
      <c r="S41" s="219">
        <v>26078.057142500002</v>
      </c>
    </row>
    <row r="42" spans="1:19" x14ac:dyDescent="0.2">
      <c r="B42" s="216" t="str">
        <f ca="1">"Total: "&amp;$A$1&amp;" "&amp;$A$2</f>
        <v>Total: VPN Security of critical infra.</v>
      </c>
      <c r="C42" s="216"/>
      <c r="D42" s="216"/>
      <c r="E42" s="216"/>
      <c r="F42" s="216"/>
      <c r="G42" s="239" t="s">
        <v>201</v>
      </c>
      <c r="H42" s="240"/>
      <c r="I42" s="216"/>
      <c r="J42" s="216"/>
      <c r="K42" s="216"/>
      <c r="L42" s="216"/>
      <c r="M42" s="217">
        <f>M41*INDEX(Assumptions!$F$20:$F$22,MATCH($G$18,Assumptions!$D$20:$D$22,0))</f>
        <v>5948.4122648099192</v>
      </c>
      <c r="N42" s="217">
        <f>N41*INDEX(Assumptions!$F$20:$F$22,MATCH($G$18,Assumptions!$D$20:$D$22,0))</f>
        <v>5309.0863921801056</v>
      </c>
      <c r="O42" s="217">
        <f>O41*INDEX(Assumptions!$F$20:$F$22,MATCH($G$18,Assumptions!$D$20:$D$22,0))</f>
        <v>5309.0863921801056</v>
      </c>
      <c r="P42" s="217">
        <f>P41*INDEX(Assumptions!$F$20:$F$22,MATCH($G$18,Assumptions!$D$20:$D$22,0))</f>
        <v>5309.0863921801056</v>
      </c>
      <c r="Q42" s="217">
        <f>Q41*INDEX(Assumptions!$F$20:$F$22,MATCH($G$18,Assumptions!$D$20:$D$22,0))</f>
        <v>5309.0863921801056</v>
      </c>
      <c r="S42" s="217">
        <f>SUM(M42:Q42)</f>
        <v>27184.757833530344</v>
      </c>
    </row>
    <row r="43" spans="1:19" x14ac:dyDescent="0.2">
      <c r="J43" s="120"/>
      <c r="K43" s="120"/>
      <c r="L43" s="120"/>
      <c r="M43" s="120"/>
      <c r="N43" s="120"/>
      <c r="O43" s="120"/>
      <c r="P43" s="120"/>
      <c r="Q43" s="120"/>
      <c r="S43" s="120"/>
    </row>
    <row r="44" spans="1:19" x14ac:dyDescent="0.2">
      <c r="J44" s="120"/>
      <c r="K44" s="120"/>
      <c r="L44" s="120"/>
      <c r="M44" s="120"/>
      <c r="N44" s="120"/>
      <c r="O44" s="120"/>
      <c r="P44" s="120"/>
      <c r="Q44" s="120"/>
      <c r="S44" s="120"/>
    </row>
    <row r="45" spans="1:19" x14ac:dyDescent="0.2">
      <c r="A45" s="2" t="s">
        <v>234</v>
      </c>
      <c r="B45" s="2"/>
      <c r="C45" s="2"/>
      <c r="D45" s="2"/>
      <c r="E45" s="2"/>
      <c r="F45" s="2"/>
      <c r="G45" s="229"/>
      <c r="H45" s="229"/>
      <c r="I45" s="2"/>
      <c r="J45" s="2"/>
      <c r="K45" s="7" t="s">
        <v>123</v>
      </c>
      <c r="L45" s="7" t="s">
        <v>46</v>
      </c>
      <c r="M45" s="7" t="s">
        <v>48</v>
      </c>
      <c r="N45" s="7" t="s">
        <v>49</v>
      </c>
      <c r="O45" s="7" t="s">
        <v>50</v>
      </c>
      <c r="P45" s="7" t="s">
        <v>51</v>
      </c>
      <c r="Q45" s="7" t="s">
        <v>52</v>
      </c>
      <c r="S45" s="7" t="s">
        <v>135</v>
      </c>
    </row>
    <row r="46" spans="1:19" x14ac:dyDescent="0.2">
      <c r="J46" s="120"/>
      <c r="K46" s="120"/>
      <c r="L46" s="120"/>
      <c r="M46" s="120"/>
      <c r="N46" s="120"/>
      <c r="O46" s="120"/>
      <c r="P46" s="120"/>
      <c r="Q46" s="120"/>
      <c r="S46" s="120"/>
    </row>
    <row r="47" spans="1:19" x14ac:dyDescent="0.2">
      <c r="B47" s="1" t="str">
        <f ca="1">"Powercor "&amp;$A$2 &amp;" allocated cost"</f>
        <v>Powercor Security of critical infra. allocated cost</v>
      </c>
      <c r="C47" s="270" t="s">
        <v>33</v>
      </c>
      <c r="G47" s="235" t="s">
        <v>201</v>
      </c>
      <c r="J47" s="120"/>
      <c r="K47" s="120"/>
      <c r="L47" s="120"/>
      <c r="M47" s="140">
        <f ca="1">M$42*IF(ISNUMBER($C47),$C47,INDIRECT($C47))</f>
        <v>2974.2061324049596</v>
      </c>
      <c r="N47" s="140">
        <f t="shared" ref="N47:Q48" ca="1" si="0">N$42*IF(ISNUMBER($C47),$C47,INDIRECT($C47))</f>
        <v>2654.5431960900528</v>
      </c>
      <c r="O47" s="140">
        <f t="shared" ca="1" si="0"/>
        <v>2654.5431960900528</v>
      </c>
      <c r="P47" s="140">
        <f t="shared" ca="1" si="0"/>
        <v>2654.5431960900528</v>
      </c>
      <c r="Q47" s="140">
        <f t="shared" ca="1" si="0"/>
        <v>2654.5431960900528</v>
      </c>
      <c r="S47" s="118">
        <f ca="1">SUM(M47:Q47)</f>
        <v>13592.378916765172</v>
      </c>
    </row>
    <row r="48" spans="1:19" x14ac:dyDescent="0.2">
      <c r="B48" s="1" t="str">
        <f ca="1">"CitiPower "&amp;$A$2 &amp;" allocated cost"</f>
        <v>CitiPower Security of critical infra. allocated cost</v>
      </c>
      <c r="C48" s="270" t="s">
        <v>34</v>
      </c>
      <c r="G48" s="235" t="s">
        <v>201</v>
      </c>
      <c r="J48" s="120"/>
      <c r="K48" s="120"/>
      <c r="L48" s="120"/>
      <c r="M48" s="140">
        <f ca="1">M$42*IF(ISNUMBER($C48),$C48,INDIRECT($C48))</f>
        <v>2974.2061324049596</v>
      </c>
      <c r="N48" s="140">
        <f t="shared" ca="1" si="0"/>
        <v>2654.5431960900528</v>
      </c>
      <c r="O48" s="140">
        <f t="shared" ca="1" si="0"/>
        <v>2654.5431960900528</v>
      </c>
      <c r="P48" s="140">
        <f t="shared" ca="1" si="0"/>
        <v>2654.5431960900528</v>
      </c>
      <c r="Q48" s="140">
        <f t="shared" ca="1" si="0"/>
        <v>2654.5431960900528</v>
      </c>
      <c r="S48" s="118">
        <f ca="1">SUM(M48:Q48)</f>
        <v>13592.378916765172</v>
      </c>
    </row>
    <row r="49" spans="2:19" x14ac:dyDescent="0.2">
      <c r="J49" s="120"/>
      <c r="K49" s="120"/>
      <c r="L49" s="120"/>
      <c r="M49" s="120"/>
      <c r="N49" s="120"/>
      <c r="O49" s="120"/>
      <c r="P49" s="120"/>
      <c r="Q49" s="120"/>
      <c r="S49" s="279"/>
    </row>
    <row r="50" spans="2:19" x14ac:dyDescent="0.2">
      <c r="B50" s="5" t="s">
        <v>224</v>
      </c>
      <c r="J50" s="120"/>
      <c r="K50" s="120"/>
      <c r="L50" s="120"/>
      <c r="M50" s="120"/>
      <c r="N50" s="120"/>
      <c r="O50" s="120"/>
      <c r="P50" s="120"/>
      <c r="Q50" s="120"/>
      <c r="S50" s="279"/>
    </row>
    <row r="51" spans="2:19" x14ac:dyDescent="0.2">
      <c r="B51" s="1" t="str">
        <f ca="1">"Powercor "&amp;$A$2</f>
        <v>Powercor Security of critical infra.</v>
      </c>
      <c r="C51" s="270" t="s">
        <v>225</v>
      </c>
      <c r="G51" s="235" t="s">
        <v>201</v>
      </c>
      <c r="J51" s="120"/>
      <c r="K51" s="120"/>
      <c r="L51" s="120"/>
      <c r="M51" s="140">
        <f ca="1">M47*INDEX(Assumptions!N$44:N$45, MATCH($C51, Assumptions!$E$44:$E$45,0))</f>
        <v>3068.4464689641345</v>
      </c>
      <c r="N51" s="140">
        <f ca="1">N47*INDEX(Assumptions!O$44:O$45, MATCH($C51, Assumptions!$E$44:$E$45,0))</f>
        <v>2784.2264272226976</v>
      </c>
      <c r="O51" s="140">
        <f ca="1">O47*INDEX(Assumptions!P$44:P$45, MATCH($C51, Assumptions!$E$44:$E$45,0))</f>
        <v>2830.2975887521666</v>
      </c>
      <c r="P51" s="140">
        <f ca="1">P47*INDEX(Assumptions!Q$44:Q$45, MATCH($C51, Assumptions!$E$44:$E$45,0))</f>
        <v>2871.6416523787107</v>
      </c>
      <c r="Q51" s="140">
        <f ca="1">Q47*INDEX(Assumptions!R$44:R$45, MATCH($C51, Assumptions!$E$44:$E$45,0))</f>
        <v>2909.3463951843637</v>
      </c>
      <c r="S51" s="118">
        <f ca="1">SUM(M51:Q51)</f>
        <v>14463.958532502073</v>
      </c>
    </row>
    <row r="52" spans="2:19" x14ac:dyDescent="0.2">
      <c r="C52" s="270"/>
      <c r="G52" s="235"/>
      <c r="J52" s="120"/>
      <c r="K52" s="120"/>
      <c r="L52" s="120"/>
      <c r="M52" s="140"/>
      <c r="N52" s="140"/>
      <c r="O52" s="140"/>
      <c r="P52" s="140"/>
      <c r="Q52" s="140"/>
      <c r="S52" s="118"/>
    </row>
    <row r="53" spans="2:19" x14ac:dyDescent="0.2">
      <c r="J53" s="120"/>
      <c r="K53" s="120"/>
      <c r="L53" s="120"/>
      <c r="M53" s="120"/>
      <c r="N53" s="120"/>
      <c r="O53" s="120"/>
      <c r="P53" s="120"/>
      <c r="Q53" s="120"/>
      <c r="S53" s="120"/>
    </row>
    <row r="91" spans="19:19" x14ac:dyDescent="0.2">
      <c r="S91" s="225"/>
    </row>
  </sheetData>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3"/>
  </sheetPr>
  <dimension ref="A1:V224"/>
  <sheetViews>
    <sheetView showGridLines="0" zoomScale="80" zoomScaleNormal="80" workbookViewId="0">
      <pane xSplit="2" ySplit="2" topLeftCell="C3" activePane="bottomRight" state="frozen"/>
      <selection activeCell="B44" sqref="B44"/>
      <selection pane="topRight" activeCell="B44" sqref="B44"/>
      <selection pane="bottomLeft" activeCell="B44" sqref="B44"/>
      <selection pane="bottomRight" activeCell="V35" sqref="V35"/>
    </sheetView>
  </sheetViews>
  <sheetFormatPr defaultColWidth="9" defaultRowHeight="12.75" x14ac:dyDescent="0.2"/>
  <cols>
    <col min="1" max="1" width="2" style="1" customWidth="1"/>
    <col min="2" max="2" width="43.125" style="1" customWidth="1"/>
    <col min="3" max="3" width="17.25" style="1" customWidth="1"/>
    <col min="4" max="4" width="13.125" style="1" customWidth="1"/>
    <col min="5" max="5" width="16" style="1" customWidth="1"/>
    <col min="6" max="6" width="1.625" style="1" customWidth="1"/>
    <col min="7" max="7" width="11.375" style="161" customWidth="1"/>
    <col min="8" max="8" width="17" style="161" customWidth="1"/>
    <col min="9" max="9" width="5.875" style="1" customWidth="1"/>
    <col min="10" max="10" width="9.75" style="1" customWidth="1"/>
    <col min="11" max="11" width="9" style="1" customWidth="1"/>
    <col min="12" max="12" width="6.875" style="1" bestFit="1" customWidth="1"/>
    <col min="13" max="17" width="9" style="1"/>
    <col min="18" max="18" width="2.5" style="1" customWidth="1"/>
    <col min="19" max="16384" width="9" style="1"/>
  </cols>
  <sheetData>
    <row r="1" spans="1:17" ht="21" x14ac:dyDescent="0.35">
      <c r="A1" s="3" t="s">
        <v>9</v>
      </c>
    </row>
    <row r="2" spans="1:17" ht="18.75" x14ac:dyDescent="0.3">
      <c r="A2" s="8" t="str">
        <f ca="1">RIGHT(CELL("filename",A1),LEN(CELL("filename",A1))-FIND("]",CELL("filename",A1),1))</f>
        <v>Replacing EDO fuses</v>
      </c>
    </row>
    <row r="3" spans="1:17" x14ac:dyDescent="0.2">
      <c r="A3" s="1" t="s">
        <v>147</v>
      </c>
    </row>
    <row r="4" spans="1:17" x14ac:dyDescent="0.2">
      <c r="C4" s="14"/>
    </row>
    <row r="5" spans="1:17" x14ac:dyDescent="0.2">
      <c r="A5" s="2" t="s">
        <v>44</v>
      </c>
      <c r="B5" s="2"/>
      <c r="C5" s="2"/>
      <c r="D5" s="2"/>
      <c r="E5" s="2"/>
      <c r="F5" s="2"/>
      <c r="G5" s="229"/>
      <c r="H5" s="229"/>
      <c r="I5" s="2"/>
      <c r="J5" s="7"/>
      <c r="K5" s="7"/>
      <c r="L5" s="7"/>
      <c r="M5" s="7"/>
      <c r="N5" s="7"/>
      <c r="O5" s="7"/>
      <c r="P5" s="7"/>
      <c r="Q5" s="7"/>
    </row>
    <row r="6" spans="1:17" x14ac:dyDescent="0.2">
      <c r="B6" s="149"/>
      <c r="C6" s="149"/>
      <c r="D6" s="149"/>
      <c r="E6" s="149"/>
      <c r="F6" s="149"/>
      <c r="G6" s="202"/>
      <c r="H6" s="202"/>
      <c r="M6" s="9"/>
      <c r="N6" s="9"/>
      <c r="O6" s="9"/>
      <c r="P6" s="9"/>
      <c r="Q6" s="9"/>
    </row>
    <row r="7" spans="1:17" x14ac:dyDescent="0.2">
      <c r="B7" s="149"/>
      <c r="C7" s="149"/>
      <c r="D7" s="149"/>
      <c r="E7" s="149"/>
      <c r="F7" s="149"/>
      <c r="G7" s="202"/>
      <c r="H7" s="202"/>
      <c r="M7" s="9"/>
      <c r="N7" s="9"/>
      <c r="O7" s="9"/>
      <c r="P7" s="9"/>
      <c r="Q7" s="9"/>
    </row>
    <row r="8" spans="1:17" x14ac:dyDescent="0.2">
      <c r="M8" s="9"/>
      <c r="N8" s="9"/>
      <c r="O8" s="9"/>
      <c r="P8" s="9"/>
      <c r="Q8" s="9"/>
    </row>
    <row r="9" spans="1:17" x14ac:dyDescent="0.2">
      <c r="B9" s="141" t="s">
        <v>134</v>
      </c>
      <c r="M9" s="9"/>
      <c r="N9" s="9"/>
      <c r="O9" s="9"/>
      <c r="P9" s="9"/>
      <c r="Q9" s="9"/>
    </row>
    <row r="10" spans="1:17" x14ac:dyDescent="0.2">
      <c r="B10" s="142" t="s">
        <v>148</v>
      </c>
      <c r="M10" s="9"/>
      <c r="N10" s="9"/>
      <c r="O10" s="9"/>
      <c r="P10" s="9"/>
      <c r="Q10" s="9"/>
    </row>
    <row r="11" spans="1:17" x14ac:dyDescent="0.2">
      <c r="B11" s="142" t="s">
        <v>149</v>
      </c>
      <c r="M11" s="9"/>
      <c r="N11" s="9"/>
      <c r="O11" s="9"/>
      <c r="P11" s="9"/>
      <c r="Q11" s="9"/>
    </row>
    <row r="12" spans="1:17" x14ac:dyDescent="0.2">
      <c r="B12" s="142" t="s">
        <v>264</v>
      </c>
      <c r="M12" s="9"/>
      <c r="N12" s="9"/>
      <c r="O12" s="9"/>
      <c r="P12" s="9"/>
      <c r="Q12" s="9"/>
    </row>
    <row r="13" spans="1:17" x14ac:dyDescent="0.2">
      <c r="B13" s="142"/>
      <c r="M13" s="9"/>
      <c r="N13" s="9"/>
      <c r="O13" s="9"/>
      <c r="P13" s="9"/>
      <c r="Q13" s="9"/>
    </row>
    <row r="14" spans="1:17" x14ac:dyDescent="0.2">
      <c r="A14" s="2" t="s">
        <v>53</v>
      </c>
      <c r="B14" s="2"/>
      <c r="C14" s="2"/>
      <c r="D14" s="2"/>
      <c r="E14" s="2"/>
      <c r="F14" s="2"/>
      <c r="G14" s="229"/>
      <c r="H14" s="229" t="s">
        <v>132</v>
      </c>
      <c r="I14" s="2"/>
      <c r="J14" s="7"/>
      <c r="K14" s="7"/>
      <c r="L14" s="7"/>
      <c r="M14" s="7"/>
      <c r="N14" s="7"/>
      <c r="O14" s="7"/>
      <c r="P14" s="7"/>
      <c r="Q14" s="7"/>
    </row>
    <row r="16" spans="1:17" x14ac:dyDescent="0.2">
      <c r="B16" s="1" t="s">
        <v>32</v>
      </c>
      <c r="G16" s="264">
        <v>2019</v>
      </c>
      <c r="M16" s="9"/>
      <c r="N16" s="9"/>
      <c r="O16" s="9"/>
      <c r="P16" s="9"/>
      <c r="Q16" s="9"/>
    </row>
    <row r="18" spans="1:17" x14ac:dyDescent="0.2">
      <c r="B18" s="1" t="s">
        <v>98</v>
      </c>
      <c r="D18" s="183">
        <v>5069</v>
      </c>
      <c r="H18" s="161" t="s">
        <v>150</v>
      </c>
    </row>
    <row r="19" spans="1:17" x14ac:dyDescent="0.2">
      <c r="B19" s="1" t="s">
        <v>99</v>
      </c>
      <c r="D19" s="183">
        <v>60931</v>
      </c>
      <c r="H19" s="161" t="s">
        <v>150</v>
      </c>
    </row>
    <row r="20" spans="1:17" x14ac:dyDescent="0.2">
      <c r="B20" s="1" t="s">
        <v>100</v>
      </c>
      <c r="D20" s="182">
        <f>900-D21</f>
        <v>35</v>
      </c>
      <c r="H20" s="161" t="s">
        <v>150</v>
      </c>
      <c r="M20" s="9"/>
      <c r="N20" s="9"/>
      <c r="O20" s="9"/>
      <c r="P20" s="9"/>
      <c r="Q20" s="9"/>
    </row>
    <row r="21" spans="1:17" x14ac:dyDescent="0.2">
      <c r="B21" s="1" t="s">
        <v>101</v>
      </c>
      <c r="D21" s="182">
        <v>865</v>
      </c>
      <c r="H21" s="161" t="s">
        <v>150</v>
      </c>
    </row>
    <row r="22" spans="1:17" x14ac:dyDescent="0.2">
      <c r="B22" s="1" t="s">
        <v>126</v>
      </c>
      <c r="D22" s="182">
        <v>203.8</v>
      </c>
      <c r="G22" s="181">
        <f>$G$16</f>
        <v>2019</v>
      </c>
      <c r="H22" s="161" t="s">
        <v>150</v>
      </c>
    </row>
    <row r="23" spans="1:17" x14ac:dyDescent="0.2">
      <c r="B23" s="1" t="s">
        <v>127</v>
      </c>
      <c r="D23" s="160">
        <f>D22/SUM(D18:D19)</f>
        <v>3.0878787878787879E-3</v>
      </c>
      <c r="G23" s="181">
        <f>$G$16</f>
        <v>2019</v>
      </c>
    </row>
    <row r="24" spans="1:17" x14ac:dyDescent="0.2">
      <c r="B24" s="1" t="s">
        <v>103</v>
      </c>
      <c r="C24" s="14"/>
      <c r="D24" s="288">
        <v>1.5</v>
      </c>
      <c r="G24" s="181">
        <f>$G$16</f>
        <v>2019</v>
      </c>
      <c r="H24" s="161" t="s">
        <v>150</v>
      </c>
    </row>
    <row r="25" spans="1:17" x14ac:dyDescent="0.2">
      <c r="B25" s="1" t="s">
        <v>104</v>
      </c>
      <c r="C25" s="14"/>
      <c r="D25" s="288">
        <v>1.8</v>
      </c>
      <c r="G25" s="181">
        <f>$G$16</f>
        <v>2019</v>
      </c>
      <c r="H25" s="161" t="s">
        <v>150</v>
      </c>
    </row>
    <row r="27" spans="1:17" x14ac:dyDescent="0.2">
      <c r="A27" s="2" t="s">
        <v>11</v>
      </c>
      <c r="B27" s="2"/>
      <c r="C27" s="2"/>
      <c r="D27" s="2"/>
      <c r="E27" s="2"/>
      <c r="F27" s="2"/>
      <c r="G27" s="229"/>
      <c r="H27" s="229"/>
      <c r="I27" s="2"/>
      <c r="J27" s="7"/>
      <c r="K27" s="7">
        <v>2019</v>
      </c>
      <c r="L27" s="7">
        <v>2020</v>
      </c>
      <c r="M27" s="7" t="s">
        <v>48</v>
      </c>
      <c r="N27" s="7" t="s">
        <v>49</v>
      </c>
      <c r="O27" s="7" t="s">
        <v>50</v>
      </c>
      <c r="P27" s="7" t="s">
        <v>51</v>
      </c>
      <c r="Q27" s="7" t="s">
        <v>52</v>
      </c>
    </row>
    <row r="29" spans="1:17" x14ac:dyDescent="0.2">
      <c r="B29" s="5" t="s">
        <v>102</v>
      </c>
    </row>
    <row r="30" spans="1:17" x14ac:dyDescent="0.2">
      <c r="B30" s="1" t="s">
        <v>166</v>
      </c>
      <c r="G30" s="181">
        <f>$G$16</f>
        <v>2019</v>
      </c>
      <c r="M30" s="104">
        <f>$D$18/5*$D$25</f>
        <v>1824.84</v>
      </c>
      <c r="N30" s="104">
        <f>$D$18/5*$D$25</f>
        <v>1824.84</v>
      </c>
      <c r="O30" s="104">
        <f>$D$18/5*$D$25</f>
        <v>1824.84</v>
      </c>
      <c r="P30" s="104">
        <f>$D$18/5*$D$25</f>
        <v>1824.84</v>
      </c>
      <c r="Q30" s="104">
        <f>$D$18/5*$D$25</f>
        <v>1824.84</v>
      </c>
    </row>
    <row r="31" spans="1:17" x14ac:dyDescent="0.2">
      <c r="B31" s="211" t="s">
        <v>213</v>
      </c>
      <c r="G31" s="181">
        <f>$G$16</f>
        <v>2019</v>
      </c>
      <c r="J31" s="100"/>
      <c r="M31" s="104">
        <f>$D$20*$D$24</f>
        <v>52.5</v>
      </c>
      <c r="N31" s="104">
        <f>$D$20*$D$24</f>
        <v>52.5</v>
      </c>
      <c r="O31" s="104">
        <f>$D$20*$D$24</f>
        <v>52.5</v>
      </c>
      <c r="P31" s="104">
        <f>$D$20*$D$24</f>
        <v>52.5</v>
      </c>
      <c r="Q31" s="104">
        <f>$D$20*$D$24</f>
        <v>52.5</v>
      </c>
    </row>
    <row r="32" spans="1:17" x14ac:dyDescent="0.2">
      <c r="B32" s="208" t="s">
        <v>106</v>
      </c>
      <c r="C32" s="208"/>
      <c r="D32" s="208"/>
      <c r="E32" s="208"/>
      <c r="F32" s="208"/>
      <c r="G32" s="232">
        <f>$G$16</f>
        <v>2019</v>
      </c>
      <c r="H32" s="255"/>
      <c r="I32" s="208"/>
      <c r="J32" s="208"/>
      <c r="K32" s="208"/>
      <c r="L32" s="208"/>
      <c r="M32" s="209">
        <f>M30-M$31</f>
        <v>1772.34</v>
      </c>
      <c r="N32" s="209">
        <f t="shared" ref="N32:Q32" si="0">N30-N$31</f>
        <v>1772.34</v>
      </c>
      <c r="O32" s="209">
        <f t="shared" si="0"/>
        <v>1772.34</v>
      </c>
      <c r="P32" s="209">
        <f t="shared" si="0"/>
        <v>1772.34</v>
      </c>
      <c r="Q32" s="209">
        <f t="shared" si="0"/>
        <v>1772.34</v>
      </c>
    </row>
    <row r="33" spans="1:22" x14ac:dyDescent="0.2">
      <c r="B33" s="110"/>
      <c r="C33" s="110"/>
      <c r="D33" s="110"/>
      <c r="E33" s="110"/>
      <c r="F33" s="110"/>
      <c r="G33" s="233"/>
      <c r="H33" s="248"/>
      <c r="I33" s="110"/>
      <c r="J33" s="110"/>
      <c r="K33" s="110"/>
      <c r="L33" s="110"/>
      <c r="M33" s="212"/>
      <c r="N33" s="212"/>
      <c r="O33" s="212"/>
      <c r="P33" s="212"/>
      <c r="Q33" s="212"/>
    </row>
    <row r="34" spans="1:22" x14ac:dyDescent="0.2">
      <c r="B34" s="1" t="s">
        <v>107</v>
      </c>
      <c r="C34" s="110"/>
      <c r="G34" s="181">
        <f>$G$16</f>
        <v>2019</v>
      </c>
      <c r="M34" s="104">
        <f>($D$18/5*$D$23)+L34</f>
        <v>3.1304915151515149</v>
      </c>
      <c r="N34" s="104">
        <f>$D$18/5*$D$23+M34</f>
        <v>6.2609830303030298</v>
      </c>
      <c r="O34" s="104">
        <f>$D$18/5*$D$23+N34</f>
        <v>9.3914745454545443</v>
      </c>
      <c r="P34" s="104">
        <f>$D$18/5*$D$23+O34</f>
        <v>12.52196606060606</v>
      </c>
      <c r="Q34" s="104">
        <f>$D$18/5*$D$23+P34</f>
        <v>15.652457575757575</v>
      </c>
    </row>
    <row r="35" spans="1:22" x14ac:dyDescent="0.2">
      <c r="B35" s="208" t="s">
        <v>108</v>
      </c>
      <c r="C35" s="208"/>
      <c r="D35" s="208"/>
      <c r="E35" s="208"/>
      <c r="F35" s="208"/>
      <c r="G35" s="232">
        <f>$G$16</f>
        <v>2019</v>
      </c>
      <c r="H35" s="255"/>
      <c r="I35" s="208"/>
      <c r="J35" s="208"/>
      <c r="K35" s="208"/>
      <c r="L35" s="208"/>
      <c r="M35" s="209">
        <f>M32-M34</f>
        <v>1769.2095084848484</v>
      </c>
      <c r="N35" s="209">
        <f t="shared" ref="N35:Q35" si="1">N32-N34</f>
        <v>1766.0790169696968</v>
      </c>
      <c r="O35" s="209">
        <f t="shared" si="1"/>
        <v>1762.9485254545455</v>
      </c>
      <c r="P35" s="209">
        <f t="shared" si="1"/>
        <v>1759.8180339393939</v>
      </c>
      <c r="Q35" s="209">
        <f t="shared" si="1"/>
        <v>1756.6875424242423</v>
      </c>
    </row>
    <row r="37" spans="1:22" x14ac:dyDescent="0.2">
      <c r="B37" s="5" t="s">
        <v>128</v>
      </c>
    </row>
    <row r="38" spans="1:22" x14ac:dyDescent="0.2">
      <c r="B38" s="1" t="s">
        <v>105</v>
      </c>
      <c r="G38" s="181">
        <f>$G$16</f>
        <v>2019</v>
      </c>
      <c r="M38" s="104">
        <f>$D$18/5*$D$25+$D$21*$D$25</f>
        <v>3381.84</v>
      </c>
      <c r="N38" s="104">
        <f>$D$18/5*$D$25+$D$21*$D$25</f>
        <v>3381.84</v>
      </c>
      <c r="O38" s="104">
        <f>$D$18/5*$D$25+$D$21*$D$25</f>
        <v>3381.84</v>
      </c>
      <c r="P38" s="104">
        <f>$D$18/5*$D$25+$D$21*$D$25</f>
        <v>3381.84</v>
      </c>
      <c r="Q38" s="104">
        <f>$D$18/5*$D$25+$D$21*$D$25</f>
        <v>3381.84</v>
      </c>
    </row>
    <row r="39" spans="1:22" x14ac:dyDescent="0.2">
      <c r="B39" s="211" t="s">
        <v>212</v>
      </c>
      <c r="G39" s="181">
        <f>$G$16</f>
        <v>2019</v>
      </c>
      <c r="J39" s="100"/>
      <c r="M39" s="104">
        <f>$D$21*$D$24</f>
        <v>1297.5</v>
      </c>
      <c r="N39" s="104">
        <f>$D$21*$D$24</f>
        <v>1297.5</v>
      </c>
      <c r="O39" s="104">
        <f>$D$21*$D$24</f>
        <v>1297.5</v>
      </c>
      <c r="P39" s="104">
        <f>$D$21*$D$24</f>
        <v>1297.5</v>
      </c>
      <c r="Q39" s="104">
        <f>$D$21*$D$24</f>
        <v>1297.5</v>
      </c>
      <c r="S39" s="210"/>
      <c r="T39" s="106"/>
      <c r="U39" s="106"/>
      <c r="V39" s="106"/>
    </row>
    <row r="40" spans="1:22" x14ac:dyDescent="0.2">
      <c r="B40" s="211" t="s">
        <v>213</v>
      </c>
      <c r="G40" s="181"/>
      <c r="J40" s="100"/>
      <c r="M40" s="104">
        <f>$D$20*$D$24</f>
        <v>52.5</v>
      </c>
      <c r="N40" s="104">
        <f>$D$20*$D$24</f>
        <v>52.5</v>
      </c>
      <c r="O40" s="104">
        <f>$D$20*$D$24</f>
        <v>52.5</v>
      </c>
      <c r="P40" s="104">
        <f>$D$20*$D$24</f>
        <v>52.5</v>
      </c>
      <c r="Q40" s="104">
        <f>$D$20*$D$24</f>
        <v>52.5</v>
      </c>
      <c r="S40" s="210"/>
      <c r="T40" s="106"/>
      <c r="U40" s="106"/>
      <c r="V40" s="106"/>
    </row>
    <row r="41" spans="1:22" x14ac:dyDescent="0.2">
      <c r="B41" s="1" t="s">
        <v>106</v>
      </c>
      <c r="G41" s="181">
        <f>$G$16</f>
        <v>2019</v>
      </c>
      <c r="M41" s="104">
        <f>M38-SUM(M$39:M$40)</f>
        <v>2031.8400000000001</v>
      </c>
      <c r="N41" s="104">
        <f t="shared" ref="N41:Q41" si="2">N38-SUM(N$39:N$40)</f>
        <v>2031.8400000000001</v>
      </c>
      <c r="O41" s="104">
        <f t="shared" si="2"/>
        <v>2031.8400000000001</v>
      </c>
      <c r="P41" s="104">
        <f t="shared" si="2"/>
        <v>2031.8400000000001</v>
      </c>
      <c r="Q41" s="104">
        <f t="shared" si="2"/>
        <v>2031.8400000000001</v>
      </c>
    </row>
    <row r="42" spans="1:22" x14ac:dyDescent="0.2">
      <c r="B42" s="1" t="s">
        <v>107</v>
      </c>
      <c r="G42" s="181">
        <f>$G$16</f>
        <v>2019</v>
      </c>
      <c r="M42" s="106">
        <f>($D$21+$D$18/5)*$D$23+L42</f>
        <v>5.8015066666666666</v>
      </c>
      <c r="N42" s="106">
        <f>($D$21+$D$18/5)*$D$23+M42</f>
        <v>11.603013333333333</v>
      </c>
      <c r="O42" s="106">
        <f>($D$21+$D$18/5)*$D$23+N42</f>
        <v>17.404519999999998</v>
      </c>
      <c r="P42" s="106">
        <f>($D$21+$D$18/5)*$D$23+O42</f>
        <v>23.206026666666666</v>
      </c>
      <c r="Q42" s="106">
        <f>($D$21+$D$18/5)*$D$23+P42</f>
        <v>29.007533333333335</v>
      </c>
    </row>
    <row r="43" spans="1:22" x14ac:dyDescent="0.2">
      <c r="B43" s="1" t="s">
        <v>108</v>
      </c>
      <c r="G43" s="181">
        <f>$G$16</f>
        <v>2019</v>
      </c>
      <c r="M43" s="106">
        <f>M41-M42</f>
        <v>2026.0384933333335</v>
      </c>
      <c r="N43" s="106">
        <f t="shared" ref="N43:Q43" si="3">N41-N42</f>
        <v>2020.2369866666668</v>
      </c>
      <c r="O43" s="106">
        <f t="shared" si="3"/>
        <v>2014.4354800000001</v>
      </c>
      <c r="P43" s="106">
        <f t="shared" si="3"/>
        <v>2008.6339733333334</v>
      </c>
      <c r="Q43" s="106">
        <f t="shared" si="3"/>
        <v>2002.8324666666667</v>
      </c>
    </row>
    <row r="44" spans="1:22" x14ac:dyDescent="0.2">
      <c r="J44" s="9"/>
      <c r="K44" s="9"/>
      <c r="L44" s="9"/>
      <c r="M44" s="9"/>
      <c r="N44" s="9"/>
      <c r="O44" s="9"/>
      <c r="P44" s="9"/>
      <c r="Q44" s="9"/>
    </row>
    <row r="45" spans="1:22" x14ac:dyDescent="0.2">
      <c r="L45" s="9"/>
      <c r="M45" s="9"/>
      <c r="N45" s="9"/>
      <c r="O45" s="9"/>
      <c r="P45" s="9"/>
      <c r="Q45" s="9"/>
    </row>
    <row r="46" spans="1:22" x14ac:dyDescent="0.2">
      <c r="A46" s="2" t="s">
        <v>198</v>
      </c>
      <c r="B46" s="2"/>
      <c r="C46" s="2"/>
      <c r="D46" s="2"/>
      <c r="E46" s="2"/>
      <c r="F46" s="2"/>
      <c r="G46" s="229"/>
      <c r="H46" s="229"/>
      <c r="I46" s="2"/>
      <c r="J46" s="7"/>
      <c r="K46" s="7">
        <v>2019</v>
      </c>
      <c r="L46" s="7">
        <v>2020</v>
      </c>
      <c r="M46" s="7" t="s">
        <v>48</v>
      </c>
      <c r="N46" s="7" t="s">
        <v>49</v>
      </c>
      <c r="O46" s="7" t="s">
        <v>50</v>
      </c>
      <c r="P46" s="7" t="s">
        <v>51</v>
      </c>
      <c r="Q46" s="7" t="s">
        <v>52</v>
      </c>
      <c r="S46" s="7" t="s">
        <v>135</v>
      </c>
    </row>
    <row r="47" spans="1:22" s="14" customFormat="1" x14ac:dyDescent="0.2">
      <c r="A47" s="12"/>
      <c r="B47" s="12"/>
      <c r="C47" s="12"/>
      <c r="D47" s="12"/>
      <c r="E47" s="12"/>
      <c r="F47" s="12"/>
      <c r="G47" s="234"/>
      <c r="H47" s="234"/>
      <c r="I47" s="12"/>
      <c r="J47" s="12"/>
      <c r="K47" s="12"/>
      <c r="L47" s="12"/>
      <c r="M47" s="12"/>
      <c r="N47" s="12"/>
      <c r="O47" s="12"/>
      <c r="P47" s="12"/>
      <c r="Q47" s="12"/>
      <c r="R47" s="1"/>
      <c r="S47" s="219"/>
    </row>
    <row r="49" spans="1:19" x14ac:dyDescent="0.2">
      <c r="B49" s="195" t="s">
        <v>202</v>
      </c>
      <c r="C49" s="195"/>
      <c r="D49" s="195"/>
      <c r="E49" s="195"/>
      <c r="F49" s="195"/>
      <c r="G49" s="230" t="s">
        <v>200</v>
      </c>
      <c r="H49" s="256"/>
      <c r="I49" s="195"/>
      <c r="J49" s="195"/>
      <c r="K49" s="195"/>
      <c r="L49" s="196"/>
      <c r="M49" s="196">
        <f>M43</f>
        <v>2026.0384933333335</v>
      </c>
      <c r="N49" s="196">
        <f>N43</f>
        <v>2020.2369866666668</v>
      </c>
      <c r="O49" s="196">
        <f>O43</f>
        <v>2014.4354800000001</v>
      </c>
      <c r="P49" s="196">
        <f>P43</f>
        <v>2008.6339733333334</v>
      </c>
      <c r="Q49" s="196">
        <f>Q43</f>
        <v>2002.8324666666667</v>
      </c>
      <c r="S49" s="219">
        <f>SUM(M49:Q49)</f>
        <v>10072.1774</v>
      </c>
    </row>
    <row r="50" spans="1:19" x14ac:dyDescent="0.2">
      <c r="B50" s="216" t="str">
        <f ca="1">"Total: "&amp;$A$1&amp;" "&amp;$A$2</f>
        <v>Total: Powercor Replacing EDO fuses</v>
      </c>
      <c r="C50" s="216"/>
      <c r="D50" s="216"/>
      <c r="E50" s="216"/>
      <c r="F50" s="216"/>
      <c r="G50" s="231" t="str">
        <f>"$k"&amp;" $"&amp;Year_of_Currency</f>
        <v>$k $2020/21</v>
      </c>
      <c r="H50" s="240"/>
      <c r="I50" s="216"/>
      <c r="J50" s="216"/>
      <c r="K50" s="216"/>
      <c r="L50" s="217"/>
      <c r="M50" s="217">
        <f>M49*INDEX(Assumptions!$F$20:$F$22,MATCH($G$16,Assumptions!$D$20:$D$22,0))</f>
        <v>2112.0195228392422</v>
      </c>
      <c r="N50" s="217">
        <f>N49*INDEX(Assumptions!$F$20:$F$22,MATCH($G$16,Assumptions!$D$20:$D$22,0))</f>
        <v>2105.9718118099604</v>
      </c>
      <c r="O50" s="217">
        <f>O49*INDEX(Assumptions!$F$20:$F$22,MATCH($G$16,Assumptions!$D$20:$D$22,0))</f>
        <v>2099.9241007806781</v>
      </c>
      <c r="P50" s="217">
        <f>P49*INDEX(Assumptions!$F$20:$F$22,MATCH($G$16,Assumptions!$D$20:$D$22,0))</f>
        <v>2093.8763897513963</v>
      </c>
      <c r="Q50" s="217">
        <f>Q49*INDEX(Assumptions!$F$20:$F$22,MATCH($G$16,Assumptions!$D$20:$D$22,0))</f>
        <v>2087.8286787221141</v>
      </c>
      <c r="S50" s="217">
        <f>SUM(M50:Q50)</f>
        <v>10499.620503903392</v>
      </c>
    </row>
    <row r="51" spans="1:19" x14ac:dyDescent="0.2">
      <c r="J51" s="9"/>
      <c r="K51" s="9"/>
      <c r="L51" s="9"/>
      <c r="M51" s="9"/>
      <c r="N51" s="9"/>
      <c r="O51" s="9"/>
      <c r="P51" s="9"/>
      <c r="Q51" s="9"/>
      <c r="S51" s="120"/>
    </row>
    <row r="52" spans="1:19" x14ac:dyDescent="0.2">
      <c r="J52" s="9"/>
      <c r="K52" s="9"/>
      <c r="L52" s="9"/>
      <c r="M52" s="9"/>
      <c r="N52" s="9"/>
      <c r="O52" s="9"/>
      <c r="P52" s="9"/>
      <c r="Q52" s="9"/>
      <c r="S52" s="120"/>
    </row>
    <row r="53" spans="1:19" x14ac:dyDescent="0.2">
      <c r="A53" s="2" t="s">
        <v>234</v>
      </c>
      <c r="B53" s="2"/>
      <c r="C53" s="2"/>
      <c r="D53" s="2"/>
      <c r="E53" s="2"/>
      <c r="F53" s="2"/>
      <c r="G53" s="229"/>
      <c r="H53" s="229"/>
      <c r="I53" s="2"/>
      <c r="J53" s="2"/>
      <c r="K53" s="7">
        <v>2019</v>
      </c>
      <c r="L53" s="7">
        <v>2020</v>
      </c>
      <c r="M53" s="7" t="s">
        <v>48</v>
      </c>
      <c r="N53" s="7" t="s">
        <v>49</v>
      </c>
      <c r="O53" s="7" t="s">
        <v>50</v>
      </c>
      <c r="P53" s="7" t="s">
        <v>51</v>
      </c>
      <c r="Q53" s="7" t="s">
        <v>52</v>
      </c>
      <c r="S53" s="7" t="s">
        <v>135</v>
      </c>
    </row>
    <row r="54" spans="1:19" x14ac:dyDescent="0.2">
      <c r="J54" s="120"/>
      <c r="K54" s="120"/>
      <c r="L54" s="120"/>
      <c r="M54" s="120"/>
      <c r="N54" s="120"/>
      <c r="O54" s="120"/>
      <c r="P54" s="120"/>
      <c r="Q54" s="120"/>
      <c r="S54" s="120"/>
    </row>
    <row r="55" spans="1:19" x14ac:dyDescent="0.2">
      <c r="B55" s="1" t="str">
        <f ca="1">"Powercor "&amp;$A$2 &amp;" allocated cost"</f>
        <v>Powercor Replacing EDO fuses allocated cost</v>
      </c>
      <c r="C55" s="226">
        <v>1</v>
      </c>
      <c r="G55" s="181" t="s">
        <v>201</v>
      </c>
      <c r="J55" s="120"/>
      <c r="K55" s="120"/>
      <c r="L55" s="120"/>
      <c r="M55" s="140">
        <f ca="1">M$50*IF(ISNUMBER($C55),$C55,INDIRECT($C55))</f>
        <v>2112.0195228392422</v>
      </c>
      <c r="N55" s="140">
        <f t="shared" ref="N55:Q55" ca="1" si="4">N$50*IF(ISNUMBER($C55),$C55,INDIRECT($C55))</f>
        <v>2105.9718118099604</v>
      </c>
      <c r="O55" s="140">
        <f t="shared" ca="1" si="4"/>
        <v>2099.9241007806781</v>
      </c>
      <c r="P55" s="140">
        <f t="shared" ca="1" si="4"/>
        <v>2093.8763897513963</v>
      </c>
      <c r="Q55" s="140">
        <f t="shared" ca="1" si="4"/>
        <v>2087.8286787221141</v>
      </c>
      <c r="S55" s="118">
        <f ca="1">SUM(M55:Q55)</f>
        <v>10499.620503903392</v>
      </c>
    </row>
    <row r="56" spans="1:19" x14ac:dyDescent="0.2">
      <c r="J56" s="120"/>
      <c r="K56" s="120"/>
      <c r="L56" s="120"/>
      <c r="M56" s="120"/>
      <c r="N56" s="120"/>
      <c r="O56" s="120"/>
      <c r="P56" s="120"/>
      <c r="Q56" s="120"/>
      <c r="S56" s="279"/>
    </row>
    <row r="57" spans="1:19" x14ac:dyDescent="0.2">
      <c r="B57" s="5" t="s">
        <v>224</v>
      </c>
      <c r="J57" s="120"/>
      <c r="K57" s="120"/>
      <c r="L57" s="120"/>
      <c r="M57" s="120"/>
      <c r="N57" s="120"/>
      <c r="O57" s="120"/>
      <c r="P57" s="120"/>
      <c r="Q57" s="120"/>
      <c r="S57" s="279"/>
    </row>
    <row r="58" spans="1:19" x14ac:dyDescent="0.2">
      <c r="B58" s="1" t="str">
        <f ca="1">"Powercor "&amp;$A$2</f>
        <v>Powercor Replacing EDO fuses</v>
      </c>
      <c r="C58" s="270" t="s">
        <v>225</v>
      </c>
      <c r="G58" s="181" t="s">
        <v>201</v>
      </c>
      <c r="J58" s="120"/>
      <c r="K58" s="120"/>
      <c r="L58" s="120"/>
      <c r="M58" s="140">
        <f ca="1">M55*INDEX(Assumptions!N$44:N$45, MATCH($C58, Assumptions!$E$44:$E$45,0))</f>
        <v>2178.9407185436485</v>
      </c>
      <c r="N58" s="140">
        <f ca="1">N55*INDEX(Assumptions!O$44:O$45, MATCH($C58, Assumptions!$E$44:$E$45,0))</f>
        <v>2208.855513093125</v>
      </c>
      <c r="O58" s="140">
        <f ca="1">O55*INDEX(Assumptions!P$44:P$45, MATCH($C58, Assumptions!$E$44:$E$45,0))</f>
        <v>2238.9577716257627</v>
      </c>
      <c r="P58" s="140">
        <f ca="1">P55*INDEX(Assumptions!Q$44:Q$45, MATCH($C58, Assumptions!$E$44:$E$45,0))</f>
        <v>2265.1214207397243</v>
      </c>
      <c r="Q58" s="140">
        <f ca="1">Q55*INDEX(Assumptions!R$44:R$45, MATCH($C58, Assumptions!$E$44:$E$45,0))</f>
        <v>2288.234318111527</v>
      </c>
      <c r="S58" s="118">
        <f ca="1">SUM(M58:Q58)</f>
        <v>11180.109742113787</v>
      </c>
    </row>
    <row r="59" spans="1:19" x14ac:dyDescent="0.2">
      <c r="C59" s="270"/>
      <c r="G59" s="181"/>
      <c r="J59" s="120"/>
      <c r="K59" s="120"/>
      <c r="L59" s="120"/>
      <c r="M59" s="140"/>
      <c r="N59" s="140"/>
      <c r="O59" s="140"/>
      <c r="P59" s="140"/>
      <c r="Q59" s="140"/>
      <c r="S59" s="118"/>
    </row>
    <row r="60" spans="1:19" x14ac:dyDescent="0.2">
      <c r="J60" s="120"/>
      <c r="K60" s="120"/>
      <c r="L60" s="120"/>
      <c r="M60" s="120"/>
      <c r="N60" s="120"/>
      <c r="O60" s="120"/>
      <c r="P60" s="120"/>
      <c r="Q60" s="120"/>
    </row>
    <row r="61" spans="1:19" x14ac:dyDescent="0.2">
      <c r="J61" s="9"/>
      <c r="K61" s="9"/>
      <c r="L61" s="9"/>
      <c r="M61" s="9"/>
      <c r="N61" s="9"/>
      <c r="O61" s="9"/>
      <c r="P61" s="9"/>
      <c r="Q61" s="9"/>
    </row>
    <row r="62" spans="1:19" x14ac:dyDescent="0.2">
      <c r="J62" s="9"/>
      <c r="K62" s="9"/>
      <c r="L62" s="9"/>
      <c r="M62" s="9"/>
      <c r="N62" s="9"/>
      <c r="O62" s="9"/>
      <c r="P62" s="9"/>
      <c r="Q62" s="9"/>
    </row>
    <row r="63" spans="1:19" x14ac:dyDescent="0.2">
      <c r="J63" s="9"/>
      <c r="K63" s="9"/>
      <c r="L63" s="9"/>
      <c r="M63" s="9"/>
      <c r="N63" s="9"/>
      <c r="O63" s="9"/>
      <c r="P63" s="9"/>
      <c r="Q63" s="9"/>
    </row>
    <row r="64" spans="1:19" x14ac:dyDescent="0.2">
      <c r="J64" s="9"/>
      <c r="K64" s="9"/>
      <c r="L64" s="9"/>
      <c r="M64" s="9"/>
      <c r="N64" s="9"/>
      <c r="O64" s="9"/>
      <c r="P64" s="9"/>
      <c r="Q64" s="9"/>
    </row>
    <row r="65" spans="10:17" x14ac:dyDescent="0.2">
      <c r="J65" s="9"/>
      <c r="K65" s="9"/>
      <c r="L65" s="9"/>
      <c r="M65" s="9"/>
      <c r="N65" s="9"/>
      <c r="O65" s="9"/>
      <c r="P65" s="9"/>
      <c r="Q65" s="9"/>
    </row>
    <row r="66" spans="10:17" x14ac:dyDescent="0.2">
      <c r="J66" s="9"/>
      <c r="K66" s="9"/>
      <c r="L66" s="9"/>
      <c r="M66" s="9"/>
      <c r="N66" s="9"/>
      <c r="O66" s="9"/>
      <c r="P66" s="9"/>
      <c r="Q66" s="9"/>
    </row>
    <row r="67" spans="10:17" x14ac:dyDescent="0.2">
      <c r="J67" s="9"/>
      <c r="K67" s="9"/>
      <c r="L67" s="9"/>
      <c r="M67" s="9"/>
      <c r="N67" s="9"/>
      <c r="O67" s="9"/>
      <c r="P67" s="9"/>
      <c r="Q67" s="9"/>
    </row>
    <row r="68" spans="10:17" x14ac:dyDescent="0.2">
      <c r="J68" s="9"/>
      <c r="K68" s="9"/>
      <c r="L68" s="9"/>
      <c r="M68" s="9"/>
      <c r="N68" s="9"/>
      <c r="O68" s="9"/>
      <c r="P68" s="9"/>
      <c r="Q68" s="9"/>
    </row>
    <row r="69" spans="10:17" x14ac:dyDescent="0.2">
      <c r="J69" s="9"/>
      <c r="K69" s="9"/>
      <c r="L69" s="9"/>
      <c r="M69" s="9"/>
      <c r="N69" s="9"/>
      <c r="O69" s="9"/>
      <c r="P69" s="9"/>
      <c r="Q69" s="9"/>
    </row>
    <row r="70" spans="10:17" x14ac:dyDescent="0.2">
      <c r="J70" s="9"/>
      <c r="K70" s="9"/>
      <c r="L70" s="9"/>
      <c r="M70" s="9"/>
      <c r="N70" s="9"/>
      <c r="O70" s="9"/>
      <c r="P70" s="9"/>
      <c r="Q70" s="9"/>
    </row>
    <row r="71" spans="10:17" x14ac:dyDescent="0.2">
      <c r="J71" s="9"/>
      <c r="K71" s="9"/>
      <c r="L71" s="9"/>
      <c r="M71" s="9"/>
      <c r="N71" s="9"/>
      <c r="O71" s="9"/>
      <c r="P71" s="9"/>
      <c r="Q71" s="9"/>
    </row>
    <row r="72" spans="10:17" x14ac:dyDescent="0.2">
      <c r="J72" s="9"/>
      <c r="K72" s="9"/>
      <c r="L72" s="9"/>
      <c r="M72" s="9"/>
      <c r="N72" s="9"/>
      <c r="O72" s="9"/>
      <c r="P72" s="9"/>
      <c r="Q72" s="9"/>
    </row>
    <row r="73" spans="10:17" x14ac:dyDescent="0.2">
      <c r="J73" s="9"/>
      <c r="K73" s="9"/>
      <c r="L73" s="9"/>
      <c r="M73" s="9"/>
      <c r="N73" s="9"/>
      <c r="O73" s="9"/>
      <c r="P73" s="9"/>
      <c r="Q73" s="9"/>
    </row>
    <row r="74" spans="10:17" x14ac:dyDescent="0.2">
      <c r="J74" s="9"/>
      <c r="K74" s="9"/>
      <c r="L74" s="9"/>
      <c r="M74" s="9"/>
      <c r="N74" s="9"/>
      <c r="O74" s="9"/>
      <c r="P74" s="9"/>
      <c r="Q74" s="9"/>
    </row>
    <row r="75" spans="10:17" x14ac:dyDescent="0.2">
      <c r="J75" s="9"/>
      <c r="K75" s="9"/>
      <c r="L75" s="9"/>
      <c r="M75" s="9"/>
      <c r="N75" s="9"/>
      <c r="O75" s="9"/>
      <c r="P75" s="9"/>
      <c r="Q75" s="9"/>
    </row>
    <row r="76" spans="10:17" x14ac:dyDescent="0.2">
      <c r="J76" s="9"/>
      <c r="K76" s="9"/>
      <c r="L76" s="9"/>
      <c r="M76" s="9"/>
      <c r="N76" s="9"/>
      <c r="O76" s="9"/>
      <c r="P76" s="9"/>
      <c r="Q76" s="9"/>
    </row>
    <row r="77" spans="10:17" x14ac:dyDescent="0.2">
      <c r="J77" s="9"/>
      <c r="K77" s="9"/>
      <c r="L77" s="9"/>
      <c r="M77" s="9"/>
      <c r="N77" s="9"/>
      <c r="O77" s="9"/>
      <c r="P77" s="9"/>
      <c r="Q77" s="9"/>
    </row>
    <row r="78" spans="10:17" x14ac:dyDescent="0.2">
      <c r="J78" s="9"/>
      <c r="K78" s="9"/>
      <c r="L78" s="9"/>
      <c r="M78" s="9"/>
      <c r="N78" s="9"/>
      <c r="O78" s="9"/>
      <c r="P78" s="9"/>
      <c r="Q78" s="9"/>
    </row>
    <row r="79" spans="10:17" x14ac:dyDescent="0.2">
      <c r="J79" s="9"/>
      <c r="K79" s="9"/>
      <c r="L79" s="9"/>
      <c r="M79" s="9"/>
      <c r="N79" s="9"/>
      <c r="O79" s="9"/>
      <c r="P79" s="9"/>
      <c r="Q79" s="9"/>
    </row>
    <row r="80" spans="10:17" x14ac:dyDescent="0.2">
      <c r="J80" s="9"/>
      <c r="K80" s="9"/>
      <c r="L80" s="9"/>
      <c r="M80" s="9"/>
      <c r="N80" s="9"/>
      <c r="O80" s="9"/>
      <c r="P80" s="9"/>
      <c r="Q80" s="9"/>
    </row>
    <row r="81" spans="10:17" x14ac:dyDescent="0.2">
      <c r="J81" s="9"/>
      <c r="K81" s="9"/>
      <c r="L81" s="9"/>
      <c r="M81" s="9"/>
      <c r="N81" s="9"/>
      <c r="O81" s="9"/>
      <c r="P81" s="9"/>
      <c r="Q81" s="9"/>
    </row>
    <row r="82" spans="10:17" x14ac:dyDescent="0.2">
      <c r="J82" s="9"/>
      <c r="K82" s="9"/>
      <c r="L82" s="9"/>
      <c r="M82" s="9"/>
      <c r="N82" s="9"/>
      <c r="O82" s="9"/>
      <c r="P82" s="9"/>
      <c r="Q82" s="9"/>
    </row>
    <row r="83" spans="10:17" x14ac:dyDescent="0.2">
      <c r="J83" s="9"/>
      <c r="K83" s="9"/>
      <c r="L83" s="9"/>
      <c r="M83" s="9"/>
      <c r="N83" s="9"/>
      <c r="O83" s="9"/>
      <c r="P83" s="9"/>
      <c r="Q83" s="9"/>
    </row>
    <row r="84" spans="10:17" x14ac:dyDescent="0.2">
      <c r="J84" s="9"/>
      <c r="K84" s="9"/>
      <c r="L84" s="9"/>
      <c r="M84" s="9"/>
      <c r="N84" s="9"/>
      <c r="O84" s="9"/>
      <c r="P84" s="9"/>
      <c r="Q84" s="9"/>
    </row>
    <row r="85" spans="10:17" x14ac:dyDescent="0.2">
      <c r="J85" s="9"/>
      <c r="K85" s="9"/>
      <c r="L85" s="9"/>
      <c r="M85" s="9"/>
      <c r="N85" s="9"/>
      <c r="O85" s="9"/>
      <c r="P85" s="9"/>
      <c r="Q85" s="9"/>
    </row>
    <row r="86" spans="10:17" x14ac:dyDescent="0.2">
      <c r="J86" s="9"/>
      <c r="K86" s="9"/>
      <c r="L86" s="9"/>
      <c r="M86" s="9"/>
      <c r="N86" s="9"/>
      <c r="O86" s="9"/>
      <c r="P86" s="9"/>
      <c r="Q86" s="9"/>
    </row>
    <row r="87" spans="10:17" x14ac:dyDescent="0.2">
      <c r="J87" s="9"/>
      <c r="K87" s="9"/>
      <c r="L87" s="9"/>
      <c r="M87" s="9"/>
      <c r="N87" s="9"/>
      <c r="O87" s="9"/>
      <c r="P87" s="9"/>
      <c r="Q87" s="9"/>
    </row>
    <row r="88" spans="10:17" x14ac:dyDescent="0.2">
      <c r="J88" s="9"/>
      <c r="K88" s="9"/>
      <c r="L88" s="9"/>
      <c r="M88" s="9"/>
      <c r="N88" s="9"/>
      <c r="O88" s="9"/>
      <c r="P88" s="9"/>
      <c r="Q88" s="9"/>
    </row>
    <row r="89" spans="10:17" x14ac:dyDescent="0.2">
      <c r="J89" s="9"/>
      <c r="K89" s="9"/>
      <c r="L89" s="9"/>
      <c r="M89" s="9"/>
      <c r="N89" s="9"/>
      <c r="O89" s="9"/>
      <c r="P89" s="9"/>
      <c r="Q89" s="9"/>
    </row>
    <row r="90" spans="10:17" x14ac:dyDescent="0.2">
      <c r="J90" s="9"/>
      <c r="K90" s="9"/>
      <c r="L90" s="9"/>
      <c r="M90" s="9"/>
      <c r="N90" s="9"/>
      <c r="O90" s="9"/>
      <c r="P90" s="9"/>
      <c r="Q90" s="9"/>
    </row>
    <row r="91" spans="10:17" x14ac:dyDescent="0.2">
      <c r="J91" s="9"/>
      <c r="K91" s="9"/>
      <c r="L91" s="9"/>
      <c r="M91" s="9"/>
      <c r="N91" s="9"/>
      <c r="O91" s="9"/>
      <c r="P91" s="9"/>
      <c r="Q91" s="9"/>
    </row>
    <row r="92" spans="10:17" x14ac:dyDescent="0.2">
      <c r="J92" s="9"/>
      <c r="K92" s="9"/>
      <c r="L92" s="9"/>
      <c r="M92" s="9"/>
      <c r="N92" s="9"/>
      <c r="O92" s="9"/>
      <c r="P92" s="9"/>
      <c r="Q92" s="9"/>
    </row>
    <row r="93" spans="10:17" x14ac:dyDescent="0.2">
      <c r="J93" s="9"/>
      <c r="K93" s="9"/>
      <c r="L93" s="9"/>
      <c r="M93" s="9"/>
      <c r="N93" s="9"/>
      <c r="O93" s="9"/>
      <c r="P93" s="9"/>
      <c r="Q93" s="9"/>
    </row>
    <row r="94" spans="10:17" x14ac:dyDescent="0.2">
      <c r="J94" s="9"/>
      <c r="K94" s="9"/>
      <c r="L94" s="9"/>
      <c r="M94" s="9"/>
      <c r="N94" s="9"/>
      <c r="O94" s="9"/>
      <c r="P94" s="9"/>
      <c r="Q94" s="9"/>
    </row>
    <row r="95" spans="10:17" x14ac:dyDescent="0.2">
      <c r="J95" s="9"/>
      <c r="K95" s="9"/>
      <c r="L95" s="9"/>
      <c r="M95" s="9"/>
      <c r="N95" s="9"/>
      <c r="O95" s="9"/>
      <c r="P95" s="9"/>
      <c r="Q95" s="9"/>
    </row>
    <row r="96" spans="10:17" x14ac:dyDescent="0.2">
      <c r="J96" s="9"/>
      <c r="K96" s="9"/>
      <c r="L96" s="9"/>
      <c r="M96" s="9"/>
      <c r="N96" s="9"/>
      <c r="O96" s="9"/>
      <c r="P96" s="9"/>
      <c r="Q96" s="9"/>
    </row>
    <row r="97" spans="10:17" x14ac:dyDescent="0.2">
      <c r="J97" s="9"/>
      <c r="K97" s="9"/>
      <c r="L97" s="9"/>
      <c r="M97" s="9"/>
      <c r="N97" s="9"/>
      <c r="O97" s="9"/>
      <c r="P97" s="9"/>
      <c r="Q97" s="9"/>
    </row>
    <row r="98" spans="10:17" x14ac:dyDescent="0.2">
      <c r="J98" s="9"/>
      <c r="K98" s="9"/>
      <c r="L98" s="9"/>
      <c r="M98" s="9"/>
      <c r="N98" s="9"/>
      <c r="O98" s="9"/>
      <c r="P98" s="9"/>
      <c r="Q98" s="9"/>
    </row>
    <row r="99" spans="10:17" x14ac:dyDescent="0.2">
      <c r="J99" s="9"/>
      <c r="K99" s="9"/>
      <c r="L99" s="9"/>
      <c r="M99" s="9"/>
      <c r="N99" s="9"/>
      <c r="O99" s="9"/>
      <c r="P99" s="9"/>
      <c r="Q99" s="9"/>
    </row>
    <row r="100" spans="10:17" x14ac:dyDescent="0.2">
      <c r="J100" s="9"/>
      <c r="K100" s="9"/>
      <c r="L100" s="9"/>
      <c r="M100" s="9"/>
      <c r="N100" s="9"/>
      <c r="O100" s="9"/>
      <c r="P100" s="9"/>
      <c r="Q100" s="9"/>
    </row>
    <row r="101" spans="10:17" x14ac:dyDescent="0.2">
      <c r="J101" s="9"/>
      <c r="K101" s="9"/>
      <c r="L101" s="9"/>
      <c r="M101" s="9"/>
      <c r="N101" s="9"/>
      <c r="O101" s="9"/>
      <c r="P101" s="9"/>
      <c r="Q101" s="9"/>
    </row>
    <row r="102" spans="10:17" x14ac:dyDescent="0.2">
      <c r="J102" s="9"/>
      <c r="K102" s="9"/>
      <c r="L102" s="9"/>
      <c r="M102" s="9"/>
      <c r="N102" s="9"/>
      <c r="O102" s="9"/>
      <c r="P102" s="9"/>
      <c r="Q102" s="9"/>
    </row>
    <row r="103" spans="10:17" x14ac:dyDescent="0.2">
      <c r="J103" s="9"/>
      <c r="K103" s="9"/>
      <c r="L103" s="9"/>
      <c r="M103" s="9"/>
      <c r="N103" s="9"/>
      <c r="O103" s="9"/>
      <c r="P103" s="9"/>
      <c r="Q103" s="9"/>
    </row>
    <row r="104" spans="10:17" x14ac:dyDescent="0.2">
      <c r="J104" s="9"/>
      <c r="K104" s="9"/>
      <c r="L104" s="9"/>
      <c r="M104" s="9"/>
      <c r="N104" s="9"/>
      <c r="O104" s="9"/>
      <c r="P104" s="9"/>
      <c r="Q104" s="9"/>
    </row>
    <row r="105" spans="10:17" x14ac:dyDescent="0.2">
      <c r="J105" s="9"/>
      <c r="K105" s="9"/>
      <c r="L105" s="9"/>
      <c r="M105" s="9"/>
      <c r="N105" s="9"/>
      <c r="O105" s="9"/>
      <c r="P105" s="9"/>
      <c r="Q105" s="9"/>
    </row>
    <row r="106" spans="10:17" x14ac:dyDescent="0.2">
      <c r="J106" s="9"/>
      <c r="K106" s="9"/>
      <c r="L106" s="9"/>
      <c r="M106" s="9"/>
      <c r="N106" s="9"/>
      <c r="O106" s="9"/>
      <c r="P106" s="9"/>
      <c r="Q106" s="9"/>
    </row>
    <row r="107" spans="10:17" x14ac:dyDescent="0.2">
      <c r="J107" s="9"/>
      <c r="K107" s="9"/>
      <c r="L107" s="9"/>
      <c r="M107" s="9"/>
      <c r="N107" s="9"/>
      <c r="O107" s="9"/>
      <c r="P107" s="9"/>
      <c r="Q107" s="9"/>
    </row>
    <row r="108" spans="10:17" x14ac:dyDescent="0.2">
      <c r="J108" s="9"/>
      <c r="K108" s="9"/>
      <c r="L108" s="9"/>
      <c r="M108" s="9"/>
      <c r="N108" s="9"/>
      <c r="O108" s="9"/>
      <c r="P108" s="9"/>
      <c r="Q108" s="9"/>
    </row>
    <row r="109" spans="10:17" x14ac:dyDescent="0.2">
      <c r="J109" s="9"/>
      <c r="K109" s="9"/>
      <c r="L109" s="9"/>
      <c r="M109" s="9"/>
      <c r="N109" s="9"/>
      <c r="O109" s="9"/>
      <c r="P109" s="9"/>
      <c r="Q109" s="9"/>
    </row>
    <row r="110" spans="10:17" x14ac:dyDescent="0.2">
      <c r="J110" s="9"/>
      <c r="K110" s="9"/>
      <c r="L110" s="9"/>
      <c r="M110" s="9"/>
      <c r="N110" s="9"/>
      <c r="O110" s="9"/>
      <c r="P110" s="9"/>
      <c r="Q110" s="9"/>
    </row>
    <row r="111" spans="10:17" x14ac:dyDescent="0.2">
      <c r="J111" s="9"/>
      <c r="K111" s="9"/>
      <c r="L111" s="9"/>
      <c r="M111" s="9"/>
      <c r="N111" s="9"/>
      <c r="O111" s="9"/>
      <c r="P111" s="9"/>
      <c r="Q111" s="9"/>
    </row>
    <row r="112" spans="10:17" x14ac:dyDescent="0.2">
      <c r="J112" s="9"/>
      <c r="K112" s="9"/>
      <c r="L112" s="9"/>
      <c r="M112" s="9"/>
      <c r="N112" s="9"/>
      <c r="O112" s="9"/>
      <c r="P112" s="9"/>
      <c r="Q112" s="9"/>
    </row>
    <row r="113" spans="10:17" x14ac:dyDescent="0.2">
      <c r="J113" s="9"/>
      <c r="K113" s="9"/>
      <c r="L113" s="9"/>
      <c r="M113" s="9"/>
      <c r="N113" s="9"/>
      <c r="O113" s="9"/>
      <c r="P113" s="9"/>
      <c r="Q113" s="9"/>
    </row>
    <row r="114" spans="10:17" x14ac:dyDescent="0.2">
      <c r="J114" s="9"/>
      <c r="K114" s="9"/>
      <c r="L114" s="9"/>
      <c r="M114" s="9"/>
      <c r="N114" s="9"/>
      <c r="O114" s="9"/>
      <c r="P114" s="9"/>
      <c r="Q114" s="9"/>
    </row>
    <row r="115" spans="10:17" x14ac:dyDescent="0.2">
      <c r="J115" s="9"/>
      <c r="K115" s="9"/>
      <c r="L115" s="9"/>
      <c r="M115" s="9"/>
      <c r="N115" s="9"/>
      <c r="O115" s="9"/>
      <c r="P115" s="9"/>
      <c r="Q115" s="9"/>
    </row>
    <row r="116" spans="10:17" x14ac:dyDescent="0.2">
      <c r="J116" s="9"/>
      <c r="K116" s="9"/>
      <c r="L116" s="9"/>
      <c r="M116" s="9"/>
      <c r="N116" s="9"/>
      <c r="O116" s="9"/>
      <c r="P116" s="9"/>
      <c r="Q116" s="9"/>
    </row>
    <row r="117" spans="10:17" x14ac:dyDescent="0.2">
      <c r="J117" s="9"/>
      <c r="K117" s="9"/>
      <c r="L117" s="9"/>
      <c r="M117" s="9"/>
      <c r="N117" s="9"/>
      <c r="O117" s="9"/>
      <c r="P117" s="9"/>
      <c r="Q117" s="9"/>
    </row>
    <row r="118" spans="10:17" x14ac:dyDescent="0.2">
      <c r="J118" s="9"/>
      <c r="K118" s="9"/>
      <c r="L118" s="9"/>
      <c r="M118" s="9"/>
      <c r="N118" s="9"/>
      <c r="O118" s="9"/>
      <c r="P118" s="9"/>
      <c r="Q118" s="9"/>
    </row>
    <row r="119" spans="10:17" x14ac:dyDescent="0.2">
      <c r="J119" s="9"/>
      <c r="K119" s="9"/>
      <c r="L119" s="9"/>
      <c r="M119" s="9"/>
      <c r="N119" s="9"/>
      <c r="O119" s="9"/>
      <c r="P119" s="9"/>
      <c r="Q119" s="9"/>
    </row>
    <row r="120" spans="10:17" x14ac:dyDescent="0.2">
      <c r="J120" s="9"/>
      <c r="K120" s="9"/>
      <c r="L120" s="9"/>
      <c r="M120" s="9"/>
      <c r="N120" s="9"/>
      <c r="O120" s="9"/>
      <c r="P120" s="9"/>
      <c r="Q120" s="9"/>
    </row>
    <row r="121" spans="10:17" x14ac:dyDescent="0.2">
      <c r="J121" s="9"/>
      <c r="K121" s="9"/>
      <c r="L121" s="9"/>
      <c r="M121" s="9"/>
      <c r="N121" s="9"/>
      <c r="O121" s="9"/>
      <c r="P121" s="9"/>
      <c r="Q121" s="9"/>
    </row>
    <row r="122" spans="10:17" x14ac:dyDescent="0.2">
      <c r="J122" s="9"/>
      <c r="K122" s="9"/>
      <c r="L122" s="9"/>
      <c r="M122" s="9"/>
      <c r="N122" s="9"/>
      <c r="O122" s="9"/>
      <c r="P122" s="9"/>
      <c r="Q122" s="9"/>
    </row>
    <row r="123" spans="10:17" x14ac:dyDescent="0.2">
      <c r="J123" s="9"/>
      <c r="K123" s="9"/>
      <c r="L123" s="9"/>
      <c r="M123" s="9"/>
      <c r="N123" s="9"/>
      <c r="O123" s="9"/>
      <c r="P123" s="9"/>
      <c r="Q123" s="9"/>
    </row>
    <row r="124" spans="10:17" x14ac:dyDescent="0.2">
      <c r="J124" s="9"/>
      <c r="K124" s="9"/>
      <c r="L124" s="9"/>
      <c r="M124" s="9"/>
      <c r="N124" s="9"/>
      <c r="O124" s="9"/>
      <c r="P124" s="9"/>
      <c r="Q124" s="9"/>
    </row>
    <row r="125" spans="10:17" x14ac:dyDescent="0.2">
      <c r="J125" s="9"/>
      <c r="K125" s="9"/>
      <c r="L125" s="9"/>
      <c r="M125" s="9"/>
      <c r="N125" s="9"/>
      <c r="O125" s="9"/>
      <c r="P125" s="9"/>
      <c r="Q125" s="9"/>
    </row>
    <row r="126" spans="10:17" x14ac:dyDescent="0.2">
      <c r="J126" s="9"/>
      <c r="K126" s="9"/>
      <c r="L126" s="9"/>
      <c r="M126" s="9"/>
      <c r="N126" s="9"/>
      <c r="O126" s="9"/>
      <c r="P126" s="9"/>
      <c r="Q126" s="9"/>
    </row>
    <row r="127" spans="10:17" x14ac:dyDescent="0.2">
      <c r="J127" s="9"/>
      <c r="K127" s="9"/>
      <c r="L127" s="9"/>
      <c r="M127" s="9"/>
      <c r="N127" s="9"/>
      <c r="O127" s="9"/>
      <c r="P127" s="9"/>
      <c r="Q127" s="9"/>
    </row>
    <row r="128" spans="10:17" x14ac:dyDescent="0.2">
      <c r="J128" s="9"/>
      <c r="K128" s="9"/>
      <c r="L128" s="9"/>
      <c r="M128" s="9"/>
      <c r="N128" s="9"/>
      <c r="O128" s="9"/>
      <c r="P128" s="9"/>
      <c r="Q128" s="9"/>
    </row>
    <row r="129" spans="10:17" x14ac:dyDescent="0.2">
      <c r="J129" s="9"/>
      <c r="K129" s="9"/>
      <c r="L129" s="9"/>
      <c r="M129" s="9"/>
      <c r="N129" s="9"/>
      <c r="O129" s="9"/>
      <c r="P129" s="9"/>
      <c r="Q129" s="9"/>
    </row>
    <row r="130" spans="10:17" x14ac:dyDescent="0.2">
      <c r="J130" s="9"/>
      <c r="K130" s="9"/>
      <c r="L130" s="9"/>
      <c r="M130" s="9"/>
      <c r="N130" s="9"/>
      <c r="O130" s="9"/>
      <c r="P130" s="9"/>
      <c r="Q130" s="9"/>
    </row>
    <row r="131" spans="10:17" x14ac:dyDescent="0.2">
      <c r="J131" s="9"/>
      <c r="K131" s="9"/>
      <c r="L131" s="9"/>
      <c r="M131" s="9"/>
      <c r="N131" s="9"/>
      <c r="O131" s="9"/>
      <c r="P131" s="9"/>
      <c r="Q131" s="9"/>
    </row>
    <row r="132" spans="10:17" x14ac:dyDescent="0.2">
      <c r="J132" s="9"/>
      <c r="K132" s="9"/>
      <c r="L132" s="9"/>
      <c r="M132" s="9"/>
      <c r="N132" s="9"/>
      <c r="O132" s="9"/>
      <c r="P132" s="9"/>
      <c r="Q132" s="9"/>
    </row>
    <row r="133" spans="10:17" x14ac:dyDescent="0.2">
      <c r="J133" s="9"/>
      <c r="K133" s="9"/>
      <c r="L133" s="9"/>
      <c r="M133" s="9"/>
      <c r="N133" s="9"/>
      <c r="O133" s="9"/>
      <c r="P133" s="9"/>
      <c r="Q133" s="9"/>
    </row>
    <row r="134" spans="10:17" x14ac:dyDescent="0.2">
      <c r="J134" s="9"/>
      <c r="K134" s="9"/>
      <c r="L134" s="9"/>
      <c r="M134" s="9"/>
      <c r="N134" s="9"/>
      <c r="O134" s="9"/>
      <c r="P134" s="9"/>
      <c r="Q134" s="9"/>
    </row>
    <row r="135" spans="10:17" x14ac:dyDescent="0.2">
      <c r="J135" s="9"/>
      <c r="K135" s="9"/>
      <c r="L135" s="9"/>
      <c r="M135" s="9"/>
      <c r="N135" s="9"/>
      <c r="O135" s="9"/>
      <c r="P135" s="9"/>
      <c r="Q135" s="9"/>
    </row>
    <row r="136" spans="10:17" x14ac:dyDescent="0.2">
      <c r="J136" s="9"/>
      <c r="K136" s="9"/>
      <c r="L136" s="9"/>
      <c r="M136" s="9"/>
      <c r="N136" s="9"/>
      <c r="O136" s="9"/>
      <c r="P136" s="9"/>
      <c r="Q136" s="9"/>
    </row>
    <row r="137" spans="10:17" x14ac:dyDescent="0.2">
      <c r="J137" s="9"/>
      <c r="K137" s="9"/>
      <c r="L137" s="9"/>
      <c r="M137" s="9"/>
      <c r="N137" s="9"/>
      <c r="O137" s="9"/>
      <c r="P137" s="9"/>
      <c r="Q137" s="9"/>
    </row>
    <row r="138" spans="10:17" x14ac:dyDescent="0.2">
      <c r="J138" s="9"/>
      <c r="K138" s="9"/>
      <c r="L138" s="9"/>
      <c r="M138" s="9"/>
      <c r="N138" s="9"/>
      <c r="O138" s="9"/>
      <c r="P138" s="9"/>
      <c r="Q138" s="9"/>
    </row>
    <row r="139" spans="10:17" x14ac:dyDescent="0.2">
      <c r="J139" s="9"/>
      <c r="K139" s="9"/>
      <c r="L139" s="9"/>
      <c r="M139" s="9"/>
      <c r="N139" s="9"/>
      <c r="O139" s="9"/>
      <c r="P139" s="9"/>
      <c r="Q139" s="9"/>
    </row>
    <row r="140" spans="10:17" x14ac:dyDescent="0.2">
      <c r="J140" s="9"/>
      <c r="K140" s="9"/>
      <c r="L140" s="9"/>
      <c r="M140" s="9"/>
      <c r="N140" s="9"/>
      <c r="O140" s="9"/>
      <c r="P140" s="9"/>
      <c r="Q140" s="9"/>
    </row>
    <row r="141" spans="10:17" x14ac:dyDescent="0.2">
      <c r="J141" s="9"/>
      <c r="K141" s="9"/>
      <c r="L141" s="9"/>
      <c r="M141" s="9"/>
      <c r="N141" s="9"/>
      <c r="O141" s="9"/>
      <c r="P141" s="9"/>
      <c r="Q141" s="9"/>
    </row>
    <row r="142" spans="10:17" x14ac:dyDescent="0.2">
      <c r="J142" s="9"/>
      <c r="K142" s="9"/>
      <c r="L142" s="9"/>
      <c r="M142" s="9"/>
      <c r="N142" s="9"/>
      <c r="O142" s="9"/>
      <c r="P142" s="9"/>
      <c r="Q142" s="9"/>
    </row>
    <row r="143" spans="10:17" x14ac:dyDescent="0.2">
      <c r="J143" s="9"/>
      <c r="K143" s="9"/>
      <c r="L143" s="9"/>
      <c r="M143" s="9"/>
      <c r="N143" s="9"/>
      <c r="O143" s="9"/>
      <c r="P143" s="9"/>
      <c r="Q143" s="9"/>
    </row>
    <row r="144" spans="10:17" x14ac:dyDescent="0.2">
      <c r="J144" s="9"/>
      <c r="K144" s="9"/>
      <c r="L144" s="9"/>
      <c r="M144" s="9"/>
      <c r="N144" s="9"/>
      <c r="O144" s="9"/>
      <c r="P144" s="9"/>
      <c r="Q144" s="9"/>
    </row>
    <row r="145" spans="10:17" x14ac:dyDescent="0.2">
      <c r="J145" s="9"/>
      <c r="K145" s="9"/>
      <c r="L145" s="9"/>
      <c r="M145" s="9"/>
      <c r="N145" s="9"/>
      <c r="O145" s="9"/>
      <c r="P145" s="9"/>
      <c r="Q145" s="9"/>
    </row>
    <row r="146" spans="10:17" x14ac:dyDescent="0.2">
      <c r="J146" s="9"/>
      <c r="K146" s="9"/>
      <c r="L146" s="9"/>
      <c r="M146" s="9"/>
      <c r="N146" s="9"/>
      <c r="O146" s="9"/>
      <c r="P146" s="9"/>
      <c r="Q146" s="9"/>
    </row>
    <row r="147" spans="10:17" x14ac:dyDescent="0.2">
      <c r="J147" s="9"/>
      <c r="K147" s="9"/>
      <c r="L147" s="9"/>
      <c r="M147" s="9"/>
      <c r="N147" s="9"/>
      <c r="O147" s="9"/>
      <c r="P147" s="9"/>
      <c r="Q147" s="9"/>
    </row>
    <row r="148" spans="10:17" x14ac:dyDescent="0.2">
      <c r="J148" s="9"/>
      <c r="K148" s="9"/>
      <c r="L148" s="9"/>
      <c r="M148" s="9"/>
      <c r="N148" s="9"/>
      <c r="O148" s="9"/>
      <c r="P148" s="9"/>
      <c r="Q148" s="9"/>
    </row>
    <row r="149" spans="10:17" x14ac:dyDescent="0.2">
      <c r="J149" s="9"/>
      <c r="K149" s="9"/>
      <c r="L149" s="9"/>
      <c r="M149" s="9"/>
      <c r="N149" s="9"/>
      <c r="O149" s="9"/>
      <c r="P149" s="9"/>
      <c r="Q149" s="9"/>
    </row>
    <row r="150" spans="10:17" x14ac:dyDescent="0.2">
      <c r="J150" s="9"/>
      <c r="K150" s="9"/>
      <c r="L150" s="9"/>
      <c r="M150" s="9"/>
      <c r="N150" s="9"/>
      <c r="O150" s="9"/>
      <c r="P150" s="9"/>
      <c r="Q150" s="9"/>
    </row>
    <row r="151" spans="10:17" x14ac:dyDescent="0.2">
      <c r="J151" s="9"/>
      <c r="K151" s="9"/>
      <c r="L151" s="9"/>
      <c r="M151" s="9"/>
      <c r="N151" s="9"/>
      <c r="O151" s="9"/>
      <c r="P151" s="9"/>
      <c r="Q151" s="9"/>
    </row>
    <row r="152" spans="10:17" x14ac:dyDescent="0.2">
      <c r="J152" s="9"/>
      <c r="K152" s="9"/>
      <c r="L152" s="9"/>
      <c r="M152" s="9"/>
      <c r="N152" s="9"/>
      <c r="O152" s="9"/>
      <c r="P152" s="9"/>
      <c r="Q152" s="9"/>
    </row>
    <row r="153" spans="10:17" x14ac:dyDescent="0.2">
      <c r="J153" s="9"/>
      <c r="K153" s="9"/>
      <c r="L153" s="9"/>
      <c r="M153" s="9"/>
      <c r="N153" s="9"/>
      <c r="O153" s="9"/>
      <c r="P153" s="9"/>
      <c r="Q153" s="9"/>
    </row>
    <row r="154" spans="10:17" x14ac:dyDescent="0.2">
      <c r="J154" s="9"/>
      <c r="K154" s="9"/>
      <c r="L154" s="9"/>
      <c r="M154" s="9"/>
      <c r="N154" s="9"/>
      <c r="O154" s="9"/>
      <c r="P154" s="9"/>
      <c r="Q154" s="9"/>
    </row>
    <row r="155" spans="10:17" x14ac:dyDescent="0.2">
      <c r="J155" s="9"/>
      <c r="K155" s="9"/>
      <c r="L155" s="9"/>
      <c r="M155" s="9"/>
      <c r="N155" s="9"/>
      <c r="O155" s="9"/>
      <c r="P155" s="9"/>
      <c r="Q155" s="9"/>
    </row>
    <row r="156" spans="10:17" x14ac:dyDescent="0.2">
      <c r="J156" s="9"/>
      <c r="K156" s="9"/>
      <c r="L156" s="9"/>
      <c r="M156" s="9"/>
      <c r="N156" s="9"/>
      <c r="O156" s="9"/>
      <c r="P156" s="9"/>
      <c r="Q156" s="9"/>
    </row>
    <row r="157" spans="10:17" x14ac:dyDescent="0.2">
      <c r="J157" s="9"/>
      <c r="K157" s="9"/>
      <c r="L157" s="9"/>
      <c r="M157" s="9"/>
      <c r="N157" s="9"/>
      <c r="O157" s="9"/>
      <c r="P157" s="9"/>
      <c r="Q157" s="9"/>
    </row>
    <row r="158" spans="10:17" x14ac:dyDescent="0.2">
      <c r="J158" s="9"/>
      <c r="K158" s="9"/>
      <c r="L158" s="9"/>
      <c r="M158" s="9"/>
      <c r="N158" s="9"/>
      <c r="O158" s="9"/>
      <c r="P158" s="9"/>
      <c r="Q158" s="9"/>
    </row>
    <row r="159" spans="10:17" x14ac:dyDescent="0.2">
      <c r="J159" s="9"/>
      <c r="K159" s="9"/>
      <c r="L159" s="9"/>
      <c r="M159" s="9"/>
      <c r="N159" s="9"/>
      <c r="O159" s="9"/>
      <c r="P159" s="9"/>
      <c r="Q159" s="9"/>
    </row>
    <row r="160" spans="10:17" x14ac:dyDescent="0.2">
      <c r="J160" s="9"/>
      <c r="K160" s="9"/>
      <c r="L160" s="9"/>
      <c r="M160" s="9"/>
      <c r="N160" s="9"/>
      <c r="O160" s="9"/>
      <c r="P160" s="9"/>
      <c r="Q160" s="9"/>
    </row>
    <row r="161" spans="10:17" x14ac:dyDescent="0.2">
      <c r="J161" s="9"/>
      <c r="K161" s="9"/>
      <c r="L161" s="9"/>
      <c r="M161" s="9"/>
      <c r="N161" s="9"/>
      <c r="O161" s="9"/>
      <c r="P161" s="9"/>
      <c r="Q161" s="9"/>
    </row>
    <row r="162" spans="10:17" x14ac:dyDescent="0.2">
      <c r="J162" s="9"/>
      <c r="K162" s="9"/>
      <c r="L162" s="9"/>
      <c r="M162" s="9"/>
      <c r="N162" s="9"/>
      <c r="O162" s="9"/>
      <c r="P162" s="9"/>
      <c r="Q162" s="9"/>
    </row>
    <row r="163" spans="10:17" x14ac:dyDescent="0.2">
      <c r="J163" s="9"/>
      <c r="K163" s="9"/>
      <c r="L163" s="9"/>
      <c r="M163" s="9"/>
      <c r="N163" s="9"/>
      <c r="O163" s="9"/>
      <c r="P163" s="9"/>
      <c r="Q163" s="9"/>
    </row>
    <row r="164" spans="10:17" x14ac:dyDescent="0.2">
      <c r="J164" s="9"/>
      <c r="K164" s="9"/>
      <c r="L164" s="9"/>
      <c r="M164" s="9"/>
      <c r="N164" s="9"/>
      <c r="O164" s="9"/>
      <c r="P164" s="9"/>
      <c r="Q164" s="9"/>
    </row>
    <row r="165" spans="10:17" x14ac:dyDescent="0.2">
      <c r="J165" s="9"/>
      <c r="K165" s="9"/>
      <c r="L165" s="9"/>
      <c r="M165" s="9"/>
      <c r="N165" s="9"/>
      <c r="O165" s="9"/>
      <c r="P165" s="9"/>
      <c r="Q165" s="9"/>
    </row>
    <row r="166" spans="10:17" x14ac:dyDescent="0.2">
      <c r="J166" s="9"/>
      <c r="K166" s="9"/>
      <c r="L166" s="9"/>
      <c r="M166" s="9"/>
      <c r="N166" s="9"/>
      <c r="O166" s="9"/>
      <c r="P166" s="9"/>
      <c r="Q166" s="9"/>
    </row>
    <row r="167" spans="10:17" x14ac:dyDescent="0.2">
      <c r="J167" s="9"/>
      <c r="K167" s="9"/>
      <c r="L167" s="9"/>
      <c r="M167" s="9"/>
      <c r="N167" s="9"/>
      <c r="O167" s="9"/>
      <c r="P167" s="9"/>
      <c r="Q167" s="9"/>
    </row>
    <row r="168" spans="10:17" x14ac:dyDescent="0.2">
      <c r="J168" s="9"/>
      <c r="K168" s="9"/>
      <c r="L168" s="9"/>
      <c r="M168" s="9"/>
      <c r="N168" s="9"/>
      <c r="O168" s="9"/>
      <c r="P168" s="9"/>
      <c r="Q168" s="9"/>
    </row>
    <row r="169" spans="10:17" x14ac:dyDescent="0.2">
      <c r="J169" s="9"/>
      <c r="K169" s="9"/>
      <c r="L169" s="9"/>
      <c r="M169" s="9"/>
      <c r="N169" s="9"/>
      <c r="O169" s="9"/>
      <c r="P169" s="9"/>
      <c r="Q169" s="9"/>
    </row>
    <row r="170" spans="10:17" x14ac:dyDescent="0.2">
      <c r="J170" s="9"/>
      <c r="K170" s="9"/>
      <c r="L170" s="9"/>
      <c r="M170" s="9"/>
      <c r="N170" s="9"/>
      <c r="O170" s="9"/>
      <c r="P170" s="9"/>
      <c r="Q170" s="9"/>
    </row>
    <row r="171" spans="10:17" x14ac:dyDescent="0.2">
      <c r="J171" s="9"/>
      <c r="K171" s="9"/>
      <c r="L171" s="9"/>
      <c r="M171" s="9"/>
      <c r="N171" s="9"/>
      <c r="O171" s="9"/>
      <c r="P171" s="9"/>
      <c r="Q171" s="9"/>
    </row>
    <row r="172" spans="10:17" x14ac:dyDescent="0.2">
      <c r="J172" s="9"/>
      <c r="K172" s="9"/>
      <c r="L172" s="9"/>
      <c r="M172" s="9"/>
      <c r="N172" s="9"/>
      <c r="O172" s="9"/>
      <c r="P172" s="9"/>
      <c r="Q172" s="9"/>
    </row>
    <row r="173" spans="10:17" x14ac:dyDescent="0.2">
      <c r="J173" s="9"/>
      <c r="K173" s="9"/>
      <c r="L173" s="9"/>
      <c r="M173" s="9"/>
      <c r="N173" s="9"/>
      <c r="O173" s="9"/>
      <c r="P173" s="9"/>
      <c r="Q173" s="9"/>
    </row>
    <row r="174" spans="10:17" x14ac:dyDescent="0.2">
      <c r="J174" s="9"/>
      <c r="K174" s="9"/>
      <c r="L174" s="9"/>
      <c r="M174" s="9"/>
      <c r="N174" s="9"/>
      <c r="O174" s="9"/>
      <c r="P174" s="9"/>
      <c r="Q174" s="9"/>
    </row>
    <row r="175" spans="10:17" x14ac:dyDescent="0.2">
      <c r="J175" s="9"/>
      <c r="K175" s="9"/>
      <c r="L175" s="9"/>
      <c r="M175" s="9"/>
      <c r="N175" s="9"/>
      <c r="O175" s="9"/>
      <c r="P175" s="9"/>
      <c r="Q175" s="9"/>
    </row>
    <row r="176" spans="10:17" x14ac:dyDescent="0.2">
      <c r="J176" s="9"/>
      <c r="K176" s="9"/>
      <c r="L176" s="9"/>
      <c r="M176" s="9"/>
      <c r="N176" s="9"/>
      <c r="O176" s="9"/>
      <c r="P176" s="9"/>
      <c r="Q176" s="9"/>
    </row>
    <row r="177" spans="10:17" x14ac:dyDescent="0.2">
      <c r="J177" s="9"/>
      <c r="K177" s="9"/>
      <c r="L177" s="9"/>
      <c r="M177" s="9"/>
      <c r="N177" s="9"/>
      <c r="O177" s="9"/>
      <c r="P177" s="9"/>
      <c r="Q177" s="9"/>
    </row>
    <row r="178" spans="10:17" x14ac:dyDescent="0.2">
      <c r="J178" s="9"/>
      <c r="K178" s="9"/>
      <c r="L178" s="9"/>
      <c r="M178" s="9"/>
      <c r="N178" s="9"/>
      <c r="O178" s="9"/>
      <c r="P178" s="9"/>
      <c r="Q178" s="9"/>
    </row>
    <row r="179" spans="10:17" x14ac:dyDescent="0.2">
      <c r="J179" s="9"/>
      <c r="K179" s="9"/>
      <c r="L179" s="9"/>
      <c r="M179" s="9"/>
      <c r="N179" s="9"/>
      <c r="O179" s="9"/>
      <c r="P179" s="9"/>
      <c r="Q179" s="9"/>
    </row>
    <row r="180" spans="10:17" x14ac:dyDescent="0.2">
      <c r="J180" s="9"/>
      <c r="K180" s="9"/>
      <c r="L180" s="9"/>
      <c r="M180" s="9"/>
      <c r="N180" s="9"/>
      <c r="O180" s="9"/>
      <c r="P180" s="9"/>
      <c r="Q180" s="9"/>
    </row>
    <row r="181" spans="10:17" x14ac:dyDescent="0.2">
      <c r="J181" s="9"/>
      <c r="K181" s="9"/>
      <c r="L181" s="9"/>
      <c r="M181" s="9"/>
      <c r="N181" s="9"/>
      <c r="O181" s="9"/>
      <c r="P181" s="9"/>
      <c r="Q181" s="9"/>
    </row>
    <row r="182" spans="10:17" x14ac:dyDescent="0.2">
      <c r="J182" s="9"/>
      <c r="K182" s="9"/>
      <c r="L182" s="9"/>
      <c r="M182" s="9"/>
      <c r="N182" s="9"/>
      <c r="O182" s="9"/>
      <c r="P182" s="9"/>
      <c r="Q182" s="9"/>
    </row>
    <row r="183" spans="10:17" x14ac:dyDescent="0.2">
      <c r="J183" s="9"/>
      <c r="K183" s="9"/>
      <c r="L183" s="9"/>
      <c r="M183" s="9"/>
      <c r="N183" s="9"/>
      <c r="O183" s="9"/>
      <c r="P183" s="9"/>
      <c r="Q183" s="9"/>
    </row>
    <row r="184" spans="10:17" x14ac:dyDescent="0.2">
      <c r="J184" s="9"/>
      <c r="K184" s="9"/>
      <c r="L184" s="9"/>
      <c r="M184" s="9"/>
      <c r="N184" s="9"/>
      <c r="O184" s="9"/>
      <c r="P184" s="9"/>
      <c r="Q184" s="9"/>
    </row>
    <row r="185" spans="10:17" x14ac:dyDescent="0.2">
      <c r="J185" s="9"/>
      <c r="K185" s="9"/>
      <c r="L185" s="9"/>
      <c r="M185" s="9"/>
      <c r="N185" s="9"/>
      <c r="O185" s="9"/>
      <c r="P185" s="9"/>
      <c r="Q185" s="9"/>
    </row>
    <row r="186" spans="10:17" x14ac:dyDescent="0.2">
      <c r="J186" s="9"/>
      <c r="K186" s="9"/>
      <c r="L186" s="9"/>
      <c r="M186" s="9"/>
      <c r="N186" s="9"/>
      <c r="O186" s="9"/>
      <c r="P186" s="9"/>
      <c r="Q186" s="9"/>
    </row>
    <row r="187" spans="10:17" x14ac:dyDescent="0.2">
      <c r="J187" s="9"/>
      <c r="K187" s="9"/>
      <c r="L187" s="9"/>
      <c r="M187" s="9"/>
      <c r="N187" s="9"/>
      <c r="O187" s="9"/>
      <c r="P187" s="9"/>
      <c r="Q187" s="9"/>
    </row>
    <row r="188" spans="10:17" x14ac:dyDescent="0.2">
      <c r="J188" s="9"/>
      <c r="K188" s="9"/>
      <c r="L188" s="9"/>
      <c r="M188" s="9"/>
      <c r="N188" s="9"/>
      <c r="O188" s="9"/>
      <c r="P188" s="9"/>
      <c r="Q188" s="9"/>
    </row>
    <row r="189" spans="10:17" x14ac:dyDescent="0.2">
      <c r="J189" s="9"/>
      <c r="K189" s="9"/>
      <c r="L189" s="9"/>
      <c r="M189" s="9"/>
      <c r="N189" s="9"/>
      <c r="O189" s="9"/>
      <c r="P189" s="9"/>
      <c r="Q189" s="9"/>
    </row>
    <row r="190" spans="10:17" x14ac:dyDescent="0.2">
      <c r="J190" s="9"/>
      <c r="K190" s="9"/>
      <c r="L190" s="9"/>
      <c r="M190" s="9"/>
      <c r="N190" s="9"/>
      <c r="O190" s="9"/>
      <c r="P190" s="9"/>
      <c r="Q190" s="9"/>
    </row>
    <row r="191" spans="10:17" x14ac:dyDescent="0.2">
      <c r="J191" s="9"/>
      <c r="K191" s="9"/>
      <c r="L191" s="9"/>
      <c r="M191" s="9"/>
      <c r="N191" s="9"/>
      <c r="O191" s="9"/>
      <c r="P191" s="9"/>
      <c r="Q191" s="9"/>
    </row>
    <row r="192" spans="10:17" x14ac:dyDescent="0.2">
      <c r="J192" s="9"/>
      <c r="K192" s="9"/>
      <c r="L192" s="9"/>
      <c r="M192" s="9"/>
      <c r="N192" s="9"/>
      <c r="O192" s="9"/>
      <c r="P192" s="9"/>
      <c r="Q192" s="9"/>
    </row>
    <row r="193" spans="10:17" x14ac:dyDescent="0.2">
      <c r="J193" s="9"/>
      <c r="K193" s="9"/>
      <c r="L193" s="9"/>
      <c r="M193" s="9"/>
      <c r="N193" s="9"/>
      <c r="O193" s="9"/>
      <c r="P193" s="9"/>
      <c r="Q193" s="9"/>
    </row>
    <row r="194" spans="10:17" x14ac:dyDescent="0.2">
      <c r="J194" s="9"/>
      <c r="K194" s="9"/>
      <c r="L194" s="9"/>
      <c r="M194" s="9"/>
      <c r="N194" s="9"/>
      <c r="O194" s="9"/>
      <c r="P194" s="9"/>
      <c r="Q194" s="9"/>
    </row>
    <row r="195" spans="10:17" x14ac:dyDescent="0.2">
      <c r="J195" s="9"/>
      <c r="K195" s="9"/>
      <c r="L195" s="9"/>
      <c r="M195" s="9"/>
      <c r="N195" s="9"/>
      <c r="O195" s="9"/>
      <c r="P195" s="9"/>
      <c r="Q195" s="9"/>
    </row>
    <row r="196" spans="10:17" x14ac:dyDescent="0.2">
      <c r="J196" s="9"/>
      <c r="K196" s="9"/>
      <c r="L196" s="9"/>
      <c r="M196" s="9"/>
      <c r="N196" s="9"/>
      <c r="O196" s="9"/>
      <c r="P196" s="9"/>
      <c r="Q196" s="9"/>
    </row>
    <row r="197" spans="10:17" x14ac:dyDescent="0.2">
      <c r="J197" s="9"/>
      <c r="K197" s="9"/>
      <c r="L197" s="9"/>
      <c r="M197" s="9"/>
      <c r="N197" s="9"/>
      <c r="O197" s="9"/>
      <c r="P197" s="9"/>
      <c r="Q197" s="9"/>
    </row>
    <row r="198" spans="10:17" x14ac:dyDescent="0.2">
      <c r="J198" s="9"/>
      <c r="K198" s="9"/>
      <c r="L198" s="9"/>
      <c r="M198" s="9"/>
      <c r="N198" s="9"/>
      <c r="O198" s="9"/>
      <c r="P198" s="9"/>
      <c r="Q198" s="9"/>
    </row>
    <row r="199" spans="10:17" x14ac:dyDescent="0.2">
      <c r="J199" s="9"/>
      <c r="K199" s="9"/>
      <c r="L199" s="9"/>
      <c r="M199" s="9"/>
      <c r="N199" s="9"/>
      <c r="O199" s="9"/>
      <c r="P199" s="9"/>
      <c r="Q199" s="9"/>
    </row>
    <row r="200" spans="10:17" x14ac:dyDescent="0.2">
      <c r="J200" s="9"/>
      <c r="K200" s="9"/>
      <c r="L200" s="9"/>
      <c r="M200" s="9"/>
      <c r="N200" s="9"/>
      <c r="O200" s="9"/>
      <c r="P200" s="9"/>
      <c r="Q200" s="9"/>
    </row>
    <row r="201" spans="10:17" x14ac:dyDescent="0.2">
      <c r="J201" s="9"/>
      <c r="K201" s="9"/>
      <c r="L201" s="9"/>
      <c r="M201" s="9"/>
      <c r="N201" s="9"/>
      <c r="O201" s="9"/>
      <c r="P201" s="9"/>
      <c r="Q201" s="9"/>
    </row>
    <row r="202" spans="10:17" x14ac:dyDescent="0.2">
      <c r="J202" s="9"/>
      <c r="K202" s="9"/>
      <c r="L202" s="9"/>
      <c r="M202" s="9"/>
      <c r="N202" s="9"/>
      <c r="O202" s="9"/>
      <c r="P202" s="9"/>
      <c r="Q202" s="9"/>
    </row>
    <row r="203" spans="10:17" x14ac:dyDescent="0.2">
      <c r="J203" s="9"/>
      <c r="K203" s="9"/>
      <c r="L203" s="9"/>
      <c r="M203" s="9"/>
      <c r="N203" s="9"/>
      <c r="O203" s="9"/>
      <c r="P203" s="9"/>
      <c r="Q203" s="9"/>
    </row>
    <row r="204" spans="10:17" x14ac:dyDescent="0.2">
      <c r="J204" s="9"/>
      <c r="K204" s="9"/>
      <c r="L204" s="9"/>
      <c r="M204" s="9"/>
      <c r="N204" s="9"/>
      <c r="O204" s="9"/>
      <c r="P204" s="9"/>
      <c r="Q204" s="9"/>
    </row>
    <row r="205" spans="10:17" x14ac:dyDescent="0.2">
      <c r="J205" s="9"/>
      <c r="K205" s="9"/>
      <c r="L205" s="9"/>
      <c r="M205" s="9"/>
      <c r="N205" s="9"/>
      <c r="O205" s="9"/>
      <c r="P205" s="9"/>
      <c r="Q205" s="9"/>
    </row>
    <row r="206" spans="10:17" x14ac:dyDescent="0.2">
      <c r="J206" s="9"/>
      <c r="K206" s="9"/>
      <c r="L206" s="9"/>
      <c r="M206" s="9"/>
      <c r="N206" s="9"/>
      <c r="O206" s="9"/>
      <c r="P206" s="9"/>
      <c r="Q206" s="9"/>
    </row>
    <row r="207" spans="10:17" x14ac:dyDescent="0.2">
      <c r="J207" s="9"/>
      <c r="K207" s="9"/>
      <c r="L207" s="9"/>
      <c r="M207" s="9"/>
      <c r="N207" s="9"/>
      <c r="O207" s="9"/>
      <c r="P207" s="9"/>
      <c r="Q207" s="9"/>
    </row>
    <row r="208" spans="10:17" x14ac:dyDescent="0.2">
      <c r="J208" s="9"/>
      <c r="K208" s="9"/>
      <c r="L208" s="9"/>
      <c r="M208" s="9"/>
      <c r="N208" s="9"/>
      <c r="O208" s="9"/>
      <c r="P208" s="9"/>
      <c r="Q208" s="9"/>
    </row>
    <row r="209" spans="10:17" x14ac:dyDescent="0.2">
      <c r="J209" s="9"/>
      <c r="K209" s="9"/>
      <c r="L209" s="9"/>
      <c r="M209" s="9"/>
      <c r="N209" s="9"/>
      <c r="O209" s="9"/>
      <c r="P209" s="9"/>
      <c r="Q209" s="9"/>
    </row>
    <row r="210" spans="10:17" x14ac:dyDescent="0.2">
      <c r="J210" s="9"/>
      <c r="K210" s="9"/>
      <c r="L210" s="9"/>
      <c r="M210" s="9"/>
      <c r="N210" s="9"/>
      <c r="O210" s="9"/>
      <c r="P210" s="9"/>
      <c r="Q210" s="9"/>
    </row>
    <row r="211" spans="10:17" x14ac:dyDescent="0.2">
      <c r="J211" s="9"/>
      <c r="K211" s="9"/>
      <c r="L211" s="9"/>
      <c r="M211" s="9"/>
      <c r="N211" s="9"/>
      <c r="O211" s="9"/>
      <c r="P211" s="9"/>
      <c r="Q211" s="9"/>
    </row>
    <row r="212" spans="10:17" x14ac:dyDescent="0.2">
      <c r="J212" s="9"/>
      <c r="K212" s="9"/>
      <c r="L212" s="9"/>
      <c r="M212" s="9"/>
      <c r="N212" s="9"/>
      <c r="O212" s="9"/>
      <c r="P212" s="9"/>
      <c r="Q212" s="9"/>
    </row>
    <row r="213" spans="10:17" x14ac:dyDescent="0.2">
      <c r="J213" s="9"/>
      <c r="K213" s="9"/>
      <c r="L213" s="9"/>
      <c r="M213" s="9"/>
      <c r="N213" s="9"/>
      <c r="O213" s="9"/>
      <c r="P213" s="9"/>
      <c r="Q213" s="9"/>
    </row>
    <row r="214" spans="10:17" x14ac:dyDescent="0.2">
      <c r="J214" s="9"/>
      <c r="K214" s="9"/>
      <c r="L214" s="9"/>
      <c r="M214" s="9"/>
      <c r="N214" s="9"/>
      <c r="O214" s="9"/>
      <c r="P214" s="9"/>
      <c r="Q214" s="9"/>
    </row>
    <row r="215" spans="10:17" x14ac:dyDescent="0.2">
      <c r="J215" s="9"/>
      <c r="K215" s="9"/>
      <c r="L215" s="9"/>
      <c r="M215" s="9"/>
      <c r="N215" s="9"/>
      <c r="O215" s="9"/>
      <c r="P215" s="9"/>
      <c r="Q215" s="9"/>
    </row>
    <row r="216" spans="10:17" x14ac:dyDescent="0.2">
      <c r="J216" s="9"/>
      <c r="K216" s="9"/>
      <c r="L216" s="9"/>
      <c r="M216" s="9"/>
      <c r="N216" s="9"/>
      <c r="O216" s="9"/>
      <c r="P216" s="9"/>
      <c r="Q216" s="9"/>
    </row>
    <row r="217" spans="10:17" x14ac:dyDescent="0.2">
      <c r="J217" s="9"/>
      <c r="K217" s="9"/>
      <c r="L217" s="9"/>
      <c r="M217" s="9"/>
      <c r="N217" s="9"/>
      <c r="O217" s="9"/>
      <c r="P217" s="9"/>
      <c r="Q217" s="9"/>
    </row>
    <row r="218" spans="10:17" x14ac:dyDescent="0.2">
      <c r="J218" s="9"/>
      <c r="K218" s="9"/>
      <c r="L218" s="9"/>
      <c r="M218" s="9"/>
      <c r="N218" s="9"/>
      <c r="O218" s="9"/>
      <c r="P218" s="9"/>
      <c r="Q218" s="9"/>
    </row>
    <row r="219" spans="10:17" x14ac:dyDescent="0.2">
      <c r="J219" s="9"/>
      <c r="K219" s="9"/>
      <c r="L219" s="9"/>
      <c r="M219" s="9"/>
      <c r="N219" s="9"/>
      <c r="O219" s="9"/>
      <c r="P219" s="9"/>
      <c r="Q219" s="9"/>
    </row>
    <row r="220" spans="10:17" x14ac:dyDescent="0.2">
      <c r="J220" s="9"/>
      <c r="K220" s="9"/>
      <c r="L220" s="9"/>
      <c r="M220" s="9"/>
      <c r="N220" s="9"/>
      <c r="O220" s="9"/>
      <c r="P220" s="9"/>
      <c r="Q220" s="9"/>
    </row>
    <row r="221" spans="10:17" x14ac:dyDescent="0.2">
      <c r="J221" s="9"/>
      <c r="K221" s="9"/>
      <c r="L221" s="9"/>
      <c r="M221" s="9"/>
      <c r="N221" s="9"/>
      <c r="O221" s="9"/>
      <c r="P221" s="9"/>
      <c r="Q221" s="9"/>
    </row>
    <row r="222" spans="10:17" x14ac:dyDescent="0.2">
      <c r="J222" s="9"/>
      <c r="K222" s="9"/>
      <c r="L222" s="9"/>
      <c r="M222" s="9"/>
      <c r="N222" s="9"/>
      <c r="O222" s="9"/>
      <c r="P222" s="9"/>
      <c r="Q222" s="9"/>
    </row>
    <row r="223" spans="10:17" x14ac:dyDescent="0.2">
      <c r="J223" s="9"/>
      <c r="K223" s="9"/>
      <c r="L223" s="9"/>
      <c r="M223" s="9"/>
      <c r="N223" s="9"/>
      <c r="O223" s="9"/>
      <c r="P223" s="9"/>
      <c r="Q223" s="9"/>
    </row>
    <row r="224" spans="10:17" x14ac:dyDescent="0.2">
      <c r="J224" s="9"/>
      <c r="K224" s="9"/>
      <c r="L224" s="9"/>
      <c r="M224" s="9"/>
      <c r="N224" s="9"/>
      <c r="O224" s="9"/>
      <c r="P224" s="9"/>
      <c r="Q224" s="9"/>
    </row>
  </sheetData>
  <dataConsolidate/>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theme="3"/>
  </sheetPr>
  <dimension ref="A1:S210"/>
  <sheetViews>
    <sheetView showGridLines="0" zoomScale="80" zoomScaleNormal="80" workbookViewId="0">
      <pane xSplit="2" ySplit="2" topLeftCell="C3" activePane="bottomRight" state="frozen"/>
      <selection activeCell="K43" sqref="K43"/>
      <selection pane="topRight" activeCell="K43" sqref="K43"/>
      <selection pane="bottomLeft" activeCell="K43" sqref="K43"/>
      <selection pane="bottomRight" activeCell="K54" sqref="K54"/>
    </sheetView>
  </sheetViews>
  <sheetFormatPr defaultColWidth="9" defaultRowHeight="12.75" x14ac:dyDescent="0.2"/>
  <cols>
    <col min="1" max="1" width="2" style="1" customWidth="1"/>
    <col min="2" max="2" width="43.125" style="1" customWidth="1"/>
    <col min="3" max="3" width="17.25" style="1" customWidth="1"/>
    <col min="4" max="4" width="13.125" style="1" customWidth="1"/>
    <col min="5" max="5" width="16" style="1" customWidth="1"/>
    <col min="6" max="6" width="1.625" style="1" customWidth="1"/>
    <col min="7" max="7" width="11.375" style="161" customWidth="1"/>
    <col min="8" max="8" width="17" style="161" customWidth="1"/>
    <col min="9" max="9" width="5.875" style="1" customWidth="1"/>
    <col min="10" max="10" width="9.75" style="1" customWidth="1"/>
    <col min="11" max="12" width="6.375" style="1" customWidth="1"/>
    <col min="13" max="17" width="9" style="1"/>
    <col min="18" max="18" width="2.5" style="1" customWidth="1"/>
    <col min="19" max="16384" width="9" style="1"/>
  </cols>
  <sheetData>
    <row r="1" spans="1:19" ht="21" x14ac:dyDescent="0.35">
      <c r="A1" s="3" t="s">
        <v>5</v>
      </c>
    </row>
    <row r="2" spans="1:19" ht="18.75" x14ac:dyDescent="0.3">
      <c r="A2" s="8" t="str">
        <f ca="1">RIGHT(CELL("filename",A1),LEN(CELL("filename",A1))-FIND("]",CELL("filename",A1),1))</f>
        <v>Solar enablement</v>
      </c>
    </row>
    <row r="3" spans="1:19" x14ac:dyDescent="0.2">
      <c r="A3" s="125" t="s">
        <v>109</v>
      </c>
    </row>
    <row r="4" spans="1:19" x14ac:dyDescent="0.2">
      <c r="B4" s="27"/>
    </row>
    <row r="5" spans="1:19" x14ac:dyDescent="0.2">
      <c r="A5" s="2" t="s">
        <v>44</v>
      </c>
      <c r="B5" s="2"/>
      <c r="C5" s="2"/>
      <c r="D5" s="2"/>
      <c r="E5" s="2"/>
      <c r="F5" s="2"/>
      <c r="G5" s="229"/>
      <c r="H5" s="229"/>
      <c r="I5" s="2"/>
      <c r="J5" s="2"/>
      <c r="K5" s="7"/>
      <c r="L5" s="7"/>
      <c r="M5" s="7"/>
      <c r="N5" s="7"/>
      <c r="O5" s="7"/>
      <c r="P5" s="7"/>
      <c r="Q5" s="7"/>
    </row>
    <row r="6" spans="1:19" x14ac:dyDescent="0.2">
      <c r="B6" s="149"/>
      <c r="C6" s="149"/>
      <c r="D6" s="149"/>
      <c r="E6" s="149"/>
      <c r="F6" s="149"/>
      <c r="G6" s="202"/>
      <c r="H6" s="202"/>
      <c r="M6" s="9"/>
      <c r="N6" s="9"/>
      <c r="O6" s="9"/>
      <c r="P6" s="9"/>
      <c r="Q6" s="9"/>
    </row>
    <row r="7" spans="1:19" x14ac:dyDescent="0.2">
      <c r="B7" s="149"/>
      <c r="C7" s="149"/>
      <c r="D7" s="149"/>
      <c r="E7" s="149"/>
      <c r="F7" s="149"/>
      <c r="G7" s="202"/>
      <c r="H7" s="202"/>
      <c r="M7" s="9"/>
      <c r="N7" s="9"/>
      <c r="O7" s="9"/>
      <c r="P7" s="9"/>
      <c r="Q7" s="9"/>
    </row>
    <row r="8" spans="1:19" x14ac:dyDescent="0.2">
      <c r="M8" s="9"/>
      <c r="N8" s="9"/>
      <c r="O8" s="9"/>
      <c r="P8" s="9"/>
      <c r="Q8" s="9"/>
    </row>
    <row r="9" spans="1:19" x14ac:dyDescent="0.2">
      <c r="B9" s="141" t="s">
        <v>134</v>
      </c>
      <c r="M9" s="9"/>
      <c r="N9" s="9"/>
      <c r="O9" s="9"/>
      <c r="P9" s="9"/>
      <c r="Q9" s="9"/>
    </row>
    <row r="10" spans="1:19" x14ac:dyDescent="0.2">
      <c r="B10" s="142" t="s">
        <v>138</v>
      </c>
      <c r="M10" s="9"/>
      <c r="N10" s="9"/>
      <c r="O10" s="9"/>
      <c r="P10" s="9"/>
      <c r="Q10" s="9"/>
    </row>
    <row r="11" spans="1:19" x14ac:dyDescent="0.2">
      <c r="B11" s="142" t="s">
        <v>268</v>
      </c>
      <c r="J11" s="9"/>
      <c r="K11" s="9"/>
      <c r="L11" s="9"/>
      <c r="M11" s="9"/>
      <c r="N11" s="9"/>
      <c r="O11" s="9"/>
      <c r="P11" s="9"/>
      <c r="Q11" s="9"/>
    </row>
    <row r="12" spans="1:19" x14ac:dyDescent="0.2">
      <c r="B12" s="162" t="s">
        <v>263</v>
      </c>
      <c r="J12" s="9"/>
      <c r="K12" s="9"/>
      <c r="L12" s="9"/>
      <c r="M12" s="9"/>
      <c r="N12" s="9"/>
      <c r="O12" s="9"/>
      <c r="P12" s="9"/>
      <c r="Q12" s="9"/>
    </row>
    <row r="13" spans="1:19" x14ac:dyDescent="0.2">
      <c r="J13" s="9"/>
      <c r="K13" s="9"/>
      <c r="L13" s="9"/>
      <c r="M13" s="9"/>
      <c r="N13" s="9"/>
      <c r="O13" s="9"/>
      <c r="P13" s="9"/>
      <c r="Q13" s="9"/>
    </row>
    <row r="14" spans="1:19" x14ac:dyDescent="0.2">
      <c r="A14" s="2" t="s">
        <v>53</v>
      </c>
      <c r="B14" s="2"/>
      <c r="C14" s="2"/>
      <c r="D14" s="2"/>
      <c r="E14" s="2"/>
      <c r="F14" s="2"/>
      <c r="G14" s="229"/>
      <c r="H14" s="229" t="s">
        <v>132</v>
      </c>
      <c r="I14" s="2"/>
      <c r="J14" s="2"/>
      <c r="K14" s="2">
        <v>2019</v>
      </c>
      <c r="L14" s="2">
        <v>2020</v>
      </c>
      <c r="M14" s="7" t="s">
        <v>48</v>
      </c>
      <c r="N14" s="7" t="s">
        <v>49</v>
      </c>
      <c r="O14" s="7" t="s">
        <v>50</v>
      </c>
      <c r="P14" s="7" t="s">
        <v>51</v>
      </c>
      <c r="Q14" s="7" t="s">
        <v>52</v>
      </c>
    </row>
    <row r="15" spans="1:19" s="14" customFormat="1" x14ac:dyDescent="0.2">
      <c r="A15" s="12"/>
      <c r="B15" s="12"/>
      <c r="C15" s="12"/>
      <c r="D15" s="12"/>
      <c r="E15" s="12"/>
      <c r="F15" s="12"/>
      <c r="G15" s="234"/>
      <c r="H15" s="234"/>
      <c r="I15" s="12"/>
      <c r="J15" s="12"/>
      <c r="K15" s="12"/>
      <c r="L15" s="12"/>
      <c r="M15" s="12"/>
      <c r="N15" s="12"/>
      <c r="O15" s="12"/>
      <c r="P15" s="12"/>
      <c r="Q15" s="12"/>
      <c r="R15" s="1"/>
      <c r="S15" s="1"/>
    </row>
    <row r="16" spans="1:19" x14ac:dyDescent="0.2">
      <c r="B16" s="1" t="s">
        <v>32</v>
      </c>
      <c r="G16" s="312" t="s">
        <v>47</v>
      </c>
      <c r="M16" s="9"/>
      <c r="N16" s="9"/>
      <c r="O16" s="9"/>
      <c r="P16" s="9"/>
      <c r="Q16" s="9"/>
    </row>
    <row r="17" spans="1:19" x14ac:dyDescent="0.2">
      <c r="G17" s="1"/>
      <c r="H17" s="1"/>
      <c r="M17" s="9"/>
      <c r="N17" s="9"/>
      <c r="O17" s="9"/>
      <c r="P17" s="9"/>
      <c r="Q17" s="9"/>
    </row>
    <row r="18" spans="1:19" x14ac:dyDescent="0.2">
      <c r="B18" s="1" t="s">
        <v>9</v>
      </c>
      <c r="G18" s="181" t="str">
        <f>$G$16</f>
        <v>2020/21</v>
      </c>
      <c r="H18" s="1"/>
      <c r="M18" s="285">
        <f>[3]Output_PAL_Opex!F$10</f>
        <v>1304.853816161987</v>
      </c>
      <c r="N18" s="285">
        <f>[3]Output_PAL_Opex!G$10</f>
        <v>1259.0648416648767</v>
      </c>
      <c r="O18" s="285">
        <f>[3]Output_PAL_Opex!H$10</f>
        <v>1422.4119565806768</v>
      </c>
      <c r="P18" s="285">
        <f>[3]Output_PAL_Opex!I$10</f>
        <v>897.60244909227993</v>
      </c>
      <c r="Q18" s="285">
        <f>[3]Output_PAL_Opex!J$10</f>
        <v>919.73386569719514</v>
      </c>
      <c r="S18" s="135"/>
    </row>
    <row r="19" spans="1:19" x14ac:dyDescent="0.2">
      <c r="G19" s="181"/>
      <c r="H19" s="1"/>
      <c r="M19" s="9"/>
      <c r="N19" s="9"/>
      <c r="O19" s="9"/>
      <c r="P19" s="9"/>
      <c r="Q19" s="9"/>
      <c r="S19" s="135"/>
    </row>
    <row r="20" spans="1:19" x14ac:dyDescent="0.2">
      <c r="M20" s="9"/>
      <c r="N20" s="9"/>
      <c r="O20" s="9"/>
      <c r="P20" s="9"/>
      <c r="Q20" s="9"/>
    </row>
    <row r="21" spans="1:19" x14ac:dyDescent="0.2">
      <c r="A21" s="2" t="s">
        <v>198</v>
      </c>
      <c r="B21" s="2"/>
      <c r="C21" s="2"/>
      <c r="D21" s="2"/>
      <c r="E21" s="2"/>
      <c r="F21" s="2"/>
      <c r="G21" s="229"/>
      <c r="H21" s="229"/>
      <c r="I21" s="2"/>
      <c r="J21" s="2"/>
      <c r="K21" s="7">
        <v>2019</v>
      </c>
      <c r="L21" s="7">
        <v>2020</v>
      </c>
      <c r="M21" s="7" t="s">
        <v>48</v>
      </c>
      <c r="N21" s="7" t="s">
        <v>49</v>
      </c>
      <c r="O21" s="7" t="s">
        <v>50</v>
      </c>
      <c r="P21" s="7" t="s">
        <v>51</v>
      </c>
      <c r="Q21" s="7" t="s">
        <v>52</v>
      </c>
      <c r="S21" s="7" t="s">
        <v>135</v>
      </c>
    </row>
    <row r="22" spans="1:19" x14ac:dyDescent="0.2">
      <c r="G22" s="181"/>
      <c r="M22" s="101"/>
      <c r="N22" s="101"/>
      <c r="O22" s="101"/>
      <c r="P22" s="101"/>
      <c r="Q22" s="101"/>
      <c r="S22" s="101"/>
    </row>
    <row r="23" spans="1:19" x14ac:dyDescent="0.2">
      <c r="G23" s="181"/>
      <c r="M23" s="101"/>
      <c r="N23" s="101"/>
      <c r="O23" s="101"/>
      <c r="P23" s="101"/>
      <c r="Q23" s="101"/>
      <c r="S23" s="101"/>
    </row>
    <row r="24" spans="1:19" x14ac:dyDescent="0.2">
      <c r="B24" s="216" t="s">
        <v>9</v>
      </c>
      <c r="C24" s="216"/>
      <c r="D24" s="216"/>
      <c r="E24" s="216"/>
      <c r="F24" s="216"/>
      <c r="G24" s="231" t="str">
        <f>"$k"&amp;" $"&amp;Year_of_Currency</f>
        <v>$k $2020/21</v>
      </c>
      <c r="H24" s="240"/>
      <c r="I24" s="216"/>
      <c r="J24" s="216"/>
      <c r="K24" s="216"/>
      <c r="L24" s="217"/>
      <c r="M24" s="217">
        <f>M18*INDEX(Assumptions!$F$20:$F$22,MATCH($G$16,Assumptions!$D$20:$D$22,0))</f>
        <v>1304.853816161987</v>
      </c>
      <c r="N24" s="217">
        <f>N18*INDEX(Assumptions!$F$20:$F$22,MATCH($G$16,Assumptions!$D$20:$D$22,0))</f>
        <v>1259.0648416648767</v>
      </c>
      <c r="O24" s="217">
        <f>O18*INDEX(Assumptions!$F$20:$F$22,MATCH($G$16,Assumptions!$D$20:$D$22,0))</f>
        <v>1422.4119565806768</v>
      </c>
      <c r="P24" s="217">
        <f>P18*INDEX(Assumptions!$F$20:$F$22,MATCH($G$16,Assumptions!$D$20:$D$22,0))</f>
        <v>897.60244909227993</v>
      </c>
      <c r="Q24" s="217">
        <f>Q18*INDEX(Assumptions!$F$20:$F$22,MATCH($G$16,Assumptions!$D$20:$D$22,0))</f>
        <v>919.73386569719514</v>
      </c>
      <c r="S24" s="217">
        <f>SUM(M24:Q24)</f>
        <v>5803.6669291970156</v>
      </c>
    </row>
    <row r="25" spans="1:19" x14ac:dyDescent="0.2">
      <c r="B25" s="313"/>
      <c r="C25" s="313"/>
      <c r="D25" s="313"/>
      <c r="E25" s="313"/>
      <c r="F25" s="313"/>
      <c r="G25" s="314"/>
      <c r="H25" s="315"/>
      <c r="I25" s="313"/>
      <c r="J25" s="313"/>
      <c r="K25" s="313"/>
      <c r="L25" s="225"/>
      <c r="M25" s="225"/>
      <c r="N25" s="225"/>
      <c r="O25" s="225"/>
      <c r="P25" s="225"/>
      <c r="Q25" s="225"/>
      <c r="R25" s="124"/>
      <c r="S25" s="225"/>
    </row>
    <row r="26" spans="1:19" x14ac:dyDescent="0.2">
      <c r="J26" s="9"/>
      <c r="K26" s="9"/>
      <c r="L26" s="9"/>
      <c r="M26" s="9"/>
      <c r="N26" s="9"/>
      <c r="O26" s="9"/>
      <c r="P26" s="9"/>
      <c r="Q26" s="9"/>
    </row>
    <row r="27" spans="1:19" x14ac:dyDescent="0.2">
      <c r="J27" s="9"/>
      <c r="K27" s="9"/>
      <c r="L27" s="9"/>
      <c r="M27" s="9"/>
      <c r="N27" s="9"/>
      <c r="O27" s="9"/>
      <c r="P27" s="9"/>
      <c r="Q27" s="9"/>
    </row>
    <row r="28" spans="1:19" x14ac:dyDescent="0.2">
      <c r="A28" s="2" t="s">
        <v>6</v>
      </c>
      <c r="B28" s="2"/>
      <c r="C28" s="2"/>
      <c r="D28" s="2"/>
      <c r="E28" s="2"/>
      <c r="F28" s="2"/>
      <c r="G28" s="229"/>
      <c r="H28" s="229"/>
      <c r="I28" s="2"/>
      <c r="J28" s="2"/>
      <c r="K28" s="7">
        <v>2019</v>
      </c>
      <c r="L28" s="7">
        <v>2020</v>
      </c>
      <c r="M28" s="7" t="s">
        <v>48</v>
      </c>
      <c r="N28" s="7" t="s">
        <v>49</v>
      </c>
      <c r="O28" s="7" t="s">
        <v>50</v>
      </c>
      <c r="P28" s="7" t="s">
        <v>51</v>
      </c>
      <c r="Q28" s="7" t="s">
        <v>52</v>
      </c>
      <c r="S28" s="7" t="s">
        <v>135</v>
      </c>
    </row>
    <row r="29" spans="1:19" x14ac:dyDescent="0.2">
      <c r="G29" s="259"/>
      <c r="J29" s="120"/>
      <c r="K29" s="120"/>
      <c r="L29" s="120"/>
      <c r="M29" s="120"/>
      <c r="N29" s="120"/>
      <c r="O29" s="120"/>
      <c r="P29" s="120"/>
      <c r="Q29" s="120"/>
      <c r="S29" s="120"/>
    </row>
    <row r="30" spans="1:19" x14ac:dyDescent="0.2">
      <c r="B30" s="1" t="str">
        <f ca="1">"Powercor "&amp;$A$2 &amp;" allocated cost"</f>
        <v>Powercor Solar enablement allocated cost</v>
      </c>
      <c r="G30" s="261" t="s">
        <v>201</v>
      </c>
      <c r="J30" s="120"/>
      <c r="K30" s="120"/>
      <c r="L30" s="120"/>
      <c r="M30" s="140">
        <f>M24</f>
        <v>1304.853816161987</v>
      </c>
      <c r="N30" s="140">
        <f t="shared" ref="N30:Q30" si="0">N24</f>
        <v>1259.0648416648767</v>
      </c>
      <c r="O30" s="140">
        <f t="shared" si="0"/>
        <v>1422.4119565806768</v>
      </c>
      <c r="P30" s="140">
        <f t="shared" si="0"/>
        <v>897.60244909227993</v>
      </c>
      <c r="Q30" s="140">
        <f t="shared" si="0"/>
        <v>919.73386569719514</v>
      </c>
      <c r="S30" s="118">
        <f>SUM(M30:Q30)</f>
        <v>5803.6669291970156</v>
      </c>
    </row>
    <row r="31" spans="1:19" x14ac:dyDescent="0.2">
      <c r="G31" s="261"/>
      <c r="J31" s="120"/>
      <c r="K31" s="120"/>
      <c r="L31" s="120"/>
      <c r="M31" s="140"/>
      <c r="N31" s="140"/>
      <c r="O31" s="140"/>
      <c r="P31" s="140"/>
      <c r="Q31" s="140"/>
      <c r="S31" s="118"/>
    </row>
    <row r="32" spans="1:19" x14ac:dyDescent="0.2">
      <c r="G32" s="259"/>
      <c r="J32" s="120"/>
      <c r="K32" s="120"/>
      <c r="L32" s="120"/>
      <c r="M32" s="120"/>
      <c r="N32" s="120"/>
      <c r="O32" s="120"/>
      <c r="P32" s="120"/>
      <c r="Q32" s="120"/>
      <c r="S32" s="279"/>
    </row>
    <row r="33" spans="2:19" x14ac:dyDescent="0.2">
      <c r="B33" s="5" t="s">
        <v>224</v>
      </c>
      <c r="G33" s="259"/>
      <c r="J33" s="120"/>
      <c r="K33" s="120"/>
      <c r="L33" s="120"/>
      <c r="M33" s="120"/>
      <c r="N33" s="120"/>
      <c r="O33" s="120"/>
      <c r="P33" s="120"/>
      <c r="Q33" s="120"/>
      <c r="S33" s="279"/>
    </row>
    <row r="34" spans="2:19" x14ac:dyDescent="0.2">
      <c r="B34" s="1" t="str">
        <f ca="1">"Powercor "&amp;$A$2</f>
        <v>Powercor Solar enablement</v>
      </c>
      <c r="C34" s="270" t="s">
        <v>225</v>
      </c>
      <c r="G34" s="261" t="s">
        <v>201</v>
      </c>
      <c r="J34" s="120"/>
      <c r="K34" s="120"/>
      <c r="L34" s="120"/>
      <c r="M34" s="140">
        <f>M30*INDEX(Assumptions!N$44:N$45, MATCH($C34, Assumptions!$E$44:$E$45,0))</f>
        <v>1346.1992567001635</v>
      </c>
      <c r="N34" s="140">
        <f>N30*INDEX(Assumptions!O$44:O$45, MATCH($C34, Assumptions!$E$44:$E$45,0))</f>
        <v>1320.5743311744511</v>
      </c>
      <c r="O34" s="140">
        <f>O30*INDEX(Assumptions!P$44:P$45, MATCH($C34, Assumptions!$E$44:$E$45,0))</f>
        <v>1516.58829167004</v>
      </c>
      <c r="P34" s="140">
        <f>P30*INDEX(Assumptions!Q$44:Q$45, MATCH($C34, Assumptions!$E$44:$E$45,0))</f>
        <v>971.01172958388361</v>
      </c>
      <c r="Q34" s="140">
        <f>Q30*INDEX(Assumptions!R$44:R$45, MATCH($C34, Assumptions!$E$44:$E$45,0))</f>
        <v>1008.0169012266997</v>
      </c>
      <c r="S34" s="118">
        <f>SUM(M34:Q34)</f>
        <v>6162.3905103552379</v>
      </c>
    </row>
    <row r="35" spans="2:19" ht="12" customHeight="1" x14ac:dyDescent="0.2">
      <c r="C35" s="270"/>
      <c r="G35" s="261"/>
      <c r="J35" s="120"/>
      <c r="K35" s="120"/>
      <c r="L35" s="120"/>
      <c r="M35" s="140"/>
      <c r="N35" s="140"/>
      <c r="O35" s="140"/>
      <c r="P35" s="140"/>
      <c r="Q35" s="140"/>
      <c r="S35" s="118"/>
    </row>
    <row r="36" spans="2:19" x14ac:dyDescent="0.2">
      <c r="G36" s="259"/>
      <c r="J36" s="9"/>
      <c r="K36" s="9"/>
      <c r="L36" s="9"/>
      <c r="M36" s="9"/>
      <c r="N36" s="9"/>
      <c r="O36" s="9"/>
      <c r="P36" s="9"/>
      <c r="Q36" s="9"/>
    </row>
    <row r="37" spans="2:19" x14ac:dyDescent="0.2">
      <c r="G37" s="259"/>
      <c r="J37" s="9"/>
      <c r="K37" s="9"/>
      <c r="L37" s="9"/>
      <c r="M37" s="9"/>
      <c r="N37" s="9"/>
      <c r="O37" s="9"/>
      <c r="P37" s="9"/>
      <c r="Q37" s="9"/>
    </row>
    <row r="38" spans="2:19" x14ac:dyDescent="0.2">
      <c r="G38" s="259"/>
      <c r="J38" s="9"/>
      <c r="K38" s="9"/>
      <c r="L38" s="9"/>
      <c r="M38" s="9"/>
      <c r="N38" s="9"/>
      <c r="O38" s="9"/>
      <c r="P38" s="9"/>
      <c r="Q38" s="9"/>
    </row>
    <row r="39" spans="2:19" x14ac:dyDescent="0.2">
      <c r="J39" s="9"/>
      <c r="K39" s="9"/>
      <c r="L39" s="9"/>
      <c r="M39" s="9"/>
      <c r="N39" s="9"/>
      <c r="O39" s="9"/>
      <c r="P39" s="9"/>
      <c r="Q39" s="9"/>
    </row>
    <row r="40" spans="2:19" x14ac:dyDescent="0.2">
      <c r="J40" s="9"/>
      <c r="K40" s="9"/>
      <c r="L40" s="9"/>
      <c r="M40" s="9"/>
      <c r="N40" s="9"/>
      <c r="O40" s="9"/>
      <c r="P40" s="9"/>
      <c r="Q40" s="9"/>
    </row>
    <row r="41" spans="2:19" x14ac:dyDescent="0.2">
      <c r="J41" s="9"/>
      <c r="K41" s="9"/>
      <c r="L41" s="9"/>
      <c r="M41" s="9"/>
      <c r="N41" s="9"/>
      <c r="O41" s="9"/>
      <c r="P41" s="9"/>
      <c r="Q41" s="9"/>
    </row>
    <row r="42" spans="2:19" x14ac:dyDescent="0.2">
      <c r="J42" s="9"/>
      <c r="K42" s="9"/>
      <c r="L42" s="9"/>
      <c r="M42" s="9"/>
      <c r="N42" s="9"/>
      <c r="O42" s="9"/>
      <c r="P42" s="9"/>
      <c r="Q42" s="9"/>
    </row>
    <row r="43" spans="2:19" x14ac:dyDescent="0.2">
      <c r="J43" s="9"/>
      <c r="K43" s="9"/>
      <c r="L43" s="9"/>
      <c r="M43" s="9"/>
      <c r="N43" s="9"/>
      <c r="O43" s="9"/>
      <c r="P43" s="9"/>
      <c r="Q43" s="9"/>
    </row>
    <row r="44" spans="2:19" x14ac:dyDescent="0.2">
      <c r="J44" s="9"/>
      <c r="K44" s="9"/>
      <c r="L44" s="9"/>
      <c r="M44" s="9"/>
      <c r="N44" s="9"/>
      <c r="O44" s="9"/>
      <c r="P44" s="9"/>
      <c r="Q44" s="9"/>
    </row>
    <row r="45" spans="2:19" x14ac:dyDescent="0.2">
      <c r="J45" s="9"/>
      <c r="K45" s="9"/>
      <c r="L45" s="9"/>
      <c r="M45" s="9"/>
      <c r="N45" s="9"/>
      <c r="O45" s="9"/>
      <c r="P45" s="9"/>
      <c r="Q45" s="9"/>
    </row>
    <row r="46" spans="2:19" x14ac:dyDescent="0.2">
      <c r="J46" s="9"/>
      <c r="K46" s="9"/>
      <c r="L46" s="9"/>
      <c r="M46" s="9"/>
      <c r="N46" s="9"/>
      <c r="O46" s="9"/>
      <c r="P46" s="9"/>
      <c r="Q46" s="9"/>
    </row>
    <row r="47" spans="2:19" x14ac:dyDescent="0.2">
      <c r="J47" s="9"/>
      <c r="K47" s="9"/>
      <c r="L47" s="9"/>
      <c r="M47" s="9"/>
      <c r="N47" s="9"/>
      <c r="O47" s="9"/>
      <c r="P47" s="9"/>
      <c r="Q47" s="9"/>
    </row>
    <row r="48" spans="2:19" x14ac:dyDescent="0.2">
      <c r="J48" s="9"/>
      <c r="K48" s="9"/>
      <c r="L48" s="9"/>
      <c r="M48" s="9"/>
      <c r="N48" s="9"/>
      <c r="O48" s="9"/>
      <c r="P48" s="9"/>
      <c r="Q48" s="9"/>
    </row>
    <row r="49" spans="10:17" x14ac:dyDescent="0.2">
      <c r="J49" s="9"/>
      <c r="K49" s="9"/>
      <c r="L49" s="9"/>
      <c r="M49" s="9"/>
      <c r="N49" s="9"/>
      <c r="O49" s="9"/>
      <c r="P49" s="9"/>
      <c r="Q49" s="9"/>
    </row>
    <row r="50" spans="10:17" x14ac:dyDescent="0.2">
      <c r="J50" s="9"/>
      <c r="K50" s="9"/>
      <c r="L50" s="9"/>
      <c r="M50" s="9"/>
      <c r="N50" s="9"/>
      <c r="O50" s="9"/>
      <c r="P50" s="9"/>
      <c r="Q50" s="9"/>
    </row>
    <row r="51" spans="10:17" x14ac:dyDescent="0.2">
      <c r="J51" s="9"/>
      <c r="K51" s="9"/>
      <c r="L51" s="9"/>
      <c r="M51" s="9"/>
      <c r="N51" s="9"/>
      <c r="O51" s="9"/>
      <c r="P51" s="9"/>
      <c r="Q51" s="9"/>
    </row>
    <row r="52" spans="10:17" x14ac:dyDescent="0.2">
      <c r="J52" s="9"/>
      <c r="K52" s="9"/>
      <c r="L52" s="9"/>
      <c r="M52" s="9"/>
      <c r="N52" s="9"/>
      <c r="O52" s="9"/>
      <c r="P52" s="9"/>
      <c r="Q52" s="9"/>
    </row>
    <row r="53" spans="10:17" x14ac:dyDescent="0.2">
      <c r="J53" s="9"/>
      <c r="K53" s="9"/>
      <c r="L53" s="9"/>
      <c r="M53" s="9"/>
      <c r="N53" s="9"/>
      <c r="O53" s="9"/>
      <c r="P53" s="9"/>
      <c r="Q53" s="9"/>
    </row>
    <row r="54" spans="10:17" x14ac:dyDescent="0.2">
      <c r="J54" s="9"/>
      <c r="K54" s="9"/>
      <c r="L54" s="9"/>
      <c r="M54" s="9"/>
      <c r="N54" s="9"/>
      <c r="O54" s="9"/>
      <c r="P54" s="9"/>
      <c r="Q54" s="9"/>
    </row>
    <row r="55" spans="10:17" x14ac:dyDescent="0.2">
      <c r="J55" s="9"/>
      <c r="K55" s="9"/>
      <c r="L55" s="9"/>
      <c r="M55" s="9"/>
      <c r="N55" s="9"/>
      <c r="O55" s="9"/>
      <c r="P55" s="9"/>
      <c r="Q55" s="9"/>
    </row>
    <row r="56" spans="10:17" x14ac:dyDescent="0.2">
      <c r="J56" s="9"/>
      <c r="K56" s="9"/>
      <c r="L56" s="9"/>
      <c r="M56" s="9"/>
      <c r="N56" s="9"/>
      <c r="O56" s="9"/>
      <c r="P56" s="9"/>
      <c r="Q56" s="9"/>
    </row>
    <row r="57" spans="10:17" x14ac:dyDescent="0.2">
      <c r="J57" s="9"/>
      <c r="K57" s="9"/>
      <c r="L57" s="9"/>
      <c r="M57" s="9"/>
      <c r="N57" s="9"/>
      <c r="O57" s="9"/>
      <c r="P57" s="9"/>
      <c r="Q57" s="9"/>
    </row>
    <row r="58" spans="10:17" x14ac:dyDescent="0.2">
      <c r="J58" s="9"/>
      <c r="K58" s="9"/>
      <c r="L58" s="9"/>
      <c r="M58" s="9"/>
      <c r="N58" s="9"/>
      <c r="O58" s="9"/>
      <c r="P58" s="9"/>
      <c r="Q58" s="9"/>
    </row>
    <row r="59" spans="10:17" x14ac:dyDescent="0.2">
      <c r="J59" s="9"/>
      <c r="K59" s="9"/>
      <c r="L59" s="9"/>
      <c r="M59" s="9"/>
      <c r="N59" s="9"/>
      <c r="O59" s="9"/>
      <c r="P59" s="9"/>
      <c r="Q59" s="9"/>
    </row>
    <row r="60" spans="10:17" x14ac:dyDescent="0.2">
      <c r="J60" s="9"/>
      <c r="K60" s="9"/>
      <c r="L60" s="9"/>
      <c r="M60" s="9"/>
      <c r="N60" s="9"/>
      <c r="O60" s="9"/>
      <c r="P60" s="9"/>
      <c r="Q60" s="9"/>
    </row>
    <row r="61" spans="10:17" x14ac:dyDescent="0.2">
      <c r="J61" s="9"/>
      <c r="K61" s="9"/>
      <c r="L61" s="9"/>
      <c r="M61" s="9"/>
      <c r="N61" s="9"/>
      <c r="O61" s="9"/>
      <c r="P61" s="9"/>
      <c r="Q61" s="9"/>
    </row>
    <row r="62" spans="10:17" x14ac:dyDescent="0.2">
      <c r="J62" s="9"/>
      <c r="K62" s="9"/>
      <c r="L62" s="9"/>
      <c r="M62" s="9"/>
      <c r="N62" s="9"/>
      <c r="O62" s="9"/>
      <c r="P62" s="9"/>
      <c r="Q62" s="9"/>
    </row>
    <row r="63" spans="10:17" x14ac:dyDescent="0.2">
      <c r="J63" s="9"/>
      <c r="K63" s="9"/>
      <c r="L63" s="9"/>
      <c r="M63" s="9"/>
      <c r="N63" s="9"/>
      <c r="O63" s="9"/>
      <c r="P63" s="9"/>
      <c r="Q63" s="9"/>
    </row>
    <row r="64" spans="10:17" x14ac:dyDescent="0.2">
      <c r="J64" s="9"/>
      <c r="K64" s="9"/>
      <c r="L64" s="9"/>
      <c r="M64" s="9"/>
      <c r="N64" s="9"/>
      <c r="O64" s="9"/>
      <c r="P64" s="9"/>
      <c r="Q64" s="9"/>
    </row>
    <row r="65" spans="10:17" x14ac:dyDescent="0.2">
      <c r="J65" s="9"/>
      <c r="K65" s="9"/>
      <c r="L65" s="9"/>
      <c r="M65" s="9"/>
      <c r="N65" s="9"/>
      <c r="O65" s="9"/>
      <c r="P65" s="9"/>
      <c r="Q65" s="9"/>
    </row>
    <row r="66" spans="10:17" x14ac:dyDescent="0.2">
      <c r="J66" s="9"/>
      <c r="K66" s="9"/>
      <c r="L66" s="9"/>
      <c r="M66" s="9"/>
      <c r="N66" s="9"/>
      <c r="O66" s="9"/>
      <c r="P66" s="9"/>
      <c r="Q66" s="9"/>
    </row>
    <row r="67" spans="10:17" x14ac:dyDescent="0.2">
      <c r="J67" s="9"/>
      <c r="K67" s="9"/>
      <c r="L67" s="9"/>
      <c r="M67" s="9"/>
      <c r="N67" s="9"/>
      <c r="O67" s="9"/>
      <c r="P67" s="9"/>
      <c r="Q67" s="9"/>
    </row>
    <row r="68" spans="10:17" x14ac:dyDescent="0.2">
      <c r="J68" s="9"/>
      <c r="K68" s="9"/>
      <c r="L68" s="9"/>
      <c r="M68" s="9"/>
      <c r="N68" s="9"/>
      <c r="O68" s="9"/>
      <c r="P68" s="9"/>
      <c r="Q68" s="9"/>
    </row>
    <row r="69" spans="10:17" x14ac:dyDescent="0.2">
      <c r="J69" s="9"/>
      <c r="K69" s="9"/>
      <c r="L69" s="9"/>
      <c r="M69" s="9"/>
      <c r="N69" s="9"/>
      <c r="O69" s="9"/>
      <c r="P69" s="9"/>
      <c r="Q69" s="9"/>
    </row>
    <row r="70" spans="10:17" x14ac:dyDescent="0.2">
      <c r="J70" s="9"/>
      <c r="K70" s="9"/>
      <c r="L70" s="9"/>
      <c r="M70" s="9"/>
      <c r="N70" s="9"/>
      <c r="O70" s="9"/>
      <c r="P70" s="9"/>
      <c r="Q70" s="9"/>
    </row>
    <row r="71" spans="10:17" x14ac:dyDescent="0.2">
      <c r="J71" s="9"/>
      <c r="K71" s="9"/>
      <c r="L71" s="9"/>
      <c r="M71" s="9"/>
      <c r="N71" s="9"/>
      <c r="O71" s="9"/>
      <c r="P71" s="9"/>
      <c r="Q71" s="9"/>
    </row>
    <row r="72" spans="10:17" x14ac:dyDescent="0.2">
      <c r="J72" s="9"/>
      <c r="K72" s="9"/>
      <c r="L72" s="9"/>
      <c r="M72" s="9"/>
      <c r="N72" s="9"/>
      <c r="O72" s="9"/>
      <c r="P72" s="9"/>
      <c r="Q72" s="9"/>
    </row>
    <row r="73" spans="10:17" x14ac:dyDescent="0.2">
      <c r="J73" s="9"/>
      <c r="K73" s="9"/>
      <c r="L73" s="9"/>
      <c r="M73" s="9"/>
      <c r="N73" s="9"/>
      <c r="O73" s="9"/>
      <c r="P73" s="9"/>
      <c r="Q73" s="9"/>
    </row>
    <row r="74" spans="10:17" x14ac:dyDescent="0.2">
      <c r="J74" s="9"/>
      <c r="K74" s="9"/>
      <c r="L74" s="9"/>
      <c r="M74" s="9"/>
      <c r="N74" s="9"/>
      <c r="O74" s="9"/>
      <c r="P74" s="9"/>
      <c r="Q74" s="9"/>
    </row>
    <row r="75" spans="10:17" x14ac:dyDescent="0.2">
      <c r="J75" s="9"/>
      <c r="K75" s="9"/>
      <c r="L75" s="9"/>
      <c r="M75" s="9"/>
      <c r="N75" s="9"/>
      <c r="O75" s="9"/>
      <c r="P75" s="9"/>
      <c r="Q75" s="9"/>
    </row>
    <row r="76" spans="10:17" x14ac:dyDescent="0.2">
      <c r="J76" s="9"/>
      <c r="K76" s="9"/>
      <c r="L76" s="9"/>
      <c r="M76" s="9"/>
      <c r="N76" s="9"/>
      <c r="O76" s="9"/>
      <c r="P76" s="9"/>
      <c r="Q76" s="9"/>
    </row>
    <row r="77" spans="10:17" x14ac:dyDescent="0.2">
      <c r="J77" s="9"/>
      <c r="K77" s="9"/>
      <c r="L77" s="9"/>
      <c r="M77" s="9"/>
      <c r="N77" s="9"/>
      <c r="O77" s="9"/>
      <c r="P77" s="9"/>
      <c r="Q77" s="9"/>
    </row>
    <row r="78" spans="10:17" x14ac:dyDescent="0.2">
      <c r="J78" s="9"/>
      <c r="K78" s="9"/>
      <c r="L78" s="9"/>
      <c r="M78" s="9"/>
      <c r="N78" s="9"/>
      <c r="O78" s="9"/>
      <c r="P78" s="9"/>
      <c r="Q78" s="9"/>
    </row>
    <row r="79" spans="10:17" x14ac:dyDescent="0.2">
      <c r="J79" s="9"/>
      <c r="K79" s="9"/>
      <c r="L79" s="9"/>
      <c r="M79" s="9"/>
      <c r="N79" s="9"/>
      <c r="O79" s="9"/>
      <c r="P79" s="9"/>
      <c r="Q79" s="9"/>
    </row>
    <row r="80" spans="10:17" x14ac:dyDescent="0.2">
      <c r="J80" s="9"/>
      <c r="K80" s="9"/>
      <c r="L80" s="9"/>
      <c r="M80" s="9"/>
      <c r="N80" s="9"/>
      <c r="O80" s="9"/>
      <c r="P80" s="9"/>
      <c r="Q80" s="9"/>
    </row>
    <row r="81" spans="10:17" x14ac:dyDescent="0.2">
      <c r="J81" s="9"/>
      <c r="K81" s="9"/>
      <c r="L81" s="9"/>
      <c r="M81" s="9"/>
      <c r="N81" s="9"/>
      <c r="O81" s="9"/>
      <c r="P81" s="9"/>
      <c r="Q81" s="9"/>
    </row>
    <row r="82" spans="10:17" x14ac:dyDescent="0.2">
      <c r="J82" s="9"/>
      <c r="K82" s="9"/>
      <c r="L82" s="9"/>
      <c r="M82" s="9"/>
      <c r="N82" s="9"/>
      <c r="O82" s="9"/>
      <c r="P82" s="9"/>
      <c r="Q82" s="9"/>
    </row>
    <row r="83" spans="10:17" x14ac:dyDescent="0.2">
      <c r="J83" s="9"/>
      <c r="K83" s="9"/>
      <c r="L83" s="9"/>
      <c r="M83" s="9"/>
      <c r="N83" s="9"/>
      <c r="O83" s="9"/>
      <c r="P83" s="9"/>
      <c r="Q83" s="9"/>
    </row>
    <row r="84" spans="10:17" x14ac:dyDescent="0.2">
      <c r="J84" s="9"/>
      <c r="K84" s="9"/>
      <c r="L84" s="9"/>
      <c r="M84" s="9"/>
      <c r="N84" s="9"/>
      <c r="O84" s="9"/>
      <c r="P84" s="9"/>
      <c r="Q84" s="9"/>
    </row>
    <row r="85" spans="10:17" x14ac:dyDescent="0.2">
      <c r="J85" s="9"/>
      <c r="K85" s="9"/>
      <c r="L85" s="9"/>
      <c r="M85" s="9"/>
      <c r="N85" s="9"/>
      <c r="O85" s="9"/>
      <c r="P85" s="9"/>
      <c r="Q85" s="9"/>
    </row>
    <row r="86" spans="10:17" x14ac:dyDescent="0.2">
      <c r="J86" s="9"/>
      <c r="K86" s="9"/>
      <c r="L86" s="9"/>
      <c r="M86" s="9"/>
      <c r="N86" s="9"/>
      <c r="O86" s="9"/>
      <c r="P86" s="9"/>
      <c r="Q86" s="9"/>
    </row>
    <row r="87" spans="10:17" x14ac:dyDescent="0.2">
      <c r="J87" s="9"/>
      <c r="K87" s="9"/>
      <c r="L87" s="9"/>
      <c r="M87" s="9"/>
      <c r="N87" s="9"/>
      <c r="O87" s="9"/>
      <c r="P87" s="9"/>
      <c r="Q87" s="9"/>
    </row>
    <row r="88" spans="10:17" x14ac:dyDescent="0.2">
      <c r="J88" s="9"/>
      <c r="K88" s="9"/>
      <c r="L88" s="9"/>
      <c r="M88" s="9"/>
      <c r="N88" s="9"/>
      <c r="O88" s="9"/>
      <c r="P88" s="9"/>
      <c r="Q88" s="9"/>
    </row>
    <row r="89" spans="10:17" x14ac:dyDescent="0.2">
      <c r="J89" s="9"/>
      <c r="K89" s="9"/>
      <c r="L89" s="9"/>
      <c r="M89" s="9"/>
      <c r="N89" s="9"/>
      <c r="O89" s="9"/>
      <c r="P89" s="9"/>
      <c r="Q89" s="9"/>
    </row>
    <row r="90" spans="10:17" x14ac:dyDescent="0.2">
      <c r="J90" s="9"/>
      <c r="K90" s="9"/>
      <c r="L90" s="9"/>
      <c r="M90" s="9"/>
      <c r="N90" s="9"/>
      <c r="O90" s="9"/>
      <c r="P90" s="9"/>
      <c r="Q90" s="9"/>
    </row>
    <row r="91" spans="10:17" x14ac:dyDescent="0.2">
      <c r="J91" s="9"/>
      <c r="K91" s="9"/>
      <c r="L91" s="9"/>
      <c r="M91" s="9"/>
      <c r="N91" s="9"/>
      <c r="O91" s="9"/>
      <c r="P91" s="9"/>
      <c r="Q91" s="9"/>
    </row>
    <row r="92" spans="10:17" x14ac:dyDescent="0.2">
      <c r="J92" s="9"/>
      <c r="K92" s="9"/>
      <c r="L92" s="9"/>
      <c r="M92" s="9"/>
      <c r="N92" s="9"/>
      <c r="O92" s="9"/>
      <c r="P92" s="9"/>
      <c r="Q92" s="9"/>
    </row>
    <row r="93" spans="10:17" x14ac:dyDescent="0.2">
      <c r="J93" s="9"/>
      <c r="K93" s="9"/>
      <c r="L93" s="9"/>
      <c r="M93" s="9"/>
      <c r="N93" s="9"/>
      <c r="O93" s="9"/>
      <c r="P93" s="9"/>
      <c r="Q93" s="9"/>
    </row>
    <row r="94" spans="10:17" x14ac:dyDescent="0.2">
      <c r="J94" s="9"/>
      <c r="K94" s="9"/>
      <c r="L94" s="9"/>
      <c r="M94" s="9"/>
      <c r="N94" s="9"/>
      <c r="O94" s="9"/>
      <c r="P94" s="9"/>
      <c r="Q94" s="9"/>
    </row>
    <row r="95" spans="10:17" x14ac:dyDescent="0.2">
      <c r="J95" s="9"/>
      <c r="K95" s="9"/>
      <c r="L95" s="9"/>
      <c r="M95" s="9"/>
      <c r="N95" s="9"/>
      <c r="O95" s="9"/>
      <c r="P95" s="9"/>
      <c r="Q95" s="9"/>
    </row>
    <row r="96" spans="10:17" x14ac:dyDescent="0.2">
      <c r="J96" s="9"/>
      <c r="K96" s="9"/>
      <c r="L96" s="9"/>
      <c r="M96" s="9"/>
      <c r="N96" s="9"/>
      <c r="O96" s="9"/>
      <c r="P96" s="9"/>
      <c r="Q96" s="9"/>
    </row>
    <row r="97" spans="10:17" x14ac:dyDescent="0.2">
      <c r="J97" s="9"/>
      <c r="K97" s="9"/>
      <c r="L97" s="9"/>
      <c r="M97" s="9"/>
      <c r="N97" s="9"/>
      <c r="O97" s="9"/>
      <c r="P97" s="9"/>
      <c r="Q97" s="9"/>
    </row>
    <row r="98" spans="10:17" x14ac:dyDescent="0.2">
      <c r="J98" s="9"/>
      <c r="K98" s="9"/>
      <c r="L98" s="9"/>
      <c r="M98" s="9"/>
      <c r="N98" s="9"/>
      <c r="O98" s="9"/>
      <c r="P98" s="9"/>
      <c r="Q98" s="9"/>
    </row>
    <row r="99" spans="10:17" x14ac:dyDescent="0.2">
      <c r="J99" s="9"/>
      <c r="K99" s="9"/>
      <c r="L99" s="9"/>
      <c r="M99" s="9"/>
      <c r="N99" s="9"/>
      <c r="O99" s="9"/>
      <c r="P99" s="9"/>
      <c r="Q99" s="9"/>
    </row>
    <row r="100" spans="10:17" x14ac:dyDescent="0.2">
      <c r="J100" s="9"/>
      <c r="K100" s="9"/>
      <c r="L100" s="9"/>
      <c r="M100" s="9"/>
      <c r="N100" s="9"/>
      <c r="O100" s="9"/>
      <c r="P100" s="9"/>
      <c r="Q100" s="9"/>
    </row>
    <row r="101" spans="10:17" x14ac:dyDescent="0.2">
      <c r="J101" s="9"/>
      <c r="K101" s="9"/>
      <c r="L101" s="9"/>
      <c r="M101" s="9"/>
      <c r="N101" s="9"/>
      <c r="O101" s="9"/>
      <c r="P101" s="9"/>
      <c r="Q101" s="9"/>
    </row>
    <row r="102" spans="10:17" x14ac:dyDescent="0.2">
      <c r="J102" s="9"/>
      <c r="K102" s="9"/>
      <c r="L102" s="9"/>
      <c r="M102" s="9"/>
      <c r="N102" s="9"/>
      <c r="O102" s="9"/>
      <c r="P102" s="9"/>
      <c r="Q102" s="9"/>
    </row>
    <row r="103" spans="10:17" x14ac:dyDescent="0.2">
      <c r="J103" s="9"/>
      <c r="K103" s="9"/>
      <c r="L103" s="9"/>
      <c r="M103" s="9"/>
      <c r="N103" s="9"/>
      <c r="O103" s="9"/>
      <c r="P103" s="9"/>
      <c r="Q103" s="9"/>
    </row>
    <row r="104" spans="10:17" x14ac:dyDescent="0.2">
      <c r="J104" s="9"/>
      <c r="K104" s="9"/>
      <c r="L104" s="9"/>
      <c r="M104" s="9"/>
      <c r="N104" s="9"/>
      <c r="O104" s="9"/>
      <c r="P104" s="9"/>
      <c r="Q104" s="9"/>
    </row>
    <row r="105" spans="10:17" x14ac:dyDescent="0.2">
      <c r="J105" s="9"/>
      <c r="K105" s="9"/>
      <c r="L105" s="9"/>
      <c r="M105" s="9"/>
      <c r="N105" s="9"/>
      <c r="O105" s="9"/>
      <c r="P105" s="9"/>
      <c r="Q105" s="9"/>
    </row>
    <row r="106" spans="10:17" x14ac:dyDescent="0.2">
      <c r="J106" s="9"/>
      <c r="K106" s="9"/>
      <c r="L106" s="9"/>
      <c r="M106" s="9"/>
      <c r="N106" s="9"/>
      <c r="O106" s="9"/>
      <c r="P106" s="9"/>
      <c r="Q106" s="9"/>
    </row>
    <row r="107" spans="10:17" x14ac:dyDescent="0.2">
      <c r="J107" s="9"/>
      <c r="K107" s="9"/>
      <c r="L107" s="9"/>
      <c r="M107" s="9"/>
      <c r="N107" s="9"/>
      <c r="O107" s="9"/>
      <c r="P107" s="9"/>
      <c r="Q107" s="9"/>
    </row>
    <row r="108" spans="10:17" x14ac:dyDescent="0.2">
      <c r="J108" s="9"/>
      <c r="K108" s="9"/>
      <c r="L108" s="9"/>
      <c r="M108" s="9"/>
      <c r="N108" s="9"/>
      <c r="O108" s="9"/>
      <c r="P108" s="9"/>
      <c r="Q108" s="9"/>
    </row>
    <row r="109" spans="10:17" x14ac:dyDescent="0.2">
      <c r="J109" s="9"/>
      <c r="K109" s="9"/>
      <c r="L109" s="9"/>
      <c r="M109" s="9"/>
      <c r="N109" s="9"/>
      <c r="O109" s="9"/>
      <c r="P109" s="9"/>
      <c r="Q109" s="9"/>
    </row>
    <row r="110" spans="10:17" x14ac:dyDescent="0.2">
      <c r="J110" s="9"/>
      <c r="K110" s="9"/>
      <c r="L110" s="9"/>
      <c r="M110" s="9"/>
      <c r="N110" s="9"/>
      <c r="O110" s="9"/>
      <c r="P110" s="9"/>
      <c r="Q110" s="9"/>
    </row>
    <row r="111" spans="10:17" x14ac:dyDescent="0.2">
      <c r="J111" s="9"/>
      <c r="K111" s="9"/>
      <c r="L111" s="9"/>
      <c r="M111" s="9"/>
      <c r="N111" s="9"/>
      <c r="O111" s="9"/>
      <c r="P111" s="9"/>
      <c r="Q111" s="9"/>
    </row>
    <row r="112" spans="10:17" x14ac:dyDescent="0.2">
      <c r="J112" s="9"/>
      <c r="K112" s="9"/>
      <c r="L112" s="9"/>
      <c r="M112" s="9"/>
      <c r="N112" s="9"/>
      <c r="O112" s="9"/>
      <c r="P112" s="9"/>
      <c r="Q112" s="9"/>
    </row>
    <row r="113" spans="10:17" x14ac:dyDescent="0.2">
      <c r="J113" s="9"/>
      <c r="K113" s="9"/>
      <c r="L113" s="9"/>
      <c r="M113" s="9"/>
      <c r="N113" s="9"/>
      <c r="O113" s="9"/>
      <c r="P113" s="9"/>
      <c r="Q113" s="9"/>
    </row>
    <row r="114" spans="10:17" x14ac:dyDescent="0.2">
      <c r="J114" s="9"/>
      <c r="K114" s="9"/>
      <c r="L114" s="9"/>
      <c r="M114" s="9"/>
      <c r="N114" s="9"/>
      <c r="O114" s="9"/>
      <c r="P114" s="9"/>
      <c r="Q114" s="9"/>
    </row>
    <row r="115" spans="10:17" x14ac:dyDescent="0.2">
      <c r="J115" s="9"/>
      <c r="K115" s="9"/>
      <c r="L115" s="9"/>
      <c r="M115" s="9"/>
      <c r="N115" s="9"/>
      <c r="O115" s="9"/>
      <c r="P115" s="9"/>
      <c r="Q115" s="9"/>
    </row>
    <row r="116" spans="10:17" x14ac:dyDescent="0.2">
      <c r="J116" s="9"/>
      <c r="K116" s="9"/>
      <c r="L116" s="9"/>
      <c r="M116" s="9"/>
      <c r="N116" s="9"/>
      <c r="O116" s="9"/>
      <c r="P116" s="9"/>
      <c r="Q116" s="9"/>
    </row>
    <row r="117" spans="10:17" x14ac:dyDescent="0.2">
      <c r="J117" s="9"/>
      <c r="K117" s="9"/>
      <c r="L117" s="9"/>
      <c r="M117" s="9"/>
      <c r="N117" s="9"/>
      <c r="O117" s="9"/>
      <c r="P117" s="9"/>
      <c r="Q117" s="9"/>
    </row>
    <row r="118" spans="10:17" x14ac:dyDescent="0.2">
      <c r="J118" s="9"/>
      <c r="K118" s="9"/>
      <c r="L118" s="9"/>
      <c r="M118" s="9"/>
      <c r="N118" s="9"/>
      <c r="O118" s="9"/>
      <c r="P118" s="9"/>
      <c r="Q118" s="9"/>
    </row>
    <row r="119" spans="10:17" x14ac:dyDescent="0.2">
      <c r="J119" s="9"/>
      <c r="K119" s="9"/>
      <c r="L119" s="9"/>
      <c r="M119" s="9"/>
      <c r="N119" s="9"/>
      <c r="O119" s="9"/>
      <c r="P119" s="9"/>
      <c r="Q119" s="9"/>
    </row>
    <row r="120" spans="10:17" x14ac:dyDescent="0.2">
      <c r="J120" s="9"/>
      <c r="K120" s="9"/>
      <c r="L120" s="9"/>
      <c r="M120" s="9"/>
      <c r="N120" s="9"/>
      <c r="O120" s="9"/>
      <c r="P120" s="9"/>
      <c r="Q120" s="9"/>
    </row>
    <row r="121" spans="10:17" x14ac:dyDescent="0.2">
      <c r="J121" s="9"/>
      <c r="K121" s="9"/>
      <c r="L121" s="9"/>
      <c r="M121" s="9"/>
      <c r="N121" s="9"/>
      <c r="O121" s="9"/>
      <c r="P121" s="9"/>
      <c r="Q121" s="9"/>
    </row>
    <row r="122" spans="10:17" x14ac:dyDescent="0.2">
      <c r="J122" s="9"/>
      <c r="K122" s="9"/>
      <c r="L122" s="9"/>
      <c r="M122" s="9"/>
      <c r="N122" s="9"/>
      <c r="O122" s="9"/>
      <c r="P122" s="9"/>
      <c r="Q122" s="9"/>
    </row>
    <row r="123" spans="10:17" x14ac:dyDescent="0.2">
      <c r="J123" s="9"/>
      <c r="K123" s="9"/>
      <c r="L123" s="9"/>
      <c r="M123" s="9"/>
      <c r="N123" s="9"/>
      <c r="O123" s="9"/>
      <c r="P123" s="9"/>
      <c r="Q123" s="9"/>
    </row>
    <row r="124" spans="10:17" x14ac:dyDescent="0.2">
      <c r="J124" s="9"/>
      <c r="K124" s="9"/>
      <c r="L124" s="9"/>
      <c r="M124" s="9"/>
      <c r="N124" s="9"/>
      <c r="O124" s="9"/>
      <c r="P124" s="9"/>
      <c r="Q124" s="9"/>
    </row>
    <row r="125" spans="10:17" x14ac:dyDescent="0.2">
      <c r="J125" s="9"/>
      <c r="K125" s="9"/>
      <c r="L125" s="9"/>
      <c r="M125" s="9"/>
      <c r="N125" s="9"/>
      <c r="O125" s="9"/>
      <c r="P125" s="9"/>
      <c r="Q125" s="9"/>
    </row>
    <row r="126" spans="10:17" x14ac:dyDescent="0.2">
      <c r="J126" s="9"/>
      <c r="K126" s="9"/>
      <c r="L126" s="9"/>
      <c r="M126" s="9"/>
      <c r="N126" s="9"/>
      <c r="O126" s="9"/>
      <c r="P126" s="9"/>
      <c r="Q126" s="9"/>
    </row>
    <row r="127" spans="10:17" x14ac:dyDescent="0.2">
      <c r="J127" s="9"/>
      <c r="K127" s="9"/>
      <c r="L127" s="9"/>
      <c r="M127" s="9"/>
      <c r="N127" s="9"/>
      <c r="O127" s="9"/>
      <c r="P127" s="9"/>
      <c r="Q127" s="9"/>
    </row>
    <row r="128" spans="10:17" x14ac:dyDescent="0.2">
      <c r="J128" s="9"/>
      <c r="K128" s="9"/>
      <c r="L128" s="9"/>
      <c r="M128" s="9"/>
      <c r="N128" s="9"/>
      <c r="O128" s="9"/>
      <c r="P128" s="9"/>
      <c r="Q128" s="9"/>
    </row>
    <row r="129" spans="10:17" x14ac:dyDescent="0.2">
      <c r="J129" s="9"/>
      <c r="K129" s="9"/>
      <c r="L129" s="9"/>
      <c r="M129" s="9"/>
      <c r="N129" s="9"/>
      <c r="O129" s="9"/>
      <c r="P129" s="9"/>
      <c r="Q129" s="9"/>
    </row>
    <row r="130" spans="10:17" x14ac:dyDescent="0.2">
      <c r="J130" s="9"/>
      <c r="K130" s="9"/>
      <c r="L130" s="9"/>
      <c r="M130" s="9"/>
      <c r="N130" s="9"/>
      <c r="O130" s="9"/>
      <c r="P130" s="9"/>
      <c r="Q130" s="9"/>
    </row>
    <row r="131" spans="10:17" x14ac:dyDescent="0.2">
      <c r="J131" s="9"/>
      <c r="K131" s="9"/>
      <c r="L131" s="9"/>
      <c r="M131" s="9"/>
      <c r="N131" s="9"/>
      <c r="O131" s="9"/>
      <c r="P131" s="9"/>
      <c r="Q131" s="9"/>
    </row>
    <row r="132" spans="10:17" x14ac:dyDescent="0.2">
      <c r="J132" s="9"/>
      <c r="K132" s="9"/>
      <c r="L132" s="9"/>
      <c r="M132" s="9"/>
      <c r="N132" s="9"/>
      <c r="O132" s="9"/>
      <c r="P132" s="9"/>
      <c r="Q132" s="9"/>
    </row>
    <row r="133" spans="10:17" x14ac:dyDescent="0.2">
      <c r="J133" s="9"/>
      <c r="K133" s="9"/>
      <c r="L133" s="9"/>
      <c r="M133" s="9"/>
      <c r="N133" s="9"/>
      <c r="O133" s="9"/>
      <c r="P133" s="9"/>
      <c r="Q133" s="9"/>
    </row>
    <row r="134" spans="10:17" x14ac:dyDescent="0.2">
      <c r="J134" s="9"/>
      <c r="K134" s="9"/>
      <c r="L134" s="9"/>
      <c r="M134" s="9"/>
      <c r="N134" s="9"/>
      <c r="O134" s="9"/>
      <c r="P134" s="9"/>
      <c r="Q134" s="9"/>
    </row>
    <row r="135" spans="10:17" x14ac:dyDescent="0.2">
      <c r="J135" s="9"/>
      <c r="K135" s="9"/>
      <c r="L135" s="9"/>
      <c r="M135" s="9"/>
      <c r="N135" s="9"/>
      <c r="O135" s="9"/>
      <c r="P135" s="9"/>
      <c r="Q135" s="9"/>
    </row>
    <row r="136" spans="10:17" x14ac:dyDescent="0.2">
      <c r="J136" s="9"/>
      <c r="K136" s="9"/>
      <c r="L136" s="9"/>
      <c r="M136" s="9"/>
      <c r="N136" s="9"/>
      <c r="O136" s="9"/>
      <c r="P136" s="9"/>
      <c r="Q136" s="9"/>
    </row>
    <row r="137" spans="10:17" x14ac:dyDescent="0.2">
      <c r="J137" s="9"/>
      <c r="K137" s="9"/>
      <c r="L137" s="9"/>
      <c r="M137" s="9"/>
      <c r="N137" s="9"/>
      <c r="O137" s="9"/>
      <c r="P137" s="9"/>
      <c r="Q137" s="9"/>
    </row>
    <row r="138" spans="10:17" x14ac:dyDescent="0.2">
      <c r="J138" s="9"/>
      <c r="K138" s="9"/>
      <c r="L138" s="9"/>
      <c r="M138" s="9"/>
      <c r="N138" s="9"/>
      <c r="O138" s="9"/>
      <c r="P138" s="9"/>
      <c r="Q138" s="9"/>
    </row>
    <row r="139" spans="10:17" x14ac:dyDescent="0.2">
      <c r="J139" s="9"/>
      <c r="K139" s="9"/>
      <c r="L139" s="9"/>
      <c r="M139" s="9"/>
      <c r="N139" s="9"/>
      <c r="O139" s="9"/>
      <c r="P139" s="9"/>
      <c r="Q139" s="9"/>
    </row>
    <row r="140" spans="10:17" x14ac:dyDescent="0.2">
      <c r="J140" s="9"/>
      <c r="K140" s="9"/>
      <c r="L140" s="9"/>
      <c r="M140" s="9"/>
      <c r="N140" s="9"/>
      <c r="O140" s="9"/>
      <c r="P140" s="9"/>
      <c r="Q140" s="9"/>
    </row>
    <row r="141" spans="10:17" x14ac:dyDescent="0.2">
      <c r="J141" s="9"/>
      <c r="K141" s="9"/>
      <c r="L141" s="9"/>
      <c r="M141" s="9"/>
      <c r="N141" s="9"/>
      <c r="O141" s="9"/>
      <c r="P141" s="9"/>
      <c r="Q141" s="9"/>
    </row>
    <row r="142" spans="10:17" x14ac:dyDescent="0.2">
      <c r="J142" s="9"/>
      <c r="K142" s="9"/>
      <c r="L142" s="9"/>
      <c r="M142" s="9"/>
      <c r="N142" s="9"/>
      <c r="O142" s="9"/>
      <c r="P142" s="9"/>
      <c r="Q142" s="9"/>
    </row>
    <row r="143" spans="10:17" x14ac:dyDescent="0.2">
      <c r="J143" s="9"/>
      <c r="K143" s="9"/>
      <c r="L143" s="9"/>
      <c r="M143" s="9"/>
      <c r="N143" s="9"/>
      <c r="O143" s="9"/>
      <c r="P143" s="9"/>
      <c r="Q143" s="9"/>
    </row>
    <row r="144" spans="10:17" x14ac:dyDescent="0.2">
      <c r="J144" s="9"/>
      <c r="K144" s="9"/>
      <c r="L144" s="9"/>
      <c r="M144" s="9"/>
      <c r="N144" s="9"/>
      <c r="O144" s="9"/>
      <c r="P144" s="9"/>
      <c r="Q144" s="9"/>
    </row>
    <row r="145" spans="10:17" x14ac:dyDescent="0.2">
      <c r="J145" s="9"/>
      <c r="K145" s="9"/>
      <c r="L145" s="9"/>
      <c r="M145" s="9"/>
      <c r="N145" s="9"/>
      <c r="O145" s="9"/>
      <c r="P145" s="9"/>
      <c r="Q145" s="9"/>
    </row>
    <row r="146" spans="10:17" x14ac:dyDescent="0.2">
      <c r="J146" s="9"/>
      <c r="K146" s="9"/>
      <c r="L146" s="9"/>
      <c r="M146" s="9"/>
      <c r="N146" s="9"/>
      <c r="O146" s="9"/>
      <c r="P146" s="9"/>
      <c r="Q146" s="9"/>
    </row>
    <row r="147" spans="10:17" x14ac:dyDescent="0.2">
      <c r="J147" s="9"/>
      <c r="K147" s="9"/>
      <c r="L147" s="9"/>
      <c r="M147" s="9"/>
      <c r="N147" s="9"/>
      <c r="O147" s="9"/>
      <c r="P147" s="9"/>
      <c r="Q147" s="9"/>
    </row>
    <row r="148" spans="10:17" x14ac:dyDescent="0.2">
      <c r="J148" s="9"/>
      <c r="K148" s="9"/>
      <c r="L148" s="9"/>
      <c r="M148" s="9"/>
      <c r="N148" s="9"/>
      <c r="O148" s="9"/>
      <c r="P148" s="9"/>
      <c r="Q148" s="9"/>
    </row>
    <row r="149" spans="10:17" x14ac:dyDescent="0.2">
      <c r="J149" s="9"/>
      <c r="K149" s="9"/>
      <c r="L149" s="9"/>
      <c r="M149" s="9"/>
      <c r="N149" s="9"/>
      <c r="O149" s="9"/>
      <c r="P149" s="9"/>
      <c r="Q149" s="9"/>
    </row>
    <row r="150" spans="10:17" x14ac:dyDescent="0.2">
      <c r="J150" s="9"/>
      <c r="K150" s="9"/>
      <c r="L150" s="9"/>
      <c r="M150" s="9"/>
      <c r="N150" s="9"/>
      <c r="O150" s="9"/>
      <c r="P150" s="9"/>
      <c r="Q150" s="9"/>
    </row>
    <row r="151" spans="10:17" x14ac:dyDescent="0.2">
      <c r="J151" s="9"/>
      <c r="K151" s="9"/>
      <c r="L151" s="9"/>
      <c r="M151" s="9"/>
      <c r="N151" s="9"/>
      <c r="O151" s="9"/>
      <c r="P151" s="9"/>
      <c r="Q151" s="9"/>
    </row>
    <row r="152" spans="10:17" x14ac:dyDescent="0.2">
      <c r="J152" s="9"/>
      <c r="K152" s="9"/>
      <c r="L152" s="9"/>
      <c r="M152" s="9"/>
      <c r="N152" s="9"/>
      <c r="O152" s="9"/>
      <c r="P152" s="9"/>
      <c r="Q152" s="9"/>
    </row>
    <row r="153" spans="10:17" x14ac:dyDescent="0.2">
      <c r="J153" s="9"/>
      <c r="K153" s="9"/>
      <c r="L153" s="9"/>
      <c r="M153" s="9"/>
      <c r="N153" s="9"/>
      <c r="O153" s="9"/>
      <c r="P153" s="9"/>
      <c r="Q153" s="9"/>
    </row>
    <row r="154" spans="10:17" x14ac:dyDescent="0.2">
      <c r="J154" s="9"/>
      <c r="K154" s="9"/>
      <c r="L154" s="9"/>
      <c r="M154" s="9"/>
      <c r="N154" s="9"/>
      <c r="O154" s="9"/>
      <c r="P154" s="9"/>
      <c r="Q154" s="9"/>
    </row>
    <row r="155" spans="10:17" x14ac:dyDescent="0.2">
      <c r="J155" s="9"/>
      <c r="K155" s="9"/>
      <c r="L155" s="9"/>
      <c r="M155" s="9"/>
      <c r="N155" s="9"/>
      <c r="O155" s="9"/>
      <c r="P155" s="9"/>
      <c r="Q155" s="9"/>
    </row>
    <row r="156" spans="10:17" x14ac:dyDescent="0.2">
      <c r="J156" s="9"/>
      <c r="K156" s="9"/>
      <c r="L156" s="9"/>
      <c r="M156" s="9"/>
      <c r="N156" s="9"/>
      <c r="O156" s="9"/>
      <c r="P156" s="9"/>
      <c r="Q156" s="9"/>
    </row>
    <row r="157" spans="10:17" x14ac:dyDescent="0.2">
      <c r="J157" s="9"/>
      <c r="K157" s="9"/>
      <c r="L157" s="9"/>
      <c r="M157" s="9"/>
      <c r="N157" s="9"/>
      <c r="O157" s="9"/>
      <c r="P157" s="9"/>
      <c r="Q157" s="9"/>
    </row>
    <row r="158" spans="10:17" x14ac:dyDescent="0.2">
      <c r="J158" s="9"/>
      <c r="K158" s="9"/>
      <c r="L158" s="9"/>
      <c r="M158" s="9"/>
      <c r="N158" s="9"/>
      <c r="O158" s="9"/>
      <c r="P158" s="9"/>
      <c r="Q158" s="9"/>
    </row>
    <row r="159" spans="10:17" x14ac:dyDescent="0.2">
      <c r="J159" s="9"/>
      <c r="K159" s="9"/>
      <c r="L159" s="9"/>
      <c r="M159" s="9"/>
      <c r="N159" s="9"/>
      <c r="O159" s="9"/>
      <c r="P159" s="9"/>
      <c r="Q159" s="9"/>
    </row>
    <row r="160" spans="10:17" x14ac:dyDescent="0.2">
      <c r="J160" s="9"/>
      <c r="K160" s="9"/>
      <c r="L160" s="9"/>
      <c r="M160" s="9"/>
      <c r="N160" s="9"/>
      <c r="O160" s="9"/>
      <c r="P160" s="9"/>
      <c r="Q160" s="9"/>
    </row>
    <row r="161" spans="10:17" x14ac:dyDescent="0.2">
      <c r="J161" s="9"/>
      <c r="K161" s="9"/>
      <c r="L161" s="9"/>
      <c r="M161" s="9"/>
      <c r="N161" s="9"/>
      <c r="O161" s="9"/>
      <c r="P161" s="9"/>
      <c r="Q161" s="9"/>
    </row>
    <row r="162" spans="10:17" x14ac:dyDescent="0.2">
      <c r="J162" s="9"/>
      <c r="K162" s="9"/>
      <c r="L162" s="9"/>
      <c r="M162" s="9"/>
      <c r="N162" s="9"/>
      <c r="O162" s="9"/>
      <c r="P162" s="9"/>
      <c r="Q162" s="9"/>
    </row>
    <row r="163" spans="10:17" x14ac:dyDescent="0.2">
      <c r="J163" s="9"/>
      <c r="K163" s="9"/>
      <c r="L163" s="9"/>
      <c r="M163" s="9"/>
      <c r="N163" s="9"/>
      <c r="O163" s="9"/>
      <c r="P163" s="9"/>
      <c r="Q163" s="9"/>
    </row>
    <row r="164" spans="10:17" x14ac:dyDescent="0.2">
      <c r="J164" s="9"/>
      <c r="K164" s="9"/>
      <c r="L164" s="9"/>
      <c r="M164" s="9"/>
      <c r="N164" s="9"/>
      <c r="O164" s="9"/>
      <c r="P164" s="9"/>
      <c r="Q164" s="9"/>
    </row>
    <row r="165" spans="10:17" x14ac:dyDescent="0.2">
      <c r="J165" s="9"/>
      <c r="K165" s="9"/>
      <c r="L165" s="9"/>
      <c r="M165" s="9"/>
      <c r="N165" s="9"/>
      <c r="O165" s="9"/>
      <c r="P165" s="9"/>
      <c r="Q165" s="9"/>
    </row>
    <row r="166" spans="10:17" x14ac:dyDescent="0.2">
      <c r="J166" s="9"/>
      <c r="K166" s="9"/>
      <c r="L166" s="9"/>
      <c r="M166" s="9"/>
      <c r="N166" s="9"/>
      <c r="O166" s="9"/>
      <c r="P166" s="9"/>
      <c r="Q166" s="9"/>
    </row>
    <row r="167" spans="10:17" x14ac:dyDescent="0.2">
      <c r="J167" s="9"/>
      <c r="K167" s="9"/>
      <c r="L167" s="9"/>
      <c r="M167" s="9"/>
      <c r="N167" s="9"/>
      <c r="O167" s="9"/>
      <c r="P167" s="9"/>
      <c r="Q167" s="9"/>
    </row>
    <row r="168" spans="10:17" x14ac:dyDescent="0.2">
      <c r="J168" s="9"/>
      <c r="K168" s="9"/>
      <c r="L168" s="9"/>
      <c r="M168" s="9"/>
      <c r="N168" s="9"/>
      <c r="O168" s="9"/>
      <c r="P168" s="9"/>
      <c r="Q168" s="9"/>
    </row>
    <row r="169" spans="10:17" x14ac:dyDescent="0.2">
      <c r="J169" s="9"/>
      <c r="K169" s="9"/>
      <c r="L169" s="9"/>
      <c r="M169" s="9"/>
      <c r="N169" s="9"/>
      <c r="O169" s="9"/>
      <c r="P169" s="9"/>
      <c r="Q169" s="9"/>
    </row>
    <row r="170" spans="10:17" x14ac:dyDescent="0.2">
      <c r="J170" s="9"/>
      <c r="K170" s="9"/>
      <c r="L170" s="9"/>
      <c r="M170" s="9"/>
      <c r="N170" s="9"/>
      <c r="O170" s="9"/>
      <c r="P170" s="9"/>
      <c r="Q170" s="9"/>
    </row>
    <row r="171" spans="10:17" x14ac:dyDescent="0.2">
      <c r="J171" s="9"/>
      <c r="K171" s="9"/>
      <c r="L171" s="9"/>
      <c r="M171" s="9"/>
      <c r="N171" s="9"/>
      <c r="O171" s="9"/>
      <c r="P171" s="9"/>
      <c r="Q171" s="9"/>
    </row>
    <row r="172" spans="10:17" x14ac:dyDescent="0.2">
      <c r="J172" s="9"/>
      <c r="K172" s="9"/>
      <c r="L172" s="9"/>
      <c r="M172" s="9"/>
      <c r="N172" s="9"/>
      <c r="O172" s="9"/>
      <c r="P172" s="9"/>
      <c r="Q172" s="9"/>
    </row>
    <row r="173" spans="10:17" x14ac:dyDescent="0.2">
      <c r="J173" s="9"/>
      <c r="K173" s="9"/>
      <c r="L173" s="9"/>
      <c r="M173" s="9"/>
      <c r="N173" s="9"/>
      <c r="O173" s="9"/>
      <c r="P173" s="9"/>
      <c r="Q173" s="9"/>
    </row>
    <row r="174" spans="10:17" x14ac:dyDescent="0.2">
      <c r="J174" s="9"/>
      <c r="K174" s="9"/>
      <c r="L174" s="9"/>
      <c r="M174" s="9"/>
      <c r="N174" s="9"/>
      <c r="O174" s="9"/>
      <c r="P174" s="9"/>
      <c r="Q174" s="9"/>
    </row>
    <row r="175" spans="10:17" x14ac:dyDescent="0.2">
      <c r="J175" s="9"/>
      <c r="K175" s="9"/>
      <c r="L175" s="9"/>
      <c r="M175" s="9"/>
      <c r="N175" s="9"/>
      <c r="O175" s="9"/>
      <c r="P175" s="9"/>
      <c r="Q175" s="9"/>
    </row>
    <row r="176" spans="10:17" x14ac:dyDescent="0.2">
      <c r="J176" s="9"/>
      <c r="K176" s="9"/>
      <c r="L176" s="9"/>
      <c r="M176" s="9"/>
      <c r="N176" s="9"/>
      <c r="O176" s="9"/>
      <c r="P176" s="9"/>
      <c r="Q176" s="9"/>
    </row>
    <row r="177" spans="10:17" x14ac:dyDescent="0.2">
      <c r="J177" s="9"/>
      <c r="K177" s="9"/>
      <c r="L177" s="9"/>
      <c r="M177" s="9"/>
      <c r="N177" s="9"/>
      <c r="O177" s="9"/>
      <c r="P177" s="9"/>
      <c r="Q177" s="9"/>
    </row>
    <row r="178" spans="10:17" x14ac:dyDescent="0.2">
      <c r="J178" s="9"/>
      <c r="K178" s="9"/>
      <c r="L178" s="9"/>
      <c r="M178" s="9"/>
      <c r="N178" s="9"/>
      <c r="O178" s="9"/>
      <c r="P178" s="9"/>
      <c r="Q178" s="9"/>
    </row>
    <row r="179" spans="10:17" x14ac:dyDescent="0.2">
      <c r="J179" s="9"/>
      <c r="K179" s="9"/>
      <c r="L179" s="9"/>
      <c r="M179" s="9"/>
      <c r="N179" s="9"/>
      <c r="O179" s="9"/>
      <c r="P179" s="9"/>
      <c r="Q179" s="9"/>
    </row>
    <row r="180" spans="10:17" x14ac:dyDescent="0.2">
      <c r="J180" s="9"/>
      <c r="K180" s="9"/>
      <c r="L180" s="9"/>
      <c r="M180" s="9"/>
      <c r="N180" s="9"/>
      <c r="O180" s="9"/>
      <c r="P180" s="9"/>
      <c r="Q180" s="9"/>
    </row>
    <row r="181" spans="10:17" x14ac:dyDescent="0.2">
      <c r="J181" s="9"/>
      <c r="K181" s="9"/>
      <c r="L181" s="9"/>
      <c r="M181" s="9"/>
      <c r="N181" s="9"/>
      <c r="O181" s="9"/>
      <c r="P181" s="9"/>
      <c r="Q181" s="9"/>
    </row>
    <row r="182" spans="10:17" x14ac:dyDescent="0.2">
      <c r="J182" s="9"/>
      <c r="K182" s="9"/>
      <c r="L182" s="9"/>
      <c r="M182" s="9"/>
      <c r="N182" s="9"/>
      <c r="O182" s="9"/>
      <c r="P182" s="9"/>
      <c r="Q182" s="9"/>
    </row>
    <row r="183" spans="10:17" x14ac:dyDescent="0.2">
      <c r="J183" s="9"/>
      <c r="K183" s="9"/>
      <c r="L183" s="9"/>
      <c r="M183" s="9"/>
      <c r="N183" s="9"/>
      <c r="O183" s="9"/>
      <c r="P183" s="9"/>
      <c r="Q183" s="9"/>
    </row>
    <row r="184" spans="10:17" x14ac:dyDescent="0.2">
      <c r="J184" s="9"/>
      <c r="K184" s="9"/>
      <c r="L184" s="9"/>
      <c r="M184" s="9"/>
      <c r="N184" s="9"/>
      <c r="O184" s="9"/>
      <c r="P184" s="9"/>
      <c r="Q184" s="9"/>
    </row>
    <row r="185" spans="10:17" x14ac:dyDescent="0.2">
      <c r="J185" s="9"/>
      <c r="K185" s="9"/>
      <c r="L185" s="9"/>
      <c r="M185" s="9"/>
      <c r="N185" s="9"/>
      <c r="O185" s="9"/>
      <c r="P185" s="9"/>
      <c r="Q185" s="9"/>
    </row>
    <row r="186" spans="10:17" x14ac:dyDescent="0.2">
      <c r="J186" s="9"/>
      <c r="K186" s="9"/>
      <c r="L186" s="9"/>
      <c r="M186" s="9"/>
      <c r="N186" s="9"/>
      <c r="O186" s="9"/>
      <c r="P186" s="9"/>
      <c r="Q186" s="9"/>
    </row>
    <row r="187" spans="10:17" x14ac:dyDescent="0.2">
      <c r="J187" s="9"/>
      <c r="K187" s="9"/>
      <c r="L187" s="9"/>
      <c r="M187" s="9"/>
      <c r="N187" s="9"/>
      <c r="O187" s="9"/>
      <c r="P187" s="9"/>
      <c r="Q187" s="9"/>
    </row>
    <row r="188" spans="10:17" x14ac:dyDescent="0.2">
      <c r="J188" s="9"/>
      <c r="K188" s="9"/>
      <c r="L188" s="9"/>
      <c r="M188" s="9"/>
      <c r="N188" s="9"/>
      <c r="O188" s="9"/>
      <c r="P188" s="9"/>
      <c r="Q188" s="9"/>
    </row>
    <row r="189" spans="10:17" x14ac:dyDescent="0.2">
      <c r="J189" s="9"/>
      <c r="K189" s="9"/>
      <c r="L189" s="9"/>
      <c r="M189" s="9"/>
      <c r="N189" s="9"/>
      <c r="O189" s="9"/>
      <c r="P189" s="9"/>
      <c r="Q189" s="9"/>
    </row>
    <row r="190" spans="10:17" x14ac:dyDescent="0.2">
      <c r="J190" s="9"/>
      <c r="K190" s="9"/>
      <c r="L190" s="9"/>
      <c r="M190" s="9"/>
      <c r="N190" s="9"/>
      <c r="O190" s="9"/>
      <c r="P190" s="9"/>
      <c r="Q190" s="9"/>
    </row>
    <row r="191" spans="10:17" x14ac:dyDescent="0.2">
      <c r="J191" s="9"/>
      <c r="K191" s="9"/>
      <c r="L191" s="9"/>
      <c r="M191" s="9"/>
      <c r="N191" s="9"/>
      <c r="O191" s="9"/>
      <c r="P191" s="9"/>
      <c r="Q191" s="9"/>
    </row>
    <row r="192" spans="10:17" x14ac:dyDescent="0.2">
      <c r="J192" s="9"/>
      <c r="K192" s="9"/>
      <c r="L192" s="9"/>
      <c r="M192" s="9"/>
      <c r="N192" s="9"/>
      <c r="O192" s="9"/>
      <c r="P192" s="9"/>
      <c r="Q192" s="9"/>
    </row>
    <row r="193" spans="10:17" x14ac:dyDescent="0.2">
      <c r="J193" s="9"/>
      <c r="K193" s="9"/>
      <c r="L193" s="9"/>
      <c r="M193" s="9"/>
      <c r="N193" s="9"/>
      <c r="O193" s="9"/>
      <c r="P193" s="9"/>
      <c r="Q193" s="9"/>
    </row>
    <row r="194" spans="10:17" x14ac:dyDescent="0.2">
      <c r="J194" s="9"/>
      <c r="K194" s="9"/>
      <c r="L194" s="9"/>
      <c r="M194" s="9"/>
      <c r="N194" s="9"/>
      <c r="O194" s="9"/>
      <c r="P194" s="9"/>
      <c r="Q194" s="9"/>
    </row>
    <row r="195" spans="10:17" x14ac:dyDescent="0.2">
      <c r="J195" s="9"/>
      <c r="K195" s="9"/>
      <c r="L195" s="9"/>
      <c r="M195" s="9"/>
      <c r="N195" s="9"/>
      <c r="O195" s="9"/>
      <c r="P195" s="9"/>
      <c r="Q195" s="9"/>
    </row>
    <row r="196" spans="10:17" x14ac:dyDescent="0.2">
      <c r="J196" s="9"/>
      <c r="K196" s="9"/>
      <c r="L196" s="9"/>
      <c r="M196" s="9"/>
      <c r="N196" s="9"/>
      <c r="O196" s="9"/>
      <c r="P196" s="9"/>
      <c r="Q196" s="9"/>
    </row>
    <row r="197" spans="10:17" x14ac:dyDescent="0.2">
      <c r="J197" s="9"/>
      <c r="K197" s="9"/>
      <c r="L197" s="9"/>
      <c r="M197" s="9"/>
      <c r="N197" s="9"/>
      <c r="O197" s="9"/>
      <c r="P197" s="9"/>
      <c r="Q197" s="9"/>
    </row>
    <row r="198" spans="10:17" x14ac:dyDescent="0.2">
      <c r="J198" s="9"/>
      <c r="K198" s="9"/>
      <c r="L198" s="9"/>
      <c r="M198" s="9"/>
      <c r="N198" s="9"/>
      <c r="O198" s="9"/>
      <c r="P198" s="9"/>
      <c r="Q198" s="9"/>
    </row>
    <row r="199" spans="10:17" x14ac:dyDescent="0.2">
      <c r="J199" s="9"/>
      <c r="K199" s="9"/>
      <c r="L199" s="9"/>
      <c r="M199" s="9"/>
      <c r="N199" s="9"/>
      <c r="O199" s="9"/>
      <c r="P199" s="9"/>
      <c r="Q199" s="9"/>
    </row>
    <row r="200" spans="10:17" x14ac:dyDescent="0.2">
      <c r="J200" s="9"/>
      <c r="K200" s="9"/>
      <c r="L200" s="9"/>
      <c r="M200" s="9"/>
      <c r="N200" s="9"/>
      <c r="O200" s="9"/>
      <c r="P200" s="9"/>
      <c r="Q200" s="9"/>
    </row>
    <row r="201" spans="10:17" x14ac:dyDescent="0.2">
      <c r="J201" s="9"/>
      <c r="K201" s="9"/>
      <c r="L201" s="9"/>
      <c r="M201" s="9"/>
      <c r="N201" s="9"/>
      <c r="O201" s="9"/>
      <c r="P201" s="9"/>
      <c r="Q201" s="9"/>
    </row>
    <row r="202" spans="10:17" x14ac:dyDescent="0.2">
      <c r="J202" s="9"/>
      <c r="K202" s="9"/>
      <c r="L202" s="9"/>
      <c r="M202" s="9"/>
      <c r="N202" s="9"/>
      <c r="O202" s="9"/>
      <c r="P202" s="9"/>
      <c r="Q202" s="9"/>
    </row>
    <row r="203" spans="10:17" x14ac:dyDescent="0.2">
      <c r="J203" s="9"/>
      <c r="K203" s="9"/>
      <c r="L203" s="9"/>
      <c r="M203" s="9"/>
      <c r="N203" s="9"/>
      <c r="O203" s="9"/>
      <c r="P203" s="9"/>
      <c r="Q203" s="9"/>
    </row>
    <row r="204" spans="10:17" x14ac:dyDescent="0.2">
      <c r="J204" s="9"/>
      <c r="K204" s="9"/>
      <c r="L204" s="9"/>
      <c r="M204" s="9"/>
      <c r="N204" s="9"/>
      <c r="O204" s="9"/>
      <c r="P204" s="9"/>
      <c r="Q204" s="9"/>
    </row>
    <row r="205" spans="10:17" x14ac:dyDescent="0.2">
      <c r="J205" s="9"/>
      <c r="K205" s="9"/>
      <c r="L205" s="9"/>
      <c r="M205" s="9"/>
      <c r="N205" s="9"/>
      <c r="O205" s="9"/>
      <c r="P205" s="9"/>
      <c r="Q205" s="9"/>
    </row>
    <row r="206" spans="10:17" x14ac:dyDescent="0.2">
      <c r="J206" s="9"/>
      <c r="K206" s="9"/>
      <c r="L206" s="9"/>
      <c r="M206" s="9"/>
      <c r="N206" s="9"/>
      <c r="O206" s="9"/>
      <c r="P206" s="9"/>
      <c r="Q206" s="9"/>
    </row>
    <row r="207" spans="10:17" x14ac:dyDescent="0.2">
      <c r="J207" s="9"/>
      <c r="K207" s="9"/>
      <c r="L207" s="9"/>
      <c r="M207" s="9"/>
      <c r="N207" s="9"/>
      <c r="O207" s="9"/>
      <c r="P207" s="9"/>
      <c r="Q207" s="9"/>
    </row>
    <row r="208" spans="10:17" x14ac:dyDescent="0.2">
      <c r="J208" s="9"/>
      <c r="K208" s="9"/>
      <c r="L208" s="9"/>
      <c r="M208" s="9"/>
      <c r="N208" s="9"/>
      <c r="O208" s="9"/>
      <c r="P208" s="9"/>
      <c r="Q208" s="9"/>
    </row>
    <row r="209" spans="10:17" x14ac:dyDescent="0.2">
      <c r="J209" s="9"/>
      <c r="K209" s="9"/>
      <c r="L209" s="9"/>
      <c r="M209" s="9"/>
      <c r="N209" s="9"/>
      <c r="O209" s="9"/>
      <c r="P209" s="9"/>
      <c r="Q209" s="9"/>
    </row>
    <row r="210" spans="10:17" x14ac:dyDescent="0.2">
      <c r="J210" s="9"/>
      <c r="K210" s="9"/>
      <c r="L210" s="9"/>
      <c r="M210" s="9"/>
      <c r="N210" s="9"/>
      <c r="O210" s="9"/>
      <c r="P210" s="9"/>
      <c r="Q210" s="9"/>
    </row>
  </sheetData>
  <dataConsolidate/>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theme="3"/>
  </sheetPr>
  <dimension ref="A1:T73"/>
  <sheetViews>
    <sheetView showGridLines="0" zoomScale="80" zoomScaleNormal="80" workbookViewId="0">
      <pane xSplit="2" ySplit="2" topLeftCell="C3" activePane="bottomRight" state="frozen"/>
      <selection activeCell="K43" sqref="K43"/>
      <selection pane="topRight" activeCell="K43" sqref="K43"/>
      <selection pane="bottomLeft" activeCell="K43" sqref="K43"/>
      <selection pane="bottomRight" activeCell="V13" sqref="V13"/>
    </sheetView>
  </sheetViews>
  <sheetFormatPr defaultColWidth="9" defaultRowHeight="12.75" x14ac:dyDescent="0.2"/>
  <cols>
    <col min="1" max="1" width="2" style="1" customWidth="1"/>
    <col min="2" max="2" width="43.125" style="1" customWidth="1"/>
    <col min="3" max="3" width="17.25" style="1" customWidth="1"/>
    <col min="4" max="4" width="13.125" style="1" customWidth="1"/>
    <col min="5" max="5" width="1.875" style="1" customWidth="1"/>
    <col min="6" max="6" width="1.625" style="1" customWidth="1"/>
    <col min="7" max="7" width="11.375" style="161" customWidth="1"/>
    <col min="8" max="8" width="1.625" style="161" customWidth="1"/>
    <col min="9" max="9" width="5.875" style="1" customWidth="1"/>
    <col min="10" max="10" width="2.125" style="1" customWidth="1"/>
    <col min="11" max="17" width="9.875" style="1" customWidth="1"/>
    <col min="18" max="18" width="2.5" style="1" customWidth="1"/>
    <col min="19" max="19" width="9.25" style="1" customWidth="1"/>
    <col min="20" max="16384" width="9" style="1"/>
  </cols>
  <sheetData>
    <row r="1" spans="1:17" ht="21" x14ac:dyDescent="0.35">
      <c r="A1" s="3" t="s">
        <v>9</v>
      </c>
    </row>
    <row r="2" spans="1:17" ht="18.75" x14ac:dyDescent="0.3">
      <c r="A2" s="8" t="str">
        <f ca="1">RIGHT(CELL("filename",A1),LEN(CELL("filename",A1))-FIND("]",CELL("filename",A1),1))</f>
        <v>REFCL opex</v>
      </c>
      <c r="E2" s="138"/>
    </row>
    <row r="3" spans="1:17" x14ac:dyDescent="0.2">
      <c r="A3" s="267" t="s">
        <v>262</v>
      </c>
    </row>
    <row r="5" spans="1:17" x14ac:dyDescent="0.2">
      <c r="A5" s="2" t="s">
        <v>44</v>
      </c>
      <c r="B5" s="2"/>
      <c r="C5" s="2"/>
      <c r="D5" s="2"/>
      <c r="E5" s="2"/>
      <c r="F5" s="2"/>
      <c r="G5" s="229"/>
      <c r="H5" s="229"/>
      <c r="I5" s="2"/>
      <c r="J5" s="2"/>
      <c r="K5" s="7"/>
      <c r="L5" s="7"/>
      <c r="M5" s="7"/>
      <c r="N5" s="7"/>
      <c r="O5" s="7"/>
      <c r="P5" s="7"/>
      <c r="Q5" s="7"/>
    </row>
    <row r="6" spans="1:17" x14ac:dyDescent="0.2">
      <c r="B6" s="116"/>
      <c r="M6" s="9"/>
      <c r="N6" s="9"/>
      <c r="O6" s="9"/>
      <c r="P6" s="9"/>
      <c r="Q6" s="9"/>
    </row>
    <row r="7" spans="1:17" x14ac:dyDescent="0.2">
      <c r="B7" s="116"/>
      <c r="M7" s="9"/>
      <c r="N7" s="9"/>
      <c r="O7" s="9"/>
      <c r="P7" s="9"/>
      <c r="Q7" s="9"/>
    </row>
    <row r="8" spans="1:17" x14ac:dyDescent="0.2">
      <c r="B8" s="116"/>
      <c r="M8" s="9"/>
      <c r="N8" s="9"/>
      <c r="O8" s="9"/>
      <c r="P8" s="9"/>
      <c r="Q8" s="9"/>
    </row>
    <row r="9" spans="1:17" x14ac:dyDescent="0.2">
      <c r="B9" s="141" t="s">
        <v>134</v>
      </c>
      <c r="M9" s="9"/>
      <c r="N9" s="9"/>
      <c r="O9" s="9"/>
      <c r="P9" s="9"/>
      <c r="Q9" s="9"/>
    </row>
    <row r="10" spans="1:17" x14ac:dyDescent="0.2">
      <c r="B10" s="142" t="s">
        <v>139</v>
      </c>
      <c r="M10" s="9"/>
      <c r="N10" s="9"/>
      <c r="O10" s="9"/>
      <c r="P10" s="9"/>
      <c r="Q10" s="9"/>
    </row>
    <row r="11" spans="1:17" x14ac:dyDescent="0.2">
      <c r="B11" s="142" t="s">
        <v>140</v>
      </c>
      <c r="J11" s="9"/>
      <c r="L11" s="9"/>
      <c r="M11" s="9"/>
      <c r="N11" s="9"/>
      <c r="O11" s="9"/>
      <c r="P11" s="9"/>
      <c r="Q11" s="9"/>
    </row>
    <row r="12" spans="1:17" x14ac:dyDescent="0.2">
      <c r="B12" s="162" t="s">
        <v>263</v>
      </c>
      <c r="J12" s="9"/>
      <c r="L12" s="9"/>
      <c r="M12" s="9"/>
      <c r="N12" s="9"/>
      <c r="O12" s="9"/>
      <c r="P12" s="9"/>
      <c r="Q12" s="9"/>
    </row>
    <row r="13" spans="1:17" x14ac:dyDescent="0.2">
      <c r="B13" s="5"/>
    </row>
    <row r="14" spans="1:17" x14ac:dyDescent="0.2">
      <c r="A14" s="2" t="s">
        <v>53</v>
      </c>
      <c r="B14" s="2"/>
      <c r="C14" s="2"/>
      <c r="D14" s="2"/>
      <c r="E14" s="2"/>
      <c r="F14" s="2"/>
      <c r="G14" s="229"/>
      <c r="H14" s="229" t="s">
        <v>132</v>
      </c>
      <c r="I14" s="2"/>
      <c r="J14" s="2"/>
      <c r="K14" s="7">
        <v>2019</v>
      </c>
      <c r="L14" s="7" t="s">
        <v>47</v>
      </c>
      <c r="M14" s="7" t="s">
        <v>48</v>
      </c>
      <c r="N14" s="7" t="s">
        <v>49</v>
      </c>
      <c r="O14" s="7" t="s">
        <v>50</v>
      </c>
      <c r="P14" s="7" t="s">
        <v>51</v>
      </c>
      <c r="Q14" s="7" t="s">
        <v>52</v>
      </c>
    </row>
    <row r="15" spans="1:17" x14ac:dyDescent="0.2">
      <c r="B15" s="5"/>
      <c r="G15" s="246"/>
    </row>
    <row r="16" spans="1:17" x14ac:dyDescent="0.2">
      <c r="B16" s="1" t="s">
        <v>32</v>
      </c>
      <c r="G16" s="264">
        <v>2019</v>
      </c>
      <c r="M16" s="9"/>
      <c r="N16" s="9"/>
      <c r="O16" s="9"/>
      <c r="P16" s="9"/>
      <c r="Q16" s="9"/>
    </row>
    <row r="17" spans="2:17" x14ac:dyDescent="0.2">
      <c r="B17" s="5"/>
      <c r="G17" s="247"/>
    </row>
    <row r="18" spans="2:17" x14ac:dyDescent="0.2">
      <c r="B18" s="1" t="s">
        <v>87</v>
      </c>
      <c r="C18" s="115" t="s">
        <v>63</v>
      </c>
      <c r="D18" s="163">
        <v>15667.895399134433</v>
      </c>
      <c r="F18" s="107"/>
      <c r="G18" s="181">
        <f>$G$16</f>
        <v>2019</v>
      </c>
      <c r="H18" s="220" t="s">
        <v>220</v>
      </c>
      <c r="I18" s="108"/>
    </row>
    <row r="19" spans="2:17" x14ac:dyDescent="0.2">
      <c r="B19" s="1" t="s">
        <v>88</v>
      </c>
      <c r="C19" s="115" t="s">
        <v>63</v>
      </c>
      <c r="D19" s="163">
        <v>30029.967675920852</v>
      </c>
      <c r="F19" s="107"/>
      <c r="G19" s="181">
        <f>$G$16</f>
        <v>2019</v>
      </c>
      <c r="I19" s="108"/>
    </row>
    <row r="20" spans="2:17" x14ac:dyDescent="0.2">
      <c r="B20" s="1" t="s">
        <v>89</v>
      </c>
      <c r="C20" s="115" t="s">
        <v>64</v>
      </c>
      <c r="D20" s="163">
        <v>3133.1105907806464</v>
      </c>
      <c r="F20" s="107"/>
      <c r="G20" s="181">
        <f>$G$16</f>
        <v>2019</v>
      </c>
      <c r="I20" s="108"/>
      <c r="J20" s="109"/>
      <c r="K20" s="109"/>
      <c r="L20" s="109"/>
      <c r="M20" s="109"/>
      <c r="N20" s="109"/>
      <c r="O20" s="109"/>
      <c r="P20" s="109"/>
    </row>
    <row r="21" spans="2:17" x14ac:dyDescent="0.2">
      <c r="B21" s="1" t="s">
        <v>90</v>
      </c>
      <c r="C21" s="115" t="s">
        <v>64</v>
      </c>
      <c r="D21" s="163">
        <v>9609.0707145819142</v>
      </c>
      <c r="F21" s="107"/>
      <c r="G21" s="181">
        <f>$G$16</f>
        <v>2019</v>
      </c>
      <c r="I21" s="108"/>
      <c r="J21" s="109"/>
    </row>
    <row r="22" spans="2:17" x14ac:dyDescent="0.2">
      <c r="C22" s="115"/>
      <c r="D22" s="115"/>
      <c r="E22" s="115"/>
      <c r="F22" s="107"/>
      <c r="I22" s="108"/>
      <c r="J22" s="109"/>
    </row>
    <row r="23" spans="2:17" x14ac:dyDescent="0.2">
      <c r="B23" s="5" t="s">
        <v>174</v>
      </c>
      <c r="C23" s="165" t="s">
        <v>151</v>
      </c>
      <c r="D23" s="144" t="s">
        <v>175</v>
      </c>
    </row>
    <row r="24" spans="2:17" x14ac:dyDescent="0.2">
      <c r="B24" s="1" t="s">
        <v>131</v>
      </c>
      <c r="C24" s="164">
        <v>4</v>
      </c>
      <c r="D24" s="147">
        <v>2018</v>
      </c>
      <c r="J24" s="137"/>
      <c r="K24" s="137">
        <f>IF(OR(K$14=$D24+1, VALUE(LEFT(K$14,4))=$D24+1), $C24,0)</f>
        <v>4</v>
      </c>
      <c r="L24" s="137">
        <f t="shared" ref="K24:Q34" si="0">IF(OR(L$14=$D24+1, VALUE(LEFT(L$14,4))=$D24+1), $C24,0)</f>
        <v>0</v>
      </c>
      <c r="M24" s="137">
        <f t="shared" si="0"/>
        <v>0</v>
      </c>
      <c r="N24" s="137">
        <f t="shared" si="0"/>
        <v>0</v>
      </c>
      <c r="O24" s="137">
        <f t="shared" si="0"/>
        <v>0</v>
      </c>
      <c r="P24" s="137">
        <f t="shared" si="0"/>
        <v>0</v>
      </c>
      <c r="Q24" s="137">
        <f t="shared" si="0"/>
        <v>0</v>
      </c>
    </row>
    <row r="25" spans="2:17" x14ac:dyDescent="0.2">
      <c r="B25" s="1" t="s">
        <v>97</v>
      </c>
      <c r="C25" s="164">
        <v>8</v>
      </c>
      <c r="D25" s="147">
        <v>2019</v>
      </c>
      <c r="J25" s="137"/>
      <c r="K25" s="137">
        <f t="shared" si="0"/>
        <v>0</v>
      </c>
      <c r="L25" s="137">
        <f t="shared" si="0"/>
        <v>8</v>
      </c>
      <c r="M25" s="137">
        <f t="shared" si="0"/>
        <v>0</v>
      </c>
      <c r="N25" s="137">
        <f t="shared" si="0"/>
        <v>0</v>
      </c>
      <c r="O25" s="137">
        <f t="shared" si="0"/>
        <v>0</v>
      </c>
      <c r="P25" s="137">
        <f t="shared" si="0"/>
        <v>0</v>
      </c>
      <c r="Q25" s="137">
        <f t="shared" si="0"/>
        <v>0</v>
      </c>
    </row>
    <row r="26" spans="2:17" x14ac:dyDescent="0.2">
      <c r="B26" s="1" t="s">
        <v>65</v>
      </c>
      <c r="C26" s="164">
        <v>5</v>
      </c>
      <c r="D26" s="147">
        <v>2018</v>
      </c>
      <c r="J26" s="137"/>
      <c r="K26" s="137">
        <f t="shared" si="0"/>
        <v>5</v>
      </c>
      <c r="L26" s="137">
        <f t="shared" si="0"/>
        <v>0</v>
      </c>
      <c r="M26" s="137">
        <f t="shared" si="0"/>
        <v>0</v>
      </c>
      <c r="N26" s="137">
        <f t="shared" si="0"/>
        <v>0</v>
      </c>
      <c r="O26" s="137">
        <f t="shared" si="0"/>
        <v>0</v>
      </c>
      <c r="P26" s="137">
        <f t="shared" si="0"/>
        <v>0</v>
      </c>
      <c r="Q26" s="137">
        <f t="shared" si="0"/>
        <v>0</v>
      </c>
    </row>
    <row r="27" spans="2:17" x14ac:dyDescent="0.2">
      <c r="B27" s="1" t="s">
        <v>67</v>
      </c>
      <c r="C27" s="164">
        <v>5</v>
      </c>
      <c r="D27" s="147">
        <v>2019</v>
      </c>
      <c r="J27" s="137"/>
      <c r="K27" s="137">
        <f t="shared" si="0"/>
        <v>0</v>
      </c>
      <c r="L27" s="137">
        <f t="shared" si="0"/>
        <v>5</v>
      </c>
      <c r="M27" s="137">
        <f t="shared" si="0"/>
        <v>0</v>
      </c>
      <c r="N27" s="137">
        <f t="shared" si="0"/>
        <v>0</v>
      </c>
      <c r="O27" s="137">
        <f t="shared" si="0"/>
        <v>0</v>
      </c>
      <c r="P27" s="137">
        <f t="shared" si="0"/>
        <v>0</v>
      </c>
      <c r="Q27" s="137">
        <f t="shared" si="0"/>
        <v>0</v>
      </c>
    </row>
    <row r="28" spans="2:17" x14ac:dyDescent="0.2">
      <c r="B28" s="1" t="s">
        <v>66</v>
      </c>
      <c r="C28" s="164">
        <v>7</v>
      </c>
      <c r="D28" s="147">
        <v>2020</v>
      </c>
      <c r="J28" s="137"/>
      <c r="K28" s="137">
        <f t="shared" si="0"/>
        <v>0</v>
      </c>
      <c r="L28" s="137">
        <f t="shared" si="0"/>
        <v>0</v>
      </c>
      <c r="M28" s="137">
        <f t="shared" si="0"/>
        <v>7</v>
      </c>
      <c r="N28" s="137">
        <f t="shared" si="0"/>
        <v>0</v>
      </c>
      <c r="O28" s="137">
        <f t="shared" si="0"/>
        <v>0</v>
      </c>
      <c r="P28" s="137">
        <f t="shared" si="0"/>
        <v>0</v>
      </c>
      <c r="Q28" s="137">
        <f t="shared" si="0"/>
        <v>0</v>
      </c>
    </row>
    <row r="29" spans="2:17" x14ac:dyDescent="0.2">
      <c r="B29" s="1" t="s">
        <v>68</v>
      </c>
      <c r="C29" s="164">
        <v>6</v>
      </c>
      <c r="D29" s="147">
        <v>2019</v>
      </c>
      <c r="J29" s="137"/>
      <c r="K29" s="137">
        <f t="shared" si="0"/>
        <v>0</v>
      </c>
      <c r="L29" s="137">
        <f t="shared" si="0"/>
        <v>6</v>
      </c>
      <c r="M29" s="137">
        <f t="shared" si="0"/>
        <v>0</v>
      </c>
      <c r="N29" s="137">
        <f t="shared" si="0"/>
        <v>0</v>
      </c>
      <c r="O29" s="137">
        <f t="shared" si="0"/>
        <v>0</v>
      </c>
      <c r="P29" s="137">
        <f t="shared" si="0"/>
        <v>0</v>
      </c>
      <c r="Q29" s="137">
        <f t="shared" si="0"/>
        <v>0</v>
      </c>
    </row>
    <row r="30" spans="2:17" x14ac:dyDescent="0.2">
      <c r="B30" s="1" t="s">
        <v>69</v>
      </c>
      <c r="C30" s="164">
        <v>3</v>
      </c>
      <c r="D30" s="147">
        <v>2019</v>
      </c>
      <c r="J30" s="137"/>
      <c r="K30" s="137">
        <f t="shared" si="0"/>
        <v>0</v>
      </c>
      <c r="L30" s="137">
        <f t="shared" si="0"/>
        <v>3</v>
      </c>
      <c r="M30" s="137">
        <f t="shared" si="0"/>
        <v>0</v>
      </c>
      <c r="N30" s="137">
        <f t="shared" si="0"/>
        <v>0</v>
      </c>
      <c r="O30" s="137">
        <f t="shared" si="0"/>
        <v>0</v>
      </c>
      <c r="P30" s="137">
        <f t="shared" si="0"/>
        <v>0</v>
      </c>
      <c r="Q30" s="137">
        <f t="shared" si="0"/>
        <v>0</v>
      </c>
    </row>
    <row r="31" spans="2:17" x14ac:dyDescent="0.2">
      <c r="B31" s="1" t="s">
        <v>69</v>
      </c>
      <c r="C31" s="164">
        <v>1</v>
      </c>
      <c r="D31" s="147">
        <v>2023</v>
      </c>
      <c r="J31" s="137"/>
      <c r="K31" s="137">
        <f t="shared" si="0"/>
        <v>0</v>
      </c>
      <c r="L31" s="137">
        <f t="shared" si="0"/>
        <v>0</v>
      </c>
      <c r="M31" s="137">
        <f t="shared" si="0"/>
        <v>0</v>
      </c>
      <c r="N31" s="137">
        <f t="shared" si="0"/>
        <v>0</v>
      </c>
      <c r="O31" s="137">
        <f t="shared" si="0"/>
        <v>0</v>
      </c>
      <c r="P31" s="137">
        <f t="shared" si="0"/>
        <v>1</v>
      </c>
      <c r="Q31" s="137">
        <f t="shared" si="0"/>
        <v>0</v>
      </c>
    </row>
    <row r="32" spans="2:17" x14ac:dyDescent="0.2">
      <c r="B32" s="1" t="s">
        <v>70</v>
      </c>
      <c r="C32" s="164">
        <v>8</v>
      </c>
      <c r="D32" s="147">
        <v>2019</v>
      </c>
      <c r="J32" s="137"/>
      <c r="K32" s="137">
        <f t="shared" si="0"/>
        <v>0</v>
      </c>
      <c r="L32" s="137">
        <f t="shared" si="0"/>
        <v>8</v>
      </c>
      <c r="M32" s="137">
        <f t="shared" si="0"/>
        <v>0</v>
      </c>
      <c r="N32" s="137">
        <f t="shared" si="0"/>
        <v>0</v>
      </c>
      <c r="O32" s="137">
        <f t="shared" si="0"/>
        <v>0</v>
      </c>
      <c r="P32" s="137">
        <f t="shared" si="0"/>
        <v>0</v>
      </c>
      <c r="Q32" s="137">
        <f t="shared" si="0"/>
        <v>0</v>
      </c>
    </row>
    <row r="33" spans="2:17" x14ac:dyDescent="0.2">
      <c r="B33" s="1" t="s">
        <v>73</v>
      </c>
      <c r="C33" s="164">
        <v>8</v>
      </c>
      <c r="D33" s="147">
        <v>2020</v>
      </c>
      <c r="J33" s="137"/>
      <c r="K33" s="137">
        <f t="shared" si="0"/>
        <v>0</v>
      </c>
      <c r="L33" s="137">
        <f t="shared" si="0"/>
        <v>0</v>
      </c>
      <c r="M33" s="137">
        <f t="shared" si="0"/>
        <v>8</v>
      </c>
      <c r="N33" s="137">
        <f t="shared" si="0"/>
        <v>0</v>
      </c>
      <c r="O33" s="137">
        <f t="shared" si="0"/>
        <v>0</v>
      </c>
      <c r="P33" s="137">
        <f t="shared" si="0"/>
        <v>0</v>
      </c>
      <c r="Q33" s="137">
        <f t="shared" si="0"/>
        <v>0</v>
      </c>
    </row>
    <row r="34" spans="2:17" x14ac:dyDescent="0.2">
      <c r="B34" s="1" t="s">
        <v>74</v>
      </c>
      <c r="C34" s="164">
        <v>7</v>
      </c>
      <c r="D34" s="147">
        <v>2020</v>
      </c>
      <c r="J34" s="137"/>
      <c r="K34" s="137">
        <f t="shared" si="0"/>
        <v>0</v>
      </c>
      <c r="L34" s="137">
        <f t="shared" si="0"/>
        <v>0</v>
      </c>
      <c r="M34" s="137">
        <f t="shared" si="0"/>
        <v>7</v>
      </c>
      <c r="N34" s="137">
        <f t="shared" si="0"/>
        <v>0</v>
      </c>
      <c r="O34" s="137">
        <f t="shared" si="0"/>
        <v>0</v>
      </c>
      <c r="P34" s="137">
        <f t="shared" si="0"/>
        <v>0</v>
      </c>
      <c r="Q34" s="137">
        <f t="shared" si="0"/>
        <v>0</v>
      </c>
    </row>
    <row r="35" spans="2:17" x14ac:dyDescent="0.2">
      <c r="B35" s="1" t="s">
        <v>75</v>
      </c>
      <c r="C35" s="164">
        <v>6</v>
      </c>
      <c r="D35" s="147">
        <v>2020</v>
      </c>
      <c r="J35" s="137"/>
      <c r="K35" s="137">
        <f t="shared" ref="K35:Q48" si="1">IF(OR(K$14=$D35+1, VALUE(LEFT(K$14,4))=$D35+1), $C35,0)</f>
        <v>0</v>
      </c>
      <c r="L35" s="137">
        <f t="shared" si="1"/>
        <v>0</v>
      </c>
      <c r="M35" s="137">
        <f t="shared" si="1"/>
        <v>6</v>
      </c>
      <c r="N35" s="137">
        <f t="shared" si="1"/>
        <v>0</v>
      </c>
      <c r="O35" s="137">
        <f t="shared" si="1"/>
        <v>0</v>
      </c>
      <c r="P35" s="137">
        <f t="shared" si="1"/>
        <v>0</v>
      </c>
      <c r="Q35" s="137">
        <f t="shared" si="1"/>
        <v>0</v>
      </c>
    </row>
    <row r="36" spans="2:17" x14ac:dyDescent="0.2">
      <c r="B36" s="14" t="s">
        <v>81</v>
      </c>
      <c r="C36" s="164">
        <v>5</v>
      </c>
      <c r="D36" s="147">
        <v>2020</v>
      </c>
      <c r="J36" s="137"/>
      <c r="K36" s="137">
        <f t="shared" si="1"/>
        <v>0</v>
      </c>
      <c r="L36" s="137">
        <f t="shared" si="1"/>
        <v>0</v>
      </c>
      <c r="M36" s="137">
        <f t="shared" si="1"/>
        <v>5</v>
      </c>
      <c r="N36" s="137">
        <f t="shared" si="1"/>
        <v>0</v>
      </c>
      <c r="O36" s="137">
        <f t="shared" si="1"/>
        <v>0</v>
      </c>
      <c r="P36" s="137">
        <f t="shared" si="1"/>
        <v>0</v>
      </c>
      <c r="Q36" s="137">
        <f t="shared" si="1"/>
        <v>0</v>
      </c>
    </row>
    <row r="37" spans="2:17" x14ac:dyDescent="0.2">
      <c r="B37" s="14" t="s">
        <v>78</v>
      </c>
      <c r="C37" s="164">
        <v>4</v>
      </c>
      <c r="D37" s="147">
        <v>2020</v>
      </c>
      <c r="J37" s="137"/>
      <c r="K37" s="137">
        <f t="shared" si="1"/>
        <v>0</v>
      </c>
      <c r="L37" s="137">
        <f t="shared" si="1"/>
        <v>0</v>
      </c>
      <c r="M37" s="137">
        <f t="shared" si="1"/>
        <v>4</v>
      </c>
      <c r="N37" s="137">
        <f t="shared" si="1"/>
        <v>0</v>
      </c>
      <c r="O37" s="137">
        <f t="shared" si="1"/>
        <v>0</v>
      </c>
      <c r="P37" s="137">
        <f t="shared" si="1"/>
        <v>0</v>
      </c>
      <c r="Q37" s="137">
        <f t="shared" si="1"/>
        <v>0</v>
      </c>
    </row>
    <row r="38" spans="2:17" x14ac:dyDescent="0.2">
      <c r="B38" s="14" t="s">
        <v>82</v>
      </c>
      <c r="C38" s="164">
        <v>6</v>
      </c>
      <c r="D38" s="147">
        <v>2021</v>
      </c>
      <c r="J38" s="137"/>
      <c r="K38" s="137">
        <f t="shared" si="1"/>
        <v>0</v>
      </c>
      <c r="L38" s="137">
        <f t="shared" si="1"/>
        <v>0</v>
      </c>
      <c r="M38" s="137">
        <f t="shared" si="1"/>
        <v>0</v>
      </c>
      <c r="N38" s="137">
        <f t="shared" si="1"/>
        <v>6</v>
      </c>
      <c r="O38" s="137">
        <f t="shared" si="1"/>
        <v>0</v>
      </c>
      <c r="P38" s="137">
        <f t="shared" si="1"/>
        <v>0</v>
      </c>
      <c r="Q38" s="137">
        <f t="shared" si="1"/>
        <v>0</v>
      </c>
    </row>
    <row r="39" spans="2:17" x14ac:dyDescent="0.2">
      <c r="B39" s="14" t="s">
        <v>71</v>
      </c>
      <c r="C39" s="164">
        <v>12</v>
      </c>
      <c r="D39" s="147">
        <v>2020</v>
      </c>
      <c r="J39" s="137"/>
      <c r="K39" s="137">
        <f t="shared" si="1"/>
        <v>0</v>
      </c>
      <c r="L39" s="137">
        <f t="shared" si="1"/>
        <v>0</v>
      </c>
      <c r="M39" s="137">
        <f t="shared" si="1"/>
        <v>12</v>
      </c>
      <c r="N39" s="137">
        <f t="shared" si="1"/>
        <v>0</v>
      </c>
      <c r="O39" s="137">
        <f t="shared" si="1"/>
        <v>0</v>
      </c>
      <c r="P39" s="137">
        <f t="shared" si="1"/>
        <v>0</v>
      </c>
      <c r="Q39" s="137">
        <f t="shared" si="1"/>
        <v>0</v>
      </c>
    </row>
    <row r="40" spans="2:17" x14ac:dyDescent="0.2">
      <c r="B40" s="136" t="s">
        <v>72</v>
      </c>
      <c r="C40" s="164">
        <v>9</v>
      </c>
      <c r="D40" s="147">
        <v>2020</v>
      </c>
      <c r="J40" s="137"/>
      <c r="K40" s="137">
        <f t="shared" si="1"/>
        <v>0</v>
      </c>
      <c r="L40" s="137">
        <f t="shared" si="1"/>
        <v>0</v>
      </c>
      <c r="M40" s="137">
        <f t="shared" si="1"/>
        <v>9</v>
      </c>
      <c r="N40" s="137">
        <f t="shared" si="1"/>
        <v>0</v>
      </c>
      <c r="O40" s="137">
        <f t="shared" si="1"/>
        <v>0</v>
      </c>
      <c r="P40" s="137">
        <f t="shared" si="1"/>
        <v>0</v>
      </c>
      <c r="Q40" s="137">
        <f t="shared" si="1"/>
        <v>0</v>
      </c>
    </row>
    <row r="41" spans="2:17" x14ac:dyDescent="0.2">
      <c r="B41" s="14" t="s">
        <v>76</v>
      </c>
      <c r="C41" s="164">
        <v>9</v>
      </c>
      <c r="D41" s="147">
        <v>2021</v>
      </c>
      <c r="J41" s="137"/>
      <c r="K41" s="137">
        <f t="shared" si="1"/>
        <v>0</v>
      </c>
      <c r="L41" s="137">
        <f t="shared" si="1"/>
        <v>0</v>
      </c>
      <c r="M41" s="137">
        <f t="shared" si="1"/>
        <v>0</v>
      </c>
      <c r="N41" s="137">
        <f t="shared" si="1"/>
        <v>9</v>
      </c>
      <c r="O41" s="137">
        <f t="shared" si="1"/>
        <v>0</v>
      </c>
      <c r="P41" s="137">
        <f t="shared" si="1"/>
        <v>0</v>
      </c>
      <c r="Q41" s="137">
        <f t="shared" si="1"/>
        <v>0</v>
      </c>
    </row>
    <row r="42" spans="2:17" x14ac:dyDescent="0.2">
      <c r="B42" s="14" t="s">
        <v>79</v>
      </c>
      <c r="C42" s="164">
        <v>10</v>
      </c>
      <c r="D42" s="147">
        <v>2023</v>
      </c>
      <c r="J42" s="137"/>
      <c r="K42" s="137">
        <f t="shared" si="1"/>
        <v>0</v>
      </c>
      <c r="L42" s="137">
        <f t="shared" si="1"/>
        <v>0</v>
      </c>
      <c r="M42" s="137">
        <f t="shared" si="1"/>
        <v>0</v>
      </c>
      <c r="N42" s="137">
        <f t="shared" si="1"/>
        <v>0</v>
      </c>
      <c r="O42" s="137">
        <f t="shared" si="1"/>
        <v>0</v>
      </c>
      <c r="P42" s="137">
        <f t="shared" si="1"/>
        <v>10</v>
      </c>
      <c r="Q42" s="137">
        <f t="shared" si="1"/>
        <v>0</v>
      </c>
    </row>
    <row r="43" spans="2:17" x14ac:dyDescent="0.2">
      <c r="B43" s="14" t="s">
        <v>80</v>
      </c>
      <c r="C43" s="164">
        <v>6</v>
      </c>
      <c r="D43" s="147">
        <v>2022</v>
      </c>
      <c r="J43" s="137"/>
      <c r="K43" s="137">
        <f t="shared" si="1"/>
        <v>0</v>
      </c>
      <c r="L43" s="137">
        <f t="shared" si="1"/>
        <v>0</v>
      </c>
      <c r="M43" s="137">
        <f t="shared" si="1"/>
        <v>0</v>
      </c>
      <c r="N43" s="137">
        <f t="shared" si="1"/>
        <v>0</v>
      </c>
      <c r="O43" s="137">
        <f t="shared" si="1"/>
        <v>6</v>
      </c>
      <c r="P43" s="137">
        <f t="shared" si="1"/>
        <v>0</v>
      </c>
      <c r="Q43" s="137">
        <f t="shared" si="1"/>
        <v>0</v>
      </c>
    </row>
    <row r="44" spans="2:17" x14ac:dyDescent="0.2">
      <c r="B44" s="14" t="s">
        <v>77</v>
      </c>
      <c r="C44" s="164">
        <v>4</v>
      </c>
      <c r="D44" s="147">
        <v>2022</v>
      </c>
      <c r="J44" s="137"/>
      <c r="K44" s="137">
        <f t="shared" si="1"/>
        <v>0</v>
      </c>
      <c r="L44" s="137">
        <f t="shared" si="1"/>
        <v>0</v>
      </c>
      <c r="M44" s="137">
        <f t="shared" si="1"/>
        <v>0</v>
      </c>
      <c r="N44" s="137">
        <f t="shared" si="1"/>
        <v>0</v>
      </c>
      <c r="O44" s="137">
        <f t="shared" si="1"/>
        <v>4</v>
      </c>
      <c r="P44" s="137">
        <f t="shared" si="1"/>
        <v>0</v>
      </c>
      <c r="Q44" s="137">
        <f t="shared" si="1"/>
        <v>0</v>
      </c>
    </row>
    <row r="45" spans="2:17" x14ac:dyDescent="0.2">
      <c r="B45" s="14" t="s">
        <v>83</v>
      </c>
      <c r="C45" s="164">
        <v>6</v>
      </c>
      <c r="D45" s="147">
        <v>2022</v>
      </c>
      <c r="J45" s="137"/>
      <c r="K45" s="137">
        <f t="shared" si="1"/>
        <v>0</v>
      </c>
      <c r="L45" s="137">
        <f t="shared" si="1"/>
        <v>0</v>
      </c>
      <c r="M45" s="137">
        <f t="shared" si="1"/>
        <v>0</v>
      </c>
      <c r="N45" s="137">
        <f t="shared" si="1"/>
        <v>0</v>
      </c>
      <c r="O45" s="137">
        <f t="shared" si="1"/>
        <v>6</v>
      </c>
      <c r="P45" s="137">
        <f t="shared" si="1"/>
        <v>0</v>
      </c>
      <c r="Q45" s="137">
        <f t="shared" si="1"/>
        <v>0</v>
      </c>
    </row>
    <row r="46" spans="2:17" x14ac:dyDescent="0.2">
      <c r="B46" s="14" t="s">
        <v>258</v>
      </c>
      <c r="C46" s="164">
        <v>10</v>
      </c>
      <c r="D46" s="147">
        <v>2022</v>
      </c>
      <c r="J46" s="137"/>
      <c r="K46" s="137">
        <f t="shared" si="1"/>
        <v>0</v>
      </c>
      <c r="L46" s="137">
        <f t="shared" si="1"/>
        <v>0</v>
      </c>
      <c r="M46" s="137">
        <f t="shared" si="1"/>
        <v>0</v>
      </c>
      <c r="N46" s="137">
        <f t="shared" si="1"/>
        <v>0</v>
      </c>
      <c r="O46" s="137">
        <f t="shared" si="1"/>
        <v>10</v>
      </c>
      <c r="P46" s="137">
        <f t="shared" si="1"/>
        <v>0</v>
      </c>
      <c r="Q46" s="137">
        <f t="shared" si="1"/>
        <v>0</v>
      </c>
    </row>
    <row r="47" spans="2:17" x14ac:dyDescent="0.2">
      <c r="B47" s="14" t="s">
        <v>259</v>
      </c>
      <c r="C47" s="164">
        <v>2</v>
      </c>
      <c r="D47" s="147">
        <v>2023</v>
      </c>
      <c r="J47" s="137"/>
      <c r="K47" s="137">
        <f t="shared" si="1"/>
        <v>0</v>
      </c>
      <c r="L47" s="137">
        <f t="shared" si="1"/>
        <v>0</v>
      </c>
      <c r="M47" s="137">
        <f t="shared" si="1"/>
        <v>0</v>
      </c>
      <c r="N47" s="137">
        <f t="shared" si="1"/>
        <v>0</v>
      </c>
      <c r="O47" s="137">
        <f t="shared" si="1"/>
        <v>0</v>
      </c>
      <c r="P47" s="137">
        <f t="shared" si="1"/>
        <v>2</v>
      </c>
      <c r="Q47" s="137">
        <f t="shared" si="1"/>
        <v>0</v>
      </c>
    </row>
    <row r="48" spans="2:17" x14ac:dyDescent="0.2">
      <c r="B48" s="14" t="s">
        <v>260</v>
      </c>
      <c r="C48" s="164">
        <v>4</v>
      </c>
      <c r="D48" s="147">
        <v>2024</v>
      </c>
      <c r="J48" s="137"/>
      <c r="K48" s="137">
        <f t="shared" si="1"/>
        <v>0</v>
      </c>
      <c r="L48" s="137">
        <f t="shared" si="1"/>
        <v>0</v>
      </c>
      <c r="M48" s="137">
        <f t="shared" si="1"/>
        <v>0</v>
      </c>
      <c r="N48" s="137">
        <f t="shared" si="1"/>
        <v>0</v>
      </c>
      <c r="O48" s="137">
        <f t="shared" si="1"/>
        <v>0</v>
      </c>
      <c r="P48" s="137">
        <f t="shared" si="1"/>
        <v>0</v>
      </c>
      <c r="Q48" s="137">
        <f t="shared" si="1"/>
        <v>4</v>
      </c>
    </row>
    <row r="51" spans="1:20" x14ac:dyDescent="0.2">
      <c r="A51" s="2" t="s">
        <v>11</v>
      </c>
      <c r="B51" s="2"/>
      <c r="C51" s="2"/>
      <c r="D51" s="2"/>
      <c r="E51" s="2"/>
      <c r="F51" s="2"/>
      <c r="G51" s="229"/>
      <c r="H51" s="229"/>
      <c r="I51" s="2"/>
      <c r="J51" s="2"/>
      <c r="K51" s="7">
        <f>K14</f>
        <v>2019</v>
      </c>
      <c r="L51" s="7" t="s">
        <v>47</v>
      </c>
      <c r="M51" s="7" t="s">
        <v>48</v>
      </c>
      <c r="N51" s="7" t="s">
        <v>49</v>
      </c>
      <c r="O51" s="7" t="s">
        <v>50</v>
      </c>
      <c r="P51" s="7" t="s">
        <v>51</v>
      </c>
      <c r="Q51" s="7" t="s">
        <v>52</v>
      </c>
    </row>
    <row r="52" spans="1:20" x14ac:dyDescent="0.2">
      <c r="J52" s="109"/>
    </row>
    <row r="53" spans="1:20" x14ac:dyDescent="0.2">
      <c r="B53" s="124" t="s">
        <v>84</v>
      </c>
      <c r="C53" s="110"/>
      <c r="D53" s="110"/>
      <c r="E53" s="110"/>
      <c r="F53" s="110"/>
      <c r="G53" s="181">
        <f>$G$16</f>
        <v>2019</v>
      </c>
      <c r="H53" s="248"/>
      <c r="I53" s="110"/>
      <c r="J53" s="140"/>
      <c r="K53" s="140">
        <f>$D$18*COUNTIF($J$24:K49, "&gt;"&amp;0)/1000</f>
        <v>31.335790798268867</v>
      </c>
      <c r="L53" s="140">
        <f>$D$18*COUNTIF($J$24:L49, "&gt;"&amp;0)/1000</f>
        <v>109.67526779394103</v>
      </c>
      <c r="M53" s="140">
        <f>$D$18*COUNTIF($J$24:M49, "&gt;"&amp;0)/1000</f>
        <v>235.0184309870165</v>
      </c>
      <c r="N53" s="140">
        <f>$D$18*COUNTIF($J$24:N49, "&gt;"&amp;0)/1000</f>
        <v>266.3542217852854</v>
      </c>
      <c r="O53" s="140">
        <f>$D$18*COUNTIF($J$24:O49, "&gt;"&amp;0)/1000</f>
        <v>329.0258033818231</v>
      </c>
      <c r="P53" s="140">
        <f>$D$18*COUNTIF($J$24:P49, "&gt;"&amp;0)/1000</f>
        <v>376.02948957922644</v>
      </c>
      <c r="Q53" s="140">
        <f>$D$18*COUNTIF($J$24:Q49, "&gt;"&amp;0)/1000</f>
        <v>391.69738497836084</v>
      </c>
    </row>
    <row r="54" spans="1:20" x14ac:dyDescent="0.2">
      <c r="B54" s="1" t="s">
        <v>85</v>
      </c>
      <c r="D54" s="111"/>
      <c r="E54" s="111"/>
      <c r="G54" s="181">
        <f>$G$16</f>
        <v>2019</v>
      </c>
      <c r="I54" s="110"/>
      <c r="J54" s="140"/>
      <c r="K54" s="140">
        <f>($D$19*COUNTIF($J$24:K49, "&gt;"&amp;0)+$D$20*SUM($J$24:K49))/1000</f>
        <v>88.257930668867516</v>
      </c>
      <c r="L54" s="140">
        <f>($D$19*COUNTIF($J$24:L49, "&gt;"&amp;0)+$D$20*SUM($J$24:L49))/1000</f>
        <v>332.40108677189119</v>
      </c>
      <c r="M54" s="140">
        <f>($D$19*COUNTIF($J$24:M49, "&gt;"&amp;0)+$D$20*SUM($J$24:M49))/1000</f>
        <v>754.36124244453549</v>
      </c>
      <c r="N54" s="140">
        <f>($D$19*COUNTIF($J$24:N49, "&gt;"&amp;0)+$D$20*SUM($J$24:N49))/1000</f>
        <v>861.41783665808691</v>
      </c>
      <c r="O54" s="140">
        <f>($D$19*COUNTIF($J$24:O49, "&gt;"&amp;0)+$D$20*SUM($J$24:O49))/1000</f>
        <v>1062.9985827220671</v>
      </c>
      <c r="P54" s="140">
        <f>($D$19*COUNTIF($J$24:P49, "&gt;"&amp;0)+$D$20*SUM($J$24:P49))/1000</f>
        <v>1193.818923429978</v>
      </c>
      <c r="Q54" s="140">
        <f>($D$19*COUNTIF($J$24:Q49, "&gt;"&amp;0)+$D$20*SUM($J$24:Q49))/1000</f>
        <v>1236.3813334690215</v>
      </c>
    </row>
    <row r="55" spans="1:20" x14ac:dyDescent="0.2">
      <c r="B55" s="1" t="s">
        <v>86</v>
      </c>
      <c r="E55" s="112"/>
      <c r="G55" s="181">
        <f>$G$16</f>
        <v>2019</v>
      </c>
      <c r="H55" s="254"/>
      <c r="I55" s="110"/>
      <c r="J55" s="140"/>
      <c r="K55" s="140">
        <f>$D$21*SUM($J$24:K50)/1000</f>
        <v>86.481636431237234</v>
      </c>
      <c r="L55" s="140">
        <f>$D$21*SUM($J$24:L50)/1000</f>
        <v>374.75375786869466</v>
      </c>
      <c r="M55" s="140">
        <f>$D$21*SUM($J$24:M50)/1000</f>
        <v>932.07985931444568</v>
      </c>
      <c r="N55" s="140">
        <f>$D$21*SUM($J$24:N50)/1000</f>
        <v>1076.2159200331744</v>
      </c>
      <c r="O55" s="140">
        <f>$D$21*SUM($J$24:O50)/1000</f>
        <v>1326.0517586123042</v>
      </c>
      <c r="P55" s="140">
        <f>$D$21*SUM($J$24:P50)/1000</f>
        <v>1450.9696779018689</v>
      </c>
      <c r="Q55" s="140">
        <f>$D$21*SUM($J$24:Q50)/1000</f>
        <v>1489.4059607601966</v>
      </c>
    </row>
    <row r="56" spans="1:20" x14ac:dyDescent="0.2">
      <c r="B56" s="5"/>
      <c r="C56" s="5"/>
      <c r="E56" s="112"/>
      <c r="H56" s="254"/>
      <c r="I56" s="110"/>
      <c r="J56" s="110"/>
      <c r="K56" s="110"/>
      <c r="L56" s="110"/>
      <c r="M56" s="109"/>
      <c r="N56" s="109"/>
      <c r="O56" s="109"/>
      <c r="P56" s="109"/>
      <c r="Q56" s="109"/>
    </row>
    <row r="57" spans="1:20" ht="13.5" thickBot="1" x14ac:dyDescent="0.25">
      <c r="B57" s="113" t="s">
        <v>6</v>
      </c>
      <c r="C57" s="113"/>
      <c r="D57" s="113"/>
      <c r="E57" s="113"/>
      <c r="F57" s="113"/>
      <c r="G57" s="243"/>
      <c r="H57" s="243"/>
      <c r="I57" s="113"/>
      <c r="J57" s="281"/>
      <c r="K57" s="281">
        <f t="shared" ref="K57:Q57" si="2">SUM(K53:K56)</f>
        <v>206.07535789837362</v>
      </c>
      <c r="L57" s="281">
        <f t="shared" si="2"/>
        <v>816.83011243452688</v>
      </c>
      <c r="M57" s="281">
        <f t="shared" si="2"/>
        <v>1921.4595327459976</v>
      </c>
      <c r="N57" s="281">
        <f t="shared" si="2"/>
        <v>2203.9879784765467</v>
      </c>
      <c r="O57" s="281">
        <f t="shared" si="2"/>
        <v>2718.0761447161944</v>
      </c>
      <c r="P57" s="281">
        <f t="shared" si="2"/>
        <v>3020.8180909110733</v>
      </c>
      <c r="Q57" s="281">
        <f t="shared" si="2"/>
        <v>3117.4846792075787</v>
      </c>
    </row>
    <row r="58" spans="1:20" ht="13.5" thickTop="1" x14ac:dyDescent="0.2">
      <c r="B58" s="5"/>
      <c r="C58" s="5"/>
      <c r="E58" s="112"/>
      <c r="H58" s="254"/>
      <c r="I58" s="110"/>
      <c r="J58" s="110"/>
      <c r="K58" s="110"/>
      <c r="L58" s="110"/>
      <c r="M58" s="109"/>
      <c r="N58" s="109"/>
      <c r="O58" s="109"/>
      <c r="P58" s="109"/>
      <c r="Q58" s="109"/>
    </row>
    <row r="59" spans="1:20" x14ac:dyDescent="0.2">
      <c r="B59" s="5"/>
      <c r="C59" s="5"/>
      <c r="E59" s="112"/>
      <c r="H59" s="254"/>
      <c r="I59" s="110"/>
      <c r="J59" s="110"/>
      <c r="K59" s="110"/>
      <c r="L59" s="110"/>
      <c r="M59" s="109"/>
      <c r="N59" s="109"/>
      <c r="O59" s="109"/>
      <c r="P59" s="109"/>
      <c r="Q59" s="109"/>
    </row>
    <row r="60" spans="1:20" x14ac:dyDescent="0.2">
      <c r="A60" s="2" t="s">
        <v>198</v>
      </c>
      <c r="B60" s="2"/>
      <c r="C60" s="2"/>
      <c r="D60" s="2"/>
      <c r="E60" s="2"/>
      <c r="F60" s="2"/>
      <c r="G60" s="229"/>
      <c r="H60" s="229"/>
      <c r="I60" s="2"/>
      <c r="J60" s="2"/>
      <c r="K60" s="7">
        <v>2019</v>
      </c>
      <c r="L60" s="7">
        <v>2020</v>
      </c>
      <c r="M60" s="7" t="s">
        <v>48</v>
      </c>
      <c r="N60" s="7" t="s">
        <v>49</v>
      </c>
      <c r="O60" s="7" t="s">
        <v>50</v>
      </c>
      <c r="P60" s="7" t="s">
        <v>51</v>
      </c>
      <c r="Q60" s="7" t="s">
        <v>52</v>
      </c>
      <c r="S60" s="7" t="s">
        <v>135</v>
      </c>
    </row>
    <row r="61" spans="1:20" s="14" customFormat="1" x14ac:dyDescent="0.2">
      <c r="A61" s="12"/>
      <c r="B61" s="12"/>
      <c r="C61" s="12"/>
      <c r="D61" s="12"/>
      <c r="E61" s="12"/>
      <c r="F61" s="12"/>
      <c r="G61" s="234"/>
      <c r="H61" s="234"/>
      <c r="I61" s="12"/>
      <c r="J61" s="12"/>
      <c r="K61" s="12"/>
      <c r="L61" s="12"/>
      <c r="M61" s="12"/>
      <c r="N61" s="12"/>
      <c r="O61" s="12"/>
      <c r="P61" s="12"/>
      <c r="Q61" s="12"/>
      <c r="R61" s="1"/>
      <c r="S61" s="219"/>
      <c r="T61" s="1"/>
    </row>
    <row r="63" spans="1:20" x14ac:dyDescent="0.2">
      <c r="B63" s="218" t="s">
        <v>202</v>
      </c>
      <c r="C63" s="218"/>
      <c r="D63" s="218"/>
      <c r="E63" s="218"/>
      <c r="F63" s="218"/>
      <c r="G63" s="263">
        <f>$G$16</f>
        <v>2019</v>
      </c>
      <c r="H63" s="252"/>
      <c r="I63" s="218"/>
      <c r="J63" s="218"/>
      <c r="K63" s="218"/>
      <c r="L63" s="219"/>
      <c r="M63" s="219">
        <f>(M57-$K$57)</f>
        <v>1715.3841748476241</v>
      </c>
      <c r="N63" s="219">
        <f t="shared" ref="N63:Q63" si="3">(N57-$K$57)</f>
        <v>1997.9126205781731</v>
      </c>
      <c r="O63" s="219">
        <f t="shared" si="3"/>
        <v>2512.0007868178209</v>
      </c>
      <c r="P63" s="219">
        <f t="shared" si="3"/>
        <v>2814.7427330126998</v>
      </c>
      <c r="Q63" s="219">
        <f t="shared" si="3"/>
        <v>2911.4093213092051</v>
      </c>
      <c r="S63" s="219">
        <f>SUM(M63:Q63)</f>
        <v>11951.449636565523</v>
      </c>
    </row>
    <row r="64" spans="1:20" x14ac:dyDescent="0.2">
      <c r="B64" s="216" t="str">
        <f ca="1">"Total: "&amp;$A$1&amp;" "&amp;$A$2</f>
        <v>Total: Powercor REFCL opex</v>
      </c>
      <c r="C64" s="216"/>
      <c r="D64" s="216"/>
      <c r="E64" s="216"/>
      <c r="F64" s="216"/>
      <c r="G64" s="231" t="str">
        <f>"$k"&amp;" $"&amp;Year_of_Currency</f>
        <v>$k $2020/21</v>
      </c>
      <c r="H64" s="240"/>
      <c r="I64" s="216"/>
      <c r="J64" s="216"/>
      <c r="K64" s="217"/>
      <c r="L64" s="217"/>
      <c r="M64" s="217">
        <f>M63*INDEX(Assumptions!$F$20:$F$22,MATCH($G$16,Assumptions!$D$20:$D$22,0))</f>
        <v>1788.1816551703619</v>
      </c>
      <c r="N64" s="217">
        <f>N63*INDEX(Assumptions!$F$20:$F$22,MATCH($G$16,Assumptions!$D$20:$D$22,0))</f>
        <v>2082.7000441860705</v>
      </c>
      <c r="O64" s="217">
        <f>O63*INDEX(Assumptions!$F$20:$F$22,MATCH($G$16,Assumptions!$D$20:$D$22,0))</f>
        <v>2618.6050860357009</v>
      </c>
      <c r="P64" s="217">
        <f>P63*INDEX(Assumptions!$F$20:$F$22,MATCH($G$16,Assumptions!$D$20:$D$22,0))</f>
        <v>2934.1947961275196</v>
      </c>
      <c r="Q64" s="217">
        <f>Q63*INDEX(Assumptions!$F$20:$F$22,MATCH($G$16,Assumptions!$D$20:$D$22,0))</f>
        <v>3034.9637214763102</v>
      </c>
      <c r="S64" s="217">
        <f>SUM(M64:Q64)</f>
        <v>12458.645302995963</v>
      </c>
    </row>
    <row r="65" spans="1:19" x14ac:dyDescent="0.2">
      <c r="S65" s="120"/>
    </row>
    <row r="66" spans="1:19" x14ac:dyDescent="0.2">
      <c r="S66" s="120"/>
    </row>
    <row r="67" spans="1:19" x14ac:dyDescent="0.2">
      <c r="A67" s="2" t="s">
        <v>234</v>
      </c>
      <c r="B67" s="2"/>
      <c r="C67" s="2"/>
      <c r="D67" s="2"/>
      <c r="E67" s="2"/>
      <c r="F67" s="2"/>
      <c r="G67" s="229"/>
      <c r="H67" s="229"/>
      <c r="I67" s="2"/>
      <c r="J67" s="2"/>
      <c r="K67" s="7">
        <v>2019</v>
      </c>
      <c r="L67" s="7">
        <v>2020</v>
      </c>
      <c r="M67" s="7" t="s">
        <v>48</v>
      </c>
      <c r="N67" s="7" t="s">
        <v>49</v>
      </c>
      <c r="O67" s="7" t="s">
        <v>50</v>
      </c>
      <c r="P67" s="7" t="s">
        <v>51</v>
      </c>
      <c r="Q67" s="7" t="s">
        <v>52</v>
      </c>
      <c r="S67" s="7" t="s">
        <v>135</v>
      </c>
    </row>
    <row r="68" spans="1:19" x14ac:dyDescent="0.2">
      <c r="G68" s="259"/>
      <c r="J68" s="120"/>
      <c r="K68" s="120"/>
      <c r="L68" s="120"/>
      <c r="M68" s="120"/>
      <c r="N68" s="120"/>
      <c r="O68" s="120"/>
      <c r="P68" s="120"/>
      <c r="Q68" s="120"/>
      <c r="S68" s="120"/>
    </row>
    <row r="69" spans="1:19" x14ac:dyDescent="0.2">
      <c r="B69" s="1" t="str">
        <f ca="1">"Powercor "&amp;$A$2 &amp;" allocated cost"</f>
        <v>Powercor REFCL opex allocated cost</v>
      </c>
      <c r="C69" s="226">
        <v>1</v>
      </c>
      <c r="G69" s="261" t="s">
        <v>201</v>
      </c>
      <c r="J69" s="120"/>
      <c r="K69" s="120"/>
      <c r="L69" s="120"/>
      <c r="M69" s="140">
        <f ca="1">M$64*IF(ISNUMBER($C69),$C69,INDIRECT($C69))</f>
        <v>1788.1816551703619</v>
      </c>
      <c r="N69" s="140">
        <f t="shared" ref="N69:Q69" ca="1" si="4">N$64*IF(ISNUMBER($C69),$C69,INDIRECT($C69))</f>
        <v>2082.7000441860705</v>
      </c>
      <c r="O69" s="140">
        <f t="shared" ca="1" si="4"/>
        <v>2618.6050860357009</v>
      </c>
      <c r="P69" s="140">
        <f t="shared" ca="1" si="4"/>
        <v>2934.1947961275196</v>
      </c>
      <c r="Q69" s="140">
        <f t="shared" ca="1" si="4"/>
        <v>3034.9637214763102</v>
      </c>
      <c r="S69" s="118">
        <f ca="1">SUM(M69:Q69)</f>
        <v>12458.645302995963</v>
      </c>
    </row>
    <row r="70" spans="1:19" x14ac:dyDescent="0.2">
      <c r="G70" s="259"/>
      <c r="J70" s="120"/>
      <c r="K70" s="120"/>
      <c r="L70" s="120"/>
      <c r="M70" s="120"/>
      <c r="N70" s="120"/>
      <c r="O70" s="120"/>
      <c r="P70" s="120"/>
      <c r="Q70" s="120"/>
      <c r="S70" s="279"/>
    </row>
    <row r="71" spans="1:19" x14ac:dyDescent="0.2">
      <c r="B71" s="5" t="s">
        <v>224</v>
      </c>
      <c r="G71" s="259"/>
      <c r="J71" s="120"/>
      <c r="K71" s="120"/>
      <c r="L71" s="120"/>
      <c r="M71" s="120"/>
      <c r="N71" s="120"/>
      <c r="O71" s="120"/>
      <c r="P71" s="120"/>
      <c r="Q71" s="120"/>
      <c r="S71" s="279"/>
    </row>
    <row r="72" spans="1:19" x14ac:dyDescent="0.2">
      <c r="B72" s="1" t="str">
        <f ca="1">"Powercor "&amp;$A$2</f>
        <v>Powercor REFCL opex</v>
      </c>
      <c r="C72" s="270" t="s">
        <v>225</v>
      </c>
      <c r="G72" s="261" t="s">
        <v>201</v>
      </c>
      <c r="J72" s="120"/>
      <c r="K72" s="120"/>
      <c r="L72" s="120"/>
      <c r="M72" s="140">
        <f ca="1">M69*INDEX(Assumptions!N$44:N$45, MATCH($C72, Assumptions!$E$44:$E$45,0))</f>
        <v>1844.8417632832895</v>
      </c>
      <c r="N72" s="140">
        <f ca="1">N69*INDEX(Assumptions!O$44:O$45, MATCH($C72, Assumptions!$E$44:$E$45,0))</f>
        <v>2184.4468425082741</v>
      </c>
      <c r="O72" s="140">
        <f ca="1">O69*INDEX(Assumptions!P$44:P$45, MATCH($C72, Assumptions!$E$44:$E$45,0))</f>
        <v>2791.9800558595161</v>
      </c>
      <c r="P72" s="140">
        <f ca="1">P69*INDEX(Assumptions!Q$44:Q$45, MATCH($C72, Assumptions!$E$44:$E$45,0))</f>
        <v>3174.1642046599427</v>
      </c>
      <c r="Q72" s="140">
        <f ca="1">Q69*INDEX(Assumptions!R$44:R$45, MATCH($C72, Assumptions!$E$44:$E$45,0))</f>
        <v>3326.2825692940364</v>
      </c>
      <c r="S72" s="118">
        <f ca="1">SUM(M72:Q72)</f>
        <v>13321.71543560506</v>
      </c>
    </row>
    <row r="73" spans="1:19" x14ac:dyDescent="0.2">
      <c r="G73" s="259"/>
      <c r="J73" s="9"/>
      <c r="K73" s="9"/>
      <c r="L73" s="9"/>
      <c r="M73" s="9"/>
      <c r="N73" s="9"/>
      <c r="O73" s="9"/>
      <c r="P73" s="9"/>
      <c r="Q73" s="9"/>
    </row>
  </sheetData>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theme="3"/>
  </sheetPr>
  <dimension ref="A1:S64"/>
  <sheetViews>
    <sheetView showGridLines="0" zoomScale="80" zoomScaleNormal="80" workbookViewId="0">
      <pane xSplit="2" ySplit="2" topLeftCell="C3" activePane="bottomRight" state="frozen"/>
      <selection activeCell="K43" sqref="K43"/>
      <selection pane="topRight" activeCell="K43" sqref="K43"/>
      <selection pane="bottomLeft" activeCell="K43" sqref="K43"/>
      <selection pane="bottomRight" activeCell="W42" sqref="W42"/>
    </sheetView>
  </sheetViews>
  <sheetFormatPr defaultColWidth="9" defaultRowHeight="12.75" x14ac:dyDescent="0.2"/>
  <cols>
    <col min="1" max="1" width="3.5" style="1" customWidth="1"/>
    <col min="2" max="2" width="43.125" style="1" customWidth="1"/>
    <col min="3" max="3" width="17.25" style="1" customWidth="1"/>
    <col min="4" max="4" width="13.125" style="1" customWidth="1"/>
    <col min="5" max="5" width="16" style="1" customWidth="1"/>
    <col min="6" max="6" width="5.5" style="1" customWidth="1"/>
    <col min="7" max="7" width="11.375" style="259" customWidth="1"/>
    <col min="8" max="8" width="17" style="161" customWidth="1"/>
    <col min="9" max="9" width="5.875" style="1" customWidth="1"/>
    <col min="10" max="10" width="9.75" style="1" customWidth="1"/>
    <col min="11" max="12" width="7" style="1" customWidth="1"/>
    <col min="13" max="17" width="9.25" style="1" customWidth="1"/>
    <col min="18" max="18" width="2.5" style="1" customWidth="1"/>
    <col min="19" max="16384" width="9" style="1"/>
  </cols>
  <sheetData>
    <row r="1" spans="1:17" ht="21" x14ac:dyDescent="0.35">
      <c r="A1" s="3" t="s">
        <v>9</v>
      </c>
    </row>
    <row r="2" spans="1:17" ht="18.75" x14ac:dyDescent="0.3">
      <c r="A2" s="8" t="str">
        <f ca="1">RIGHT(CELL("filename",A1),LEN(CELL("filename",A1))-FIND("]",CELL("filename",A1),1))</f>
        <v>HBRA reclassification</v>
      </c>
      <c r="K2" s="117"/>
      <c r="L2" s="117"/>
      <c r="M2" s="117"/>
      <c r="N2" s="117"/>
      <c r="O2" s="117"/>
      <c r="P2" s="117"/>
      <c r="Q2" s="117"/>
    </row>
    <row r="3" spans="1:17" x14ac:dyDescent="0.2">
      <c r="A3" s="1" t="s">
        <v>0</v>
      </c>
    </row>
    <row r="5" spans="1:17" x14ac:dyDescent="0.2">
      <c r="A5" s="2" t="s">
        <v>44</v>
      </c>
      <c r="B5" s="2"/>
      <c r="C5" s="2"/>
      <c r="D5" s="2"/>
      <c r="E5" s="2"/>
      <c r="F5" s="2"/>
      <c r="G5" s="260"/>
      <c r="H5" s="229"/>
      <c r="I5" s="2"/>
      <c r="J5" s="2"/>
      <c r="K5" s="2"/>
      <c r="L5" s="2"/>
      <c r="M5" s="7"/>
      <c r="N5" s="7"/>
      <c r="O5" s="7"/>
      <c r="P5" s="7"/>
      <c r="Q5" s="7"/>
    </row>
    <row r="6" spans="1:17" x14ac:dyDescent="0.2">
      <c r="B6" s="116"/>
      <c r="M6" s="9"/>
      <c r="N6" s="9"/>
      <c r="O6" s="9"/>
      <c r="P6" s="9"/>
      <c r="Q6" s="9"/>
    </row>
    <row r="7" spans="1:17" x14ac:dyDescent="0.2">
      <c r="B7" s="116"/>
      <c r="M7" s="9"/>
      <c r="N7" s="9"/>
      <c r="O7" s="9"/>
      <c r="P7" s="9"/>
      <c r="Q7" s="9"/>
    </row>
    <row r="8" spans="1:17" x14ac:dyDescent="0.2">
      <c r="M8" s="9"/>
      <c r="N8" s="9"/>
      <c r="O8" s="9"/>
      <c r="P8" s="9"/>
      <c r="Q8" s="9"/>
    </row>
    <row r="9" spans="1:17" x14ac:dyDescent="0.2">
      <c r="B9" s="141" t="s">
        <v>134</v>
      </c>
      <c r="M9" s="9"/>
      <c r="N9" s="9"/>
      <c r="O9" s="9"/>
      <c r="P9" s="9"/>
      <c r="Q9" s="9"/>
    </row>
    <row r="10" spans="1:17" x14ac:dyDescent="0.2">
      <c r="B10" s="142" t="s">
        <v>245</v>
      </c>
      <c r="M10" s="9"/>
      <c r="N10" s="9"/>
      <c r="O10" s="9"/>
      <c r="P10" s="9"/>
      <c r="Q10" s="9"/>
    </row>
    <row r="11" spans="1:17" x14ac:dyDescent="0.2">
      <c r="B11" s="142" t="s">
        <v>149</v>
      </c>
      <c r="M11" s="9"/>
      <c r="N11" s="9"/>
      <c r="O11" s="9"/>
      <c r="P11" s="9"/>
      <c r="Q11" s="9"/>
    </row>
    <row r="12" spans="1:17" x14ac:dyDescent="0.2">
      <c r="B12" s="162" t="s">
        <v>265</v>
      </c>
      <c r="M12" s="9"/>
      <c r="N12" s="9"/>
      <c r="O12" s="9"/>
      <c r="P12" s="9"/>
      <c r="Q12" s="9"/>
    </row>
    <row r="13" spans="1:17" x14ac:dyDescent="0.2">
      <c r="M13" s="9"/>
      <c r="N13" s="9"/>
      <c r="O13" s="9"/>
      <c r="P13" s="9"/>
      <c r="Q13" s="9"/>
    </row>
    <row r="14" spans="1:17" x14ac:dyDescent="0.2">
      <c r="A14" s="2" t="s">
        <v>53</v>
      </c>
      <c r="B14" s="2"/>
      <c r="C14" s="2"/>
      <c r="D14" s="2"/>
      <c r="E14" s="2"/>
      <c r="F14" s="2"/>
      <c r="G14" s="260"/>
      <c r="H14" s="229" t="s">
        <v>132</v>
      </c>
      <c r="I14" s="2"/>
      <c r="J14" s="2"/>
      <c r="K14" s="2"/>
      <c r="L14" s="2"/>
      <c r="M14" s="2"/>
      <c r="N14" s="2"/>
      <c r="O14" s="2"/>
      <c r="P14" s="2"/>
      <c r="Q14" s="2"/>
    </row>
    <row r="15" spans="1:17" x14ac:dyDescent="0.2">
      <c r="M15" s="9"/>
      <c r="N15" s="9"/>
      <c r="O15" s="9"/>
      <c r="P15" s="9"/>
      <c r="Q15" s="9"/>
    </row>
    <row r="16" spans="1:17" x14ac:dyDescent="0.2">
      <c r="B16" s="1" t="s">
        <v>32</v>
      </c>
      <c r="G16" s="264">
        <v>2018</v>
      </c>
      <c r="M16" s="9"/>
      <c r="N16" s="9"/>
      <c r="O16" s="9"/>
      <c r="P16" s="9"/>
      <c r="Q16" s="9"/>
    </row>
    <row r="17" spans="1:17" x14ac:dyDescent="0.2">
      <c r="G17" s="1"/>
      <c r="H17" s="1"/>
      <c r="M17" s="9"/>
      <c r="N17" s="9"/>
      <c r="O17" s="9"/>
      <c r="P17" s="9"/>
      <c r="Q17" s="9"/>
    </row>
    <row r="18" spans="1:17" x14ac:dyDescent="0.2">
      <c r="C18" s="283" t="s">
        <v>179</v>
      </c>
      <c r="D18" s="283" t="s">
        <v>184</v>
      </c>
      <c r="M18" s="9"/>
      <c r="N18" s="9"/>
      <c r="O18" s="9"/>
      <c r="P18" s="9"/>
      <c r="Q18" s="9"/>
    </row>
    <row r="19" spans="1:17" x14ac:dyDescent="0.2">
      <c r="B19" s="28" t="s">
        <v>35</v>
      </c>
      <c r="C19" s="287">
        <v>73254</v>
      </c>
      <c r="H19" s="161" t="s">
        <v>150</v>
      </c>
    </row>
    <row r="20" spans="1:17" x14ac:dyDescent="0.2">
      <c r="B20" s="28" t="s">
        <v>36</v>
      </c>
      <c r="C20" s="287">
        <v>29226</v>
      </c>
      <c r="H20" s="161" t="s">
        <v>150</v>
      </c>
    </row>
    <row r="21" spans="1:17" x14ac:dyDescent="0.2">
      <c r="B21" s="28" t="s">
        <v>180</v>
      </c>
      <c r="C21" s="29">
        <f>C19-C20</f>
        <v>44028</v>
      </c>
      <c r="F21" s="28"/>
      <c r="G21" s="265"/>
      <c r="H21" s="244"/>
    </row>
    <row r="22" spans="1:17" x14ac:dyDescent="0.2">
      <c r="B22" s="28"/>
      <c r="C22" s="28"/>
      <c r="F22" s="28"/>
      <c r="G22" s="265"/>
      <c r="H22" s="244"/>
    </row>
    <row r="23" spans="1:17" x14ac:dyDescent="0.2">
      <c r="A23" s="102"/>
      <c r="B23" s="1" t="s">
        <v>152</v>
      </c>
      <c r="C23" s="29">
        <f>C21</f>
        <v>44028</v>
      </c>
      <c r="D23" s="289">
        <f>30/1000</f>
        <v>0.03</v>
      </c>
      <c r="H23" s="161" t="s">
        <v>153</v>
      </c>
      <c r="M23" s="168">
        <v>0.5</v>
      </c>
      <c r="N23" s="168">
        <v>0.5</v>
      </c>
      <c r="O23" s="168">
        <v>0</v>
      </c>
      <c r="P23" s="168">
        <v>0</v>
      </c>
      <c r="Q23" s="168">
        <v>0</v>
      </c>
    </row>
    <row r="24" spans="1:17" x14ac:dyDescent="0.2">
      <c r="A24" s="102"/>
    </row>
    <row r="25" spans="1:17" x14ac:dyDescent="0.2">
      <c r="A25" s="102"/>
      <c r="B25" s="1" t="s">
        <v>177</v>
      </c>
      <c r="C25" s="287">
        <v>275</v>
      </c>
      <c r="D25" s="289">
        <v>1.7875093922651899</v>
      </c>
      <c r="H25" s="161" t="s">
        <v>150</v>
      </c>
      <c r="M25" s="168">
        <v>1</v>
      </c>
      <c r="N25" s="168">
        <v>0</v>
      </c>
      <c r="O25" s="168">
        <v>0</v>
      </c>
      <c r="P25" s="168">
        <v>0</v>
      </c>
      <c r="Q25" s="168">
        <v>0</v>
      </c>
    </row>
    <row r="26" spans="1:17" x14ac:dyDescent="0.2">
      <c r="A26" s="102"/>
      <c r="B26" s="1" t="s">
        <v>178</v>
      </c>
      <c r="C26" s="287">
        <v>1245</v>
      </c>
      <c r="D26" s="289">
        <v>4.61671782447866</v>
      </c>
      <c r="H26" s="161" t="s">
        <v>150</v>
      </c>
      <c r="M26" s="168">
        <v>1</v>
      </c>
      <c r="N26" s="168">
        <v>0</v>
      </c>
      <c r="O26" s="168">
        <v>0</v>
      </c>
      <c r="P26" s="168">
        <v>0</v>
      </c>
      <c r="Q26" s="168">
        <v>0</v>
      </c>
    </row>
    <row r="27" spans="1:17" x14ac:dyDescent="0.2">
      <c r="A27" s="102"/>
      <c r="B27" s="102"/>
      <c r="C27" s="102"/>
      <c r="D27" s="102"/>
      <c r="F27" s="102"/>
      <c r="G27" s="266"/>
      <c r="H27" s="245"/>
      <c r="J27" s="102"/>
      <c r="K27" s="102"/>
      <c r="L27" s="102"/>
      <c r="M27" s="102"/>
      <c r="N27" s="102"/>
      <c r="O27" s="102"/>
      <c r="P27" s="102"/>
      <c r="Q27" s="102"/>
    </row>
    <row r="28" spans="1:17" x14ac:dyDescent="0.2">
      <c r="A28" s="102"/>
      <c r="B28" s="1" t="s">
        <v>155</v>
      </c>
      <c r="C28" s="287">
        <v>4000</v>
      </c>
      <c r="D28" s="289">
        <v>2.4625019907407402</v>
      </c>
      <c r="H28" s="161" t="s">
        <v>150</v>
      </c>
      <c r="M28" s="168">
        <v>1</v>
      </c>
      <c r="N28" s="168">
        <v>0</v>
      </c>
      <c r="O28" s="168">
        <v>0</v>
      </c>
      <c r="P28" s="168">
        <v>0</v>
      </c>
      <c r="Q28" s="168">
        <v>0</v>
      </c>
    </row>
    <row r="29" spans="1:17" x14ac:dyDescent="0.2">
      <c r="A29" s="102"/>
      <c r="B29" s="1" t="s">
        <v>156</v>
      </c>
      <c r="C29" s="287">
        <v>6304</v>
      </c>
      <c r="D29" s="289">
        <f>333.58/1000</f>
        <v>0.33357999999999999</v>
      </c>
      <c r="H29" s="161" t="s">
        <v>150</v>
      </c>
      <c r="M29" s="168">
        <v>1</v>
      </c>
      <c r="N29" s="168">
        <v>0</v>
      </c>
      <c r="O29" s="168">
        <v>0</v>
      </c>
      <c r="P29" s="168">
        <v>0</v>
      </c>
      <c r="Q29" s="168">
        <v>0</v>
      </c>
    </row>
    <row r="30" spans="1:17" x14ac:dyDescent="0.2">
      <c r="A30" s="102"/>
      <c r="B30" s="1" t="s">
        <v>176</v>
      </c>
      <c r="C30" s="287">
        <v>2080</v>
      </c>
      <c r="D30" s="289">
        <f>92.7/1000</f>
        <v>9.2700000000000005E-2</v>
      </c>
      <c r="H30" s="161" t="s">
        <v>153</v>
      </c>
      <c r="M30" s="168">
        <v>1</v>
      </c>
      <c r="N30" s="168">
        <v>0</v>
      </c>
      <c r="O30" s="168">
        <v>0</v>
      </c>
      <c r="P30" s="168">
        <v>0</v>
      </c>
      <c r="Q30" s="168">
        <v>0</v>
      </c>
    </row>
    <row r="31" spans="1:17" x14ac:dyDescent="0.2">
      <c r="D31" s="14"/>
    </row>
    <row r="32" spans="1:17" x14ac:dyDescent="0.2">
      <c r="A32" s="2" t="s">
        <v>11</v>
      </c>
      <c r="B32" s="2"/>
      <c r="C32" s="2"/>
      <c r="D32" s="2"/>
      <c r="E32" s="2"/>
      <c r="F32" s="2"/>
      <c r="G32" s="260"/>
      <c r="H32" s="229"/>
      <c r="I32" s="2"/>
      <c r="J32" s="2"/>
      <c r="K32" s="2"/>
      <c r="L32" s="2"/>
      <c r="M32" s="7" t="s">
        <v>48</v>
      </c>
      <c r="N32" s="7" t="s">
        <v>49</v>
      </c>
      <c r="O32" s="7" t="s">
        <v>50</v>
      </c>
      <c r="P32" s="7" t="s">
        <v>51</v>
      </c>
      <c r="Q32" s="7" t="s">
        <v>52</v>
      </c>
    </row>
    <row r="33" spans="1:19" x14ac:dyDescent="0.2">
      <c r="M33" s="29"/>
      <c r="N33" s="29"/>
      <c r="O33" s="29"/>
      <c r="P33" s="29"/>
      <c r="Q33" s="29"/>
    </row>
    <row r="34" spans="1:19" x14ac:dyDescent="0.2">
      <c r="M34" s="29"/>
      <c r="N34" s="29"/>
      <c r="O34" s="29"/>
      <c r="P34" s="29"/>
      <c r="Q34" s="29"/>
    </row>
    <row r="35" spans="1:19" x14ac:dyDescent="0.2">
      <c r="A35" s="102"/>
      <c r="B35" s="5" t="s">
        <v>183</v>
      </c>
      <c r="G35" s="181">
        <f>$G$16</f>
        <v>2018</v>
      </c>
      <c r="K35" s="28"/>
      <c r="L35" s="29"/>
      <c r="M35" s="29">
        <f>($C23*$D23)*M23</f>
        <v>660.42</v>
      </c>
      <c r="N35" s="29">
        <f>($C23*$D23)*N23</f>
        <v>660.42</v>
      </c>
      <c r="O35" s="29">
        <f>($C23*$D23)*O23</f>
        <v>0</v>
      </c>
      <c r="P35" s="29">
        <f>($C23*$D23)*P23</f>
        <v>0</v>
      </c>
      <c r="Q35" s="29">
        <f>($C23*$D23)*Q23</f>
        <v>0</v>
      </c>
    </row>
    <row r="36" spans="1:19" x14ac:dyDescent="0.2">
      <c r="M36" s="29"/>
      <c r="N36" s="29"/>
      <c r="O36" s="29"/>
      <c r="P36" s="29"/>
      <c r="Q36" s="29"/>
    </row>
    <row r="37" spans="1:19" x14ac:dyDescent="0.2">
      <c r="A37" s="102"/>
      <c r="B37" s="5" t="s">
        <v>18</v>
      </c>
      <c r="G37" s="181"/>
    </row>
    <row r="38" spans="1:19" x14ac:dyDescent="0.2">
      <c r="A38" s="102"/>
      <c r="B38" s="1" t="s">
        <v>39</v>
      </c>
      <c r="G38" s="181">
        <f>$G$16</f>
        <v>2018</v>
      </c>
      <c r="M38" s="29">
        <f>($C25*$D25)*M25</f>
        <v>491.56508287292723</v>
      </c>
      <c r="N38" s="29">
        <f t="shared" ref="M38:Q39" si="0">($C25*$D25)*N25</f>
        <v>0</v>
      </c>
      <c r="O38" s="29">
        <f t="shared" si="0"/>
        <v>0</v>
      </c>
      <c r="P38" s="29">
        <f t="shared" si="0"/>
        <v>0</v>
      </c>
      <c r="Q38" s="29">
        <f t="shared" si="0"/>
        <v>0</v>
      </c>
    </row>
    <row r="39" spans="1:19" x14ac:dyDescent="0.2">
      <c r="A39" s="102"/>
      <c r="B39" s="1" t="s">
        <v>38</v>
      </c>
      <c r="G39" s="181">
        <f>$G$16</f>
        <v>2018</v>
      </c>
      <c r="M39" s="29">
        <f t="shared" si="0"/>
        <v>5747.8136914759316</v>
      </c>
      <c r="N39" s="29">
        <f t="shared" si="0"/>
        <v>0</v>
      </c>
      <c r="O39" s="29">
        <f t="shared" si="0"/>
        <v>0</v>
      </c>
      <c r="P39" s="29">
        <f t="shared" si="0"/>
        <v>0</v>
      </c>
      <c r="Q39" s="29">
        <f t="shared" si="0"/>
        <v>0</v>
      </c>
    </row>
    <row r="40" spans="1:19" x14ac:dyDescent="0.2">
      <c r="B40" s="5"/>
      <c r="E40" s="30"/>
      <c r="G40" s="181"/>
      <c r="M40" s="29"/>
      <c r="N40" s="29"/>
      <c r="O40" s="29"/>
      <c r="P40" s="29"/>
      <c r="Q40" s="29"/>
    </row>
    <row r="41" spans="1:19" x14ac:dyDescent="0.2">
      <c r="A41" s="102"/>
      <c r="B41" s="5" t="s">
        <v>17</v>
      </c>
      <c r="E41" s="30"/>
      <c r="G41" s="181"/>
      <c r="M41" s="29"/>
      <c r="N41" s="29"/>
      <c r="O41" s="29"/>
      <c r="P41" s="29"/>
      <c r="Q41" s="29"/>
    </row>
    <row r="42" spans="1:19" x14ac:dyDescent="0.2">
      <c r="A42" s="102"/>
      <c r="B42" s="1" t="s">
        <v>157</v>
      </c>
      <c r="E42" s="30"/>
      <c r="G42" s="181">
        <f>$G$16</f>
        <v>2018</v>
      </c>
      <c r="M42" s="29">
        <f t="shared" ref="M42:Q44" si="1">($C28*$D28)*M28</f>
        <v>9850.0079629629599</v>
      </c>
      <c r="N42" s="29">
        <f t="shared" si="1"/>
        <v>0</v>
      </c>
      <c r="O42" s="29">
        <f t="shared" si="1"/>
        <v>0</v>
      </c>
      <c r="P42" s="29">
        <f t="shared" si="1"/>
        <v>0</v>
      </c>
      <c r="Q42" s="29">
        <f t="shared" si="1"/>
        <v>0</v>
      </c>
    </row>
    <row r="43" spans="1:19" x14ac:dyDescent="0.2">
      <c r="A43" s="102"/>
      <c r="B43" s="1" t="s">
        <v>154</v>
      </c>
      <c r="E43" s="30"/>
      <c r="G43" s="181">
        <f>$G$16</f>
        <v>2018</v>
      </c>
      <c r="M43" s="29">
        <f t="shared" si="1"/>
        <v>2102.88832</v>
      </c>
      <c r="N43" s="29">
        <f t="shared" si="1"/>
        <v>0</v>
      </c>
      <c r="O43" s="29">
        <f t="shared" si="1"/>
        <v>0</v>
      </c>
      <c r="P43" s="29">
        <f t="shared" si="1"/>
        <v>0</v>
      </c>
      <c r="Q43" s="29">
        <f t="shared" si="1"/>
        <v>0</v>
      </c>
    </row>
    <row r="44" spans="1:19" x14ac:dyDescent="0.2">
      <c r="A44" s="102"/>
      <c r="B44" s="1" t="s">
        <v>37</v>
      </c>
      <c r="G44" s="181">
        <f>$G$16</f>
        <v>2018</v>
      </c>
      <c r="M44" s="29">
        <f t="shared" si="1"/>
        <v>192.816</v>
      </c>
      <c r="N44" s="29">
        <f t="shared" si="1"/>
        <v>0</v>
      </c>
      <c r="O44" s="29">
        <f t="shared" si="1"/>
        <v>0</v>
      </c>
      <c r="P44" s="29">
        <f t="shared" si="1"/>
        <v>0</v>
      </c>
      <c r="Q44" s="29">
        <f t="shared" si="1"/>
        <v>0</v>
      </c>
    </row>
    <row r="45" spans="1:19" x14ac:dyDescent="0.2">
      <c r="M45" s="29"/>
      <c r="N45" s="29"/>
      <c r="O45" s="29"/>
      <c r="P45" s="29"/>
      <c r="Q45" s="29"/>
    </row>
    <row r="47" spans="1:19" x14ac:dyDescent="0.2">
      <c r="A47" s="2" t="s">
        <v>198</v>
      </c>
      <c r="B47" s="2"/>
      <c r="C47" s="2"/>
      <c r="D47" s="2"/>
      <c r="E47" s="2"/>
      <c r="F47" s="2"/>
      <c r="G47" s="229"/>
      <c r="H47" s="229"/>
      <c r="I47" s="2"/>
      <c r="J47" s="2"/>
      <c r="K47" s="7">
        <v>2019</v>
      </c>
      <c r="L47" s="7">
        <v>2020</v>
      </c>
      <c r="M47" s="7" t="s">
        <v>48</v>
      </c>
      <c r="N47" s="7" t="s">
        <v>49</v>
      </c>
      <c r="O47" s="7" t="s">
        <v>50</v>
      </c>
      <c r="P47" s="7" t="s">
        <v>51</v>
      </c>
      <c r="Q47" s="7" t="s">
        <v>52</v>
      </c>
      <c r="S47" s="7" t="s">
        <v>135</v>
      </c>
    </row>
    <row r="48" spans="1:19" s="14" customFormat="1" x14ac:dyDescent="0.2">
      <c r="A48" s="12"/>
      <c r="B48" s="12"/>
      <c r="C48" s="12"/>
      <c r="D48" s="12"/>
      <c r="E48" s="12"/>
      <c r="F48" s="12"/>
      <c r="G48" s="262"/>
      <c r="H48" s="234"/>
      <c r="I48" s="13"/>
      <c r="J48" s="12"/>
      <c r="K48" s="12"/>
      <c r="L48" s="12"/>
      <c r="M48" s="12"/>
      <c r="N48" s="12"/>
      <c r="O48" s="12"/>
      <c r="P48" s="12"/>
      <c r="Q48" s="12"/>
      <c r="R48" s="1"/>
      <c r="S48" s="219"/>
    </row>
    <row r="49" spans="1:19" x14ac:dyDescent="0.2">
      <c r="M49" s="9"/>
      <c r="N49" s="9"/>
      <c r="O49" s="9"/>
      <c r="P49" s="9"/>
      <c r="Q49" s="9"/>
    </row>
    <row r="50" spans="1:19" x14ac:dyDescent="0.2">
      <c r="B50" s="218" t="s">
        <v>202</v>
      </c>
      <c r="C50" s="218"/>
      <c r="D50" s="218"/>
      <c r="E50" s="218"/>
      <c r="F50" s="218"/>
      <c r="G50" s="263">
        <v>2018</v>
      </c>
      <c r="H50" s="252"/>
      <c r="I50" s="218"/>
      <c r="J50" s="218"/>
      <c r="K50" s="218"/>
      <c r="L50" s="219"/>
      <c r="M50" s="219">
        <f>SUM(M35:M44)</f>
        <v>19045.511057311815</v>
      </c>
      <c r="N50" s="219">
        <f t="shared" ref="N50:Q50" si="2">SUM(N35:N44)</f>
        <v>660.42</v>
      </c>
      <c r="O50" s="219">
        <f t="shared" si="2"/>
        <v>0</v>
      </c>
      <c r="P50" s="219">
        <f t="shared" si="2"/>
        <v>0</v>
      </c>
      <c r="Q50" s="219">
        <f t="shared" si="2"/>
        <v>0</v>
      </c>
      <c r="S50" s="219">
        <f>SUM(M50:Q50)</f>
        <v>19705.931057311813</v>
      </c>
    </row>
    <row r="51" spans="1:19" x14ac:dyDescent="0.2">
      <c r="B51" s="216" t="str">
        <f ca="1">"Total: "&amp;$A$1&amp;" "&amp;$A$2</f>
        <v>Total: Powercor HBRA reclassification</v>
      </c>
      <c r="C51" s="216"/>
      <c r="D51" s="216"/>
      <c r="E51" s="216"/>
      <c r="F51" s="216"/>
      <c r="G51" s="231" t="str">
        <f>"$k"&amp;" $"&amp;Year_of_Currency</f>
        <v>$k $2020/21</v>
      </c>
      <c r="H51" s="240"/>
      <c r="I51" s="216"/>
      <c r="J51" s="216"/>
      <c r="K51" s="216"/>
      <c r="L51" s="217"/>
      <c r="M51" s="217">
        <f>M50*INDEX(Assumptions!$F$20:$F$22,MATCH($G$16,Assumptions!$D$20:$D$22,0))</f>
        <v>20170.019186298905</v>
      </c>
      <c r="N51" s="217">
        <f>N50*INDEX(Assumptions!$F$20:$F$22,MATCH($G$16,Assumptions!$D$20:$D$22,0))</f>
        <v>699.41331744424588</v>
      </c>
      <c r="O51" s="217">
        <f>O50*INDEX(Assumptions!$F$20:$F$22,MATCH($G$16,Assumptions!$D$20:$D$22,0))</f>
        <v>0</v>
      </c>
      <c r="P51" s="217">
        <f>P50*INDEX(Assumptions!$F$20:$F$22,MATCH($G$16,Assumptions!$D$20:$D$22,0))</f>
        <v>0</v>
      </c>
      <c r="Q51" s="217">
        <f>Q50*INDEX(Assumptions!$F$20:$F$22,MATCH($G$16,Assumptions!$D$20:$D$22,0))</f>
        <v>0</v>
      </c>
      <c r="S51" s="217">
        <f>SUM(M51:Q51)</f>
        <v>20869.432503743152</v>
      </c>
    </row>
    <row r="52" spans="1:19" x14ac:dyDescent="0.2">
      <c r="G52" s="161"/>
      <c r="S52" s="120"/>
    </row>
    <row r="53" spans="1:19" x14ac:dyDescent="0.2">
      <c r="G53" s="161"/>
      <c r="S53" s="120"/>
    </row>
    <row r="54" spans="1:19" x14ac:dyDescent="0.2">
      <c r="A54" s="2" t="s">
        <v>234</v>
      </c>
      <c r="B54" s="2"/>
      <c r="C54" s="2"/>
      <c r="D54" s="2"/>
      <c r="E54" s="2"/>
      <c r="F54" s="2"/>
      <c r="G54" s="229"/>
      <c r="H54" s="229"/>
      <c r="I54" s="2"/>
      <c r="J54" s="2"/>
      <c r="K54" s="7">
        <v>2019</v>
      </c>
      <c r="L54" s="7">
        <v>2020</v>
      </c>
      <c r="M54" s="7" t="s">
        <v>48</v>
      </c>
      <c r="N54" s="7" t="s">
        <v>49</v>
      </c>
      <c r="O54" s="7" t="s">
        <v>50</v>
      </c>
      <c r="P54" s="7" t="s">
        <v>51</v>
      </c>
      <c r="Q54" s="7" t="s">
        <v>52</v>
      </c>
      <c r="S54" s="7" t="s">
        <v>135</v>
      </c>
    </row>
    <row r="55" spans="1:19" x14ac:dyDescent="0.2">
      <c r="J55" s="120"/>
      <c r="K55" s="120"/>
      <c r="L55" s="120"/>
      <c r="M55" s="120"/>
      <c r="N55" s="120"/>
      <c r="O55" s="120"/>
      <c r="P55" s="120"/>
      <c r="Q55" s="120"/>
      <c r="S55" s="120"/>
    </row>
    <row r="56" spans="1:19" x14ac:dyDescent="0.2">
      <c r="B56" s="1" t="str">
        <f ca="1">"Powercor "&amp;$A$2 &amp;" allocated cost"</f>
        <v>Powercor HBRA reclassification allocated cost</v>
      </c>
      <c r="C56" s="226">
        <v>1</v>
      </c>
      <c r="G56" s="261" t="s">
        <v>201</v>
      </c>
      <c r="J56" s="120"/>
      <c r="K56" s="120"/>
      <c r="L56" s="120"/>
      <c r="M56" s="140">
        <f ca="1">M$51*IF(ISNUMBER($C56),$C56,INDIRECT($C56))</f>
        <v>20170.019186298905</v>
      </c>
      <c r="N56" s="140">
        <f t="shared" ref="N56:Q56" ca="1" si="3">N$51*IF(ISNUMBER($C56),$C56,INDIRECT($C56))</f>
        <v>699.41331744424588</v>
      </c>
      <c r="O56" s="140">
        <f t="shared" ca="1" si="3"/>
        <v>0</v>
      </c>
      <c r="P56" s="140">
        <f t="shared" ca="1" si="3"/>
        <v>0</v>
      </c>
      <c r="Q56" s="140">
        <f t="shared" ca="1" si="3"/>
        <v>0</v>
      </c>
      <c r="S56" s="118">
        <f ca="1">SUM(M56:Q56)</f>
        <v>20869.432503743152</v>
      </c>
    </row>
    <row r="57" spans="1:19" x14ac:dyDescent="0.2">
      <c r="J57" s="120"/>
      <c r="K57" s="120"/>
      <c r="L57" s="120"/>
      <c r="M57" s="120"/>
      <c r="N57" s="120"/>
      <c r="O57" s="120"/>
      <c r="P57" s="120"/>
      <c r="Q57" s="120"/>
      <c r="S57" s="279"/>
    </row>
    <row r="58" spans="1:19" x14ac:dyDescent="0.2">
      <c r="B58" s="5" t="s">
        <v>224</v>
      </c>
      <c r="J58" s="120"/>
      <c r="K58" s="120"/>
      <c r="L58" s="120"/>
      <c r="M58" s="120"/>
      <c r="N58" s="120"/>
      <c r="O58" s="120"/>
      <c r="P58" s="120"/>
      <c r="Q58" s="120"/>
      <c r="S58" s="279"/>
    </row>
    <row r="59" spans="1:19" x14ac:dyDescent="0.2">
      <c r="B59" s="1" t="str">
        <f ca="1">"Powercor "&amp;$A$2</f>
        <v>Powercor HBRA reclassification</v>
      </c>
      <c r="C59" s="270" t="s">
        <v>225</v>
      </c>
      <c r="G59" s="261" t="s">
        <v>201</v>
      </c>
      <c r="J59" s="120"/>
      <c r="K59" s="120"/>
      <c r="L59" s="120"/>
      <c r="M59" s="140">
        <f ca="1">M56*INDEX(Assumptions!N$44:N$45, MATCH($C59, Assumptions!$E$44:$E$45,0))</f>
        <v>20809.123979948432</v>
      </c>
      <c r="N59" s="140">
        <f ca="1">N56*INDEX(Assumptions!O$44:O$45, MATCH($C59, Assumptions!$E$44:$E$45,0))</f>
        <v>733.58197555347158</v>
      </c>
      <c r="O59" s="140">
        <f ca="1">O56*INDEX(Assumptions!P$44:P$45, MATCH($C59, Assumptions!$E$44:$E$45,0))</f>
        <v>0</v>
      </c>
      <c r="P59" s="140">
        <f ca="1">P56*INDEX(Assumptions!Q$44:Q$45, MATCH($C59, Assumptions!$E$44:$E$45,0))</f>
        <v>0</v>
      </c>
      <c r="Q59" s="140">
        <f ca="1">Q56*INDEX(Assumptions!R$44:R$45, MATCH($C59, Assumptions!$E$44:$E$45,0))</f>
        <v>0</v>
      </c>
      <c r="S59" s="118">
        <f ca="1">SUM(M59:Q59)</f>
        <v>21542.705955501904</v>
      </c>
    </row>
    <row r="60" spans="1:19" x14ac:dyDescent="0.2">
      <c r="J60" s="9"/>
      <c r="K60" s="9"/>
      <c r="L60" s="9"/>
      <c r="M60" s="9"/>
      <c r="N60" s="9"/>
      <c r="O60" s="9"/>
      <c r="P60" s="9"/>
      <c r="Q60" s="9"/>
    </row>
    <row r="61" spans="1:19" x14ac:dyDescent="0.2">
      <c r="G61" s="161"/>
    </row>
    <row r="62" spans="1:19" x14ac:dyDescent="0.2">
      <c r="G62" s="161"/>
    </row>
    <row r="63" spans="1:19" x14ac:dyDescent="0.2">
      <c r="G63" s="161"/>
    </row>
    <row r="64" spans="1:19" x14ac:dyDescent="0.2">
      <c r="G64" s="161"/>
    </row>
  </sheetData>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10</vt:i4>
      </vt:variant>
    </vt:vector>
  </HeadingPairs>
  <TitlesOfParts>
    <vt:vector size="25" baseType="lpstr">
      <vt:lpstr>Output</vt:lpstr>
      <vt:lpstr>Summary</vt:lpstr>
      <vt:lpstr>Assumptions</vt:lpstr>
      <vt:lpstr>5 minute settlement</vt:lpstr>
      <vt:lpstr>Security of critical infra.</vt:lpstr>
      <vt:lpstr>Replacing EDO fuses</vt:lpstr>
      <vt:lpstr>Solar enablement</vt:lpstr>
      <vt:lpstr>REFCL opex</vt:lpstr>
      <vt:lpstr>HBRA reclassification</vt:lpstr>
      <vt:lpstr>IT cloud solutions</vt:lpstr>
      <vt:lpstr>EPA regulations change</vt:lpstr>
      <vt:lpstr>Increasing insurance premiums</vt:lpstr>
      <vt:lpstr>ESV levy</vt:lpstr>
      <vt:lpstr>Financial year RIN</vt:lpstr>
      <vt:lpstr>RIN</vt:lpstr>
      <vt:lpstr>BaseYear</vt:lpstr>
      <vt:lpstr>conv_18_19</vt:lpstr>
      <vt:lpstr>conv_19_21</vt:lpstr>
      <vt:lpstr>conv_21_21</vt:lpstr>
      <vt:lpstr>CP_cost_split</vt:lpstr>
      <vt:lpstr>CP_cust_share</vt:lpstr>
      <vt:lpstr>PAL_cost_split</vt:lpstr>
      <vt:lpstr>PAL_count</vt:lpstr>
      <vt:lpstr>PAL_cust_share</vt:lpstr>
      <vt:lpstr>Year_of_Currency</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2019-12-31T00:08:38Z</dcterms:created>
  <dcterms:modified xsi:type="dcterms:W3CDTF">2020-01-28T23:20:14Z</dcterms:modified>
</cp:coreProperties>
</file>