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810" yWindow="-120" windowWidth="28110" windowHeight="16440" tabRatio="807" activeTab="6"/>
  </bookViews>
  <sheets>
    <sheet name="Index" sheetId="1" r:id="rId1"/>
    <sheet name="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>'Input|General'!$G$15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>'Lookup|Tables'!$G$14</definedName>
    <definedName name="PPFirstYear">'Input|General'!$G$11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53" l="1"/>
  <c r="R30" i="53"/>
  <c r="S30" i="53"/>
  <c r="T30" i="53"/>
  <c r="P30" i="53"/>
  <c r="T40" i="53" l="1"/>
  <c r="S40" i="53"/>
  <c r="R40" i="53"/>
  <c r="Q40" i="53"/>
  <c r="P40" i="53"/>
  <c r="T13" i="53" l="1"/>
  <c r="S13" i="53"/>
  <c r="R13" i="53"/>
  <c r="Q13" i="53"/>
  <c r="P13" i="53"/>
  <c r="C22" i="53"/>
  <c r="T22" i="53" s="1"/>
  <c r="C21" i="53"/>
  <c r="Q21" i="53" s="1"/>
  <c r="C20" i="53"/>
  <c r="R20" i="53" s="1"/>
  <c r="C19" i="53"/>
  <c r="S19" i="53" s="1"/>
  <c r="C18" i="53"/>
  <c r="T18" i="53" s="1"/>
  <c r="C17" i="53"/>
  <c r="Q17" i="53" s="1"/>
  <c r="C16" i="53"/>
  <c r="R16" i="53" s="1"/>
  <c r="C15" i="53"/>
  <c r="S15" i="53" s="1"/>
  <c r="C14" i="53"/>
  <c r="T14" i="53" s="1"/>
  <c r="C12" i="53"/>
  <c r="R12" i="53" s="1"/>
  <c r="T12" i="53" l="1"/>
  <c r="P16" i="53"/>
  <c r="S17" i="53"/>
  <c r="S20" i="53"/>
  <c r="S16" i="53"/>
  <c r="P19" i="53"/>
  <c r="T20" i="53"/>
  <c r="P12" i="53"/>
  <c r="P15" i="53"/>
  <c r="T16" i="53"/>
  <c r="T19" i="53"/>
  <c r="R21" i="53"/>
  <c r="S12" i="53"/>
  <c r="T15" i="53"/>
  <c r="R17" i="53"/>
  <c r="P20" i="53"/>
  <c r="S21" i="53"/>
  <c r="Q14" i="53"/>
  <c r="Q22" i="53"/>
  <c r="R18" i="53"/>
  <c r="Q12" i="53"/>
  <c r="S14" i="53"/>
  <c r="R15" i="53"/>
  <c r="Q16" i="53"/>
  <c r="P17" i="53"/>
  <c r="T17" i="53"/>
  <c r="S18" i="53"/>
  <c r="R19" i="53"/>
  <c r="Q20" i="53"/>
  <c r="P21" i="53"/>
  <c r="T21" i="53"/>
  <c r="S22" i="53"/>
  <c r="Q18" i="53"/>
  <c r="R14" i="53"/>
  <c r="Q15" i="53"/>
  <c r="Q19" i="53"/>
  <c r="R22" i="53"/>
  <c r="P14" i="53"/>
  <c r="P18" i="53"/>
  <c r="P22" i="53"/>
  <c r="F86" i="58"/>
  <c r="E86" i="58"/>
  <c r="E85" i="58" l="1"/>
  <c r="F85" i="58"/>
  <c r="F84" i="58"/>
  <c r="E84" i="58" l="1"/>
  <c r="U40" i="2" l="1"/>
  <c r="T40" i="2"/>
  <c r="S40" i="2"/>
  <c r="R40" i="2"/>
  <c r="Q40" i="2"/>
  <c r="F86" i="42"/>
  <c r="E86" i="42"/>
  <c r="F85" i="42"/>
  <c r="E85" i="42"/>
  <c r="F84" i="42"/>
  <c r="E84" i="42"/>
  <c r="F83" i="42"/>
  <c r="E83" i="42"/>
  <c r="F82" i="42"/>
  <c r="E82" i="42"/>
  <c r="F81" i="42"/>
  <c r="E81" i="42"/>
  <c r="F80" i="42"/>
  <c r="E80" i="42"/>
  <c r="F79" i="42"/>
  <c r="E79" i="42"/>
  <c r="F78" i="42"/>
  <c r="E78" i="42"/>
  <c r="F77" i="42"/>
  <c r="E77" i="42"/>
  <c r="C77" i="42"/>
  <c r="F66" i="55"/>
  <c r="G66" i="55" s="1"/>
  <c r="F64" i="55"/>
  <c r="F68" i="55" s="1"/>
  <c r="G68" i="55" s="1"/>
  <c r="H52" i="4"/>
  <c r="H53" i="4"/>
  <c r="H54" i="4"/>
  <c r="H55" i="4"/>
  <c r="H56" i="4"/>
  <c r="H57" i="4"/>
  <c r="H58" i="4"/>
  <c r="H59" i="4"/>
  <c r="H60" i="4"/>
  <c r="H51" i="4"/>
  <c r="T4" i="44"/>
  <c r="T11" i="44" s="1"/>
  <c r="S4" i="44"/>
  <c r="S11" i="44" s="1"/>
  <c r="R4" i="44"/>
  <c r="R11" i="44" s="1"/>
  <c r="Q4" i="44"/>
  <c r="Q11" i="44" s="1"/>
  <c r="P4" i="44"/>
  <c r="P11" i="44" s="1"/>
  <c r="O4" i="44"/>
  <c r="O11" i="44" s="1"/>
  <c r="O15" i="44" s="1"/>
  <c r="N4" i="44"/>
  <c r="N11" i="44" s="1"/>
  <c r="N16" i="44" s="1"/>
  <c r="M4" i="44"/>
  <c r="M11" i="44" s="1"/>
  <c r="L4" i="44"/>
  <c r="L11" i="44" s="1"/>
  <c r="K4" i="44"/>
  <c r="K11" i="44" s="1"/>
  <c r="K15" i="44" s="1"/>
  <c r="J4" i="44"/>
  <c r="J11" i="44" s="1"/>
  <c r="T4" i="42"/>
  <c r="T42" i="42" s="1"/>
  <c r="S4" i="42"/>
  <c r="S45" i="42" s="1"/>
  <c r="R4" i="42"/>
  <c r="R74" i="42" s="1"/>
  <c r="Q4" i="42"/>
  <c r="Q92" i="42" s="1"/>
  <c r="P4" i="42"/>
  <c r="P42" i="42" s="1"/>
  <c r="O4" i="42"/>
  <c r="O12" i="42" s="1"/>
  <c r="N4" i="42"/>
  <c r="N37" i="42" s="1"/>
  <c r="M4" i="42"/>
  <c r="M39" i="42" s="1"/>
  <c r="L4" i="42"/>
  <c r="L45" i="42" s="1"/>
  <c r="K4" i="42"/>
  <c r="K45" i="42" s="1"/>
  <c r="J4" i="42"/>
  <c r="J33" i="42" s="1"/>
  <c r="T4" i="53"/>
  <c r="T28" i="53" s="1"/>
  <c r="S4" i="53"/>
  <c r="S28" i="53" s="1"/>
  <c r="R4" i="53"/>
  <c r="R28" i="53" s="1"/>
  <c r="Q4" i="53"/>
  <c r="Q38" i="53" s="1"/>
  <c r="P4" i="53"/>
  <c r="P10" i="53" s="1"/>
  <c r="O4" i="53"/>
  <c r="O42" i="53" s="1"/>
  <c r="N4" i="53"/>
  <c r="M4" i="53"/>
  <c r="L4" i="53"/>
  <c r="L38" i="53" s="1"/>
  <c r="L42" i="53" s="1"/>
  <c r="K4" i="53"/>
  <c r="K28" i="53" s="1"/>
  <c r="K34" i="53" s="1"/>
  <c r="J4" i="53"/>
  <c r="J10" i="53" s="1"/>
  <c r="J24" i="53" s="1"/>
  <c r="J4" i="2"/>
  <c r="K4" i="2"/>
  <c r="K10" i="2" s="1"/>
  <c r="U4" i="2"/>
  <c r="U105" i="2" s="1"/>
  <c r="T4" i="2"/>
  <c r="T75" i="2" s="1"/>
  <c r="S4" i="2"/>
  <c r="R4" i="2"/>
  <c r="R95" i="2" s="1"/>
  <c r="Q4" i="2"/>
  <c r="Q12" i="2" s="1"/>
  <c r="P4" i="2"/>
  <c r="P24" i="2" s="1"/>
  <c r="O4" i="2"/>
  <c r="O10" i="2" s="1"/>
  <c r="N4" i="2"/>
  <c r="N24" i="2" s="1"/>
  <c r="M4" i="2"/>
  <c r="M14" i="2" s="1"/>
  <c r="L4" i="2"/>
  <c r="L97" i="2" s="1"/>
  <c r="T4" i="58"/>
  <c r="S4" i="58"/>
  <c r="S33" i="58" s="1"/>
  <c r="R4" i="58"/>
  <c r="R10" i="58" s="1"/>
  <c r="Q4" i="58"/>
  <c r="Q33" i="58" s="1"/>
  <c r="P4" i="58"/>
  <c r="P33" i="58" s="1"/>
  <c r="O4" i="58"/>
  <c r="O33" i="58" s="1"/>
  <c r="N4" i="58"/>
  <c r="N57" i="58" s="1"/>
  <c r="M4" i="58"/>
  <c r="M10" i="58" s="1"/>
  <c r="L4" i="58"/>
  <c r="K4" i="58"/>
  <c r="K33" i="58" s="1"/>
  <c r="J4" i="58"/>
  <c r="J10" i="58" s="1"/>
  <c r="Q107" i="2"/>
  <c r="T107" i="2"/>
  <c r="U107" i="2"/>
  <c r="S107" i="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W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E17" i="42"/>
  <c r="E18" i="42"/>
  <c r="C97" i="2" a="1"/>
  <c r="C97" i="2" s="1"/>
  <c r="C16" i="16"/>
  <c r="D16" i="16" s="1"/>
  <c r="G16" i="16"/>
  <c r="S14" i="54"/>
  <c r="S11" i="54"/>
  <c r="S10" i="54"/>
  <c r="S9" i="54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Q10" i="53"/>
  <c r="U77" i="2"/>
  <c r="U81" i="2"/>
  <c r="U82" i="2"/>
  <c r="T15" i="58"/>
  <c r="R35" i="42"/>
  <c r="R37" i="42"/>
  <c r="N39" i="42"/>
  <c r="Q33" i="42"/>
  <c r="M45" i="42"/>
  <c r="J39" i="42"/>
  <c r="J22" i="42"/>
  <c r="J10" i="42"/>
  <c r="J30" i="42" s="1"/>
  <c r="Q102" i="42"/>
  <c r="F25" i="42"/>
  <c r="S49" i="2"/>
  <c r="S60" i="2" s="1"/>
  <c r="U75" i="2"/>
  <c r="K24" i="2"/>
  <c r="F18" i="42"/>
  <c r="F17" i="42"/>
  <c r="J93" i="2" a="1"/>
  <c r="J93" i="2" s="1"/>
  <c r="K93" i="2" a="1"/>
  <c r="K93" i="2" s="1"/>
  <c r="L93" i="2" a="1"/>
  <c r="L93" i="2" s="1"/>
  <c r="M93" i="2" a="1"/>
  <c r="M93" i="2" s="1"/>
  <c r="U78" i="2"/>
  <c r="U80" i="2"/>
  <c r="U79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D15" i="16" s="1"/>
  <c r="C14" i="16"/>
  <c r="C13" i="16"/>
  <c r="D13" i="16" s="1"/>
  <c r="C12" i="16"/>
  <c r="D12" i="16" s="1"/>
  <c r="C11" i="16"/>
  <c r="D11" i="16" s="1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W79" i="58"/>
  <c r="W29" i="58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E14" i="42" s="1"/>
  <c r="D15" i="58"/>
  <c r="F15" i="58"/>
  <c r="F26" i="58" s="1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4" i="58"/>
  <c r="E30" i="42" s="1"/>
  <c r="F37" i="42"/>
  <c r="E37" i="42"/>
  <c r="K79" i="58"/>
  <c r="L79" i="58"/>
  <c r="M79" i="58"/>
  <c r="M20" i="42" s="1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 s="1"/>
  <c r="I53" i="4"/>
  <c r="G73" i="4" s="1"/>
  <c r="I54" i="4"/>
  <c r="G74" i="4" s="1"/>
  <c r="I55" i="4"/>
  <c r="G75" i="4" s="1"/>
  <c r="I56" i="4"/>
  <c r="G76" i="4" s="1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K100" i="2"/>
  <c r="O99" i="2"/>
  <c r="O97" i="2"/>
  <c r="J98" i="2"/>
  <c r="J97" i="2"/>
  <c r="J100" i="2"/>
  <c r="N22" i="42"/>
  <c r="R22" i="42"/>
  <c r="Q12" i="42"/>
  <c r="R12" i="42"/>
  <c r="K10" i="53"/>
  <c r="K24" i="53" s="1"/>
  <c r="S8" i="54"/>
  <c r="J14" i="42"/>
  <c r="F51" i="42"/>
  <c r="C51" i="42"/>
  <c r="C52" i="42" s="1"/>
  <c r="F48" i="42"/>
  <c r="C48" i="42"/>
  <c r="C49" i="42" s="1"/>
  <c r="F45" i="42"/>
  <c r="C45" i="42"/>
  <c r="C46" i="42" s="1"/>
  <c r="F42" i="42"/>
  <c r="C42" i="42"/>
  <c r="C43" i="42" s="1"/>
  <c r="F39" i="42"/>
  <c r="C39" i="42"/>
  <c r="C40" i="42" s="1"/>
  <c r="F12" i="42"/>
  <c r="E12" i="42"/>
  <c r="E92" i="58"/>
  <c r="E91" i="58"/>
  <c r="E90" i="58"/>
  <c r="E45" i="42" s="1"/>
  <c r="E89" i="58"/>
  <c r="E42" i="42" s="1"/>
  <c r="E88" i="58"/>
  <c r="E39" i="42" s="1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19" i="58"/>
  <c r="C2" i="58"/>
  <c r="C1" i="58"/>
  <c r="F16" i="44"/>
  <c r="F15" i="44"/>
  <c r="F14" i="44"/>
  <c r="E16" i="44"/>
  <c r="E15" i="44"/>
  <c r="E14" i="44"/>
  <c r="C15" i="44"/>
  <c r="C16" i="44"/>
  <c r="C13" i="44"/>
  <c r="F104" i="42"/>
  <c r="E104" i="42"/>
  <c r="K14" i="44"/>
  <c r="K16" i="44"/>
  <c r="K13" i="44"/>
  <c r="O14" i="44"/>
  <c r="O16" i="44"/>
  <c r="O13" i="44"/>
  <c r="F106" i="42"/>
  <c r="F105" i="42"/>
  <c r="F98" i="42"/>
  <c r="F96" i="42"/>
  <c r="F95" i="42"/>
  <c r="F94" i="42"/>
  <c r="F88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4" i="55"/>
  <c r="O109" i="2"/>
  <c r="C24" i="4"/>
  <c r="Q14" i="42"/>
  <c r="N14" i="42"/>
  <c r="R14" i="42"/>
  <c r="O47" i="2"/>
  <c r="N109" i="2"/>
  <c r="J109" i="2"/>
  <c r="J73" i="2"/>
  <c r="J70" i="42" a="1"/>
  <c r="J70" i="42" s="1"/>
  <c r="F52" i="42"/>
  <c r="E52" i="42"/>
  <c r="F49" i="42"/>
  <c r="E49" i="42"/>
  <c r="F46" i="42"/>
  <c r="E46" i="42"/>
  <c r="F43" i="42"/>
  <c r="E43" i="42"/>
  <c r="F40" i="42"/>
  <c r="E40" i="42"/>
  <c r="E88" i="42"/>
  <c r="E106" i="42"/>
  <c r="F15" i="42"/>
  <c r="F56" i="42"/>
  <c r="F54" i="42"/>
  <c r="C95" i="42"/>
  <c r="C96" i="42"/>
  <c r="F13" i="44"/>
  <c r="E56" i="42"/>
  <c r="F35" i="42"/>
  <c r="E54" i="42"/>
  <c r="F13" i="42"/>
  <c r="E13" i="42"/>
  <c r="E15" i="42"/>
  <c r="E13" i="44"/>
  <c r="E105" i="42"/>
  <c r="E76" i="42"/>
  <c r="E94" i="42"/>
  <c r="E95" i="42"/>
  <c r="E96" i="42"/>
  <c r="E98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Q67" i="42"/>
  <c r="S67" i="42"/>
  <c r="C78" i="2"/>
  <c r="C79" i="2"/>
  <c r="C80" i="2"/>
  <c r="C81" i="2"/>
  <c r="C82" i="2"/>
  <c r="C77" i="2"/>
  <c r="S7" i="54"/>
  <c r="S13" i="54"/>
  <c r="S15" i="54"/>
  <c r="D14" i="16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N70" i="42" a="1"/>
  <c r="N70" i="42" s="1"/>
  <c r="P67" i="42" l="1"/>
  <c r="S65" i="42"/>
  <c r="F14" i="42"/>
  <c r="Q22" i="42"/>
  <c r="O24" i="2"/>
  <c r="M51" i="42"/>
  <c r="P38" i="53"/>
  <c r="P10" i="58"/>
  <c r="R67" i="42"/>
  <c r="F25" i="58"/>
  <c r="N97" i="2"/>
  <c r="M24" i="42"/>
  <c r="Q35" i="42"/>
  <c r="Q65" i="42"/>
  <c r="E24" i="58"/>
  <c r="O34" i="53"/>
  <c r="E27" i="58"/>
  <c r="P37" i="42"/>
  <c r="K12" i="42"/>
  <c r="P98" i="2"/>
  <c r="K51" i="42"/>
  <c r="S51" i="42"/>
  <c r="P109" i="2"/>
  <c r="F21" i="58"/>
  <c r="F23" i="58"/>
  <c r="R65" i="42"/>
  <c r="E21" i="58"/>
  <c r="E26" i="58"/>
  <c r="M97" i="2"/>
  <c r="P92" i="42"/>
  <c r="L42" i="42"/>
  <c r="U12" i="2"/>
  <c r="E22" i="58"/>
  <c r="E22" i="42" s="1"/>
  <c r="E25" i="58"/>
  <c r="Q75" i="2"/>
  <c r="T39" i="42"/>
  <c r="E20" i="58"/>
  <c r="E23" i="58"/>
  <c r="P20" i="42"/>
  <c r="L24" i="42"/>
  <c r="P65" i="42"/>
  <c r="T65" i="42"/>
  <c r="S1" i="54"/>
  <c r="G10" i="16" s="1"/>
  <c r="C100" i="2"/>
  <c r="E48" i="42"/>
  <c r="E51" i="42"/>
  <c r="R75" i="2"/>
  <c r="C99" i="2"/>
  <c r="W93" i="2"/>
  <c r="K12" i="2"/>
  <c r="C101" i="2"/>
  <c r="C98" i="2"/>
  <c r="F63" i="55"/>
  <c r="L73" i="2"/>
  <c r="K14" i="42"/>
  <c r="L10" i="53"/>
  <c r="L24" i="53" s="1"/>
  <c r="M12" i="42"/>
  <c r="N98" i="2"/>
  <c r="S1" i="58"/>
  <c r="G12" i="16" s="1"/>
  <c r="Q74" i="42"/>
  <c r="M33" i="42"/>
  <c r="M63" i="42"/>
  <c r="M69" i="42" s="1"/>
  <c r="Q39" i="42"/>
  <c r="R12" i="2"/>
  <c r="U109" i="2"/>
  <c r="F67" i="55"/>
  <c r="N73" i="2"/>
  <c r="S14" i="42"/>
  <c r="S12" i="42"/>
  <c r="S13" i="42" s="1"/>
  <c r="S28" i="42" s="1"/>
  <c r="Q20" i="42"/>
  <c r="L100" i="2"/>
  <c r="K99" i="2"/>
  <c r="R105" i="2"/>
  <c r="R109" i="2" s="1"/>
  <c r="R64" i="2"/>
  <c r="R73" i="2" s="1"/>
  <c r="T10" i="53"/>
  <c r="M35" i="42"/>
  <c r="Q37" i="42"/>
  <c r="T67" i="42"/>
  <c r="O12" i="2"/>
  <c r="F65" i="55"/>
  <c r="G65" i="55" s="1"/>
  <c r="R98" i="2"/>
  <c r="R100" i="2"/>
  <c r="R97" i="2"/>
  <c r="J14" i="44"/>
  <c r="J15" i="44"/>
  <c r="O24" i="53"/>
  <c r="T51" i="42"/>
  <c r="M70" i="42" a="1"/>
  <c r="M70" i="42" s="1"/>
  <c r="N47" i="2"/>
  <c r="M14" i="42"/>
  <c r="K109" i="2"/>
  <c r="M22" i="42"/>
  <c r="L20" i="42"/>
  <c r="N100" i="2"/>
  <c r="K97" i="2"/>
  <c r="N14" i="2"/>
  <c r="R36" i="2"/>
  <c r="R47" i="2" s="1"/>
  <c r="R49" i="2"/>
  <c r="R60" i="2" s="1"/>
  <c r="T102" i="42"/>
  <c r="P28" i="53"/>
  <c r="Q60" i="42"/>
  <c r="L37" i="42"/>
  <c r="P39" i="42"/>
  <c r="U95" i="2"/>
  <c r="U99" i="2" s="1"/>
  <c r="M37" i="42"/>
  <c r="M42" i="42"/>
  <c r="Q24" i="42"/>
  <c r="Q45" i="42"/>
  <c r="Q51" i="42"/>
  <c r="T37" i="42"/>
  <c r="N10" i="2"/>
  <c r="N12" i="2" s="1"/>
  <c r="U49" i="2"/>
  <c r="U60" i="2" s="1"/>
  <c r="Q49" i="2"/>
  <c r="Q60" i="2" s="1"/>
  <c r="L39" i="42"/>
  <c r="L63" i="42"/>
  <c r="L69" i="42" s="1"/>
  <c r="P45" i="42"/>
  <c r="U36" i="2"/>
  <c r="U47" i="2" s="1"/>
  <c r="L14" i="42"/>
  <c r="K73" i="2"/>
  <c r="K47" i="2"/>
  <c r="L12" i="42"/>
  <c r="L22" i="42"/>
  <c r="M98" i="2"/>
  <c r="N99" i="2"/>
  <c r="K98" i="2"/>
  <c r="S10" i="53"/>
  <c r="K14" i="2"/>
  <c r="M10" i="42"/>
  <c r="M30" i="42" s="1"/>
  <c r="L10" i="42"/>
  <c r="L30" i="42" s="1"/>
  <c r="L48" i="42"/>
  <c r="P51" i="42"/>
  <c r="U64" i="2"/>
  <c r="U73" i="2" s="1"/>
  <c r="M48" i="42"/>
  <c r="Q48" i="42"/>
  <c r="Q42" i="42"/>
  <c r="T45" i="42"/>
  <c r="M10" i="2"/>
  <c r="M12" i="2" s="1"/>
  <c r="S38" i="53"/>
  <c r="M16" i="44"/>
  <c r="M14" i="44"/>
  <c r="M15" i="44"/>
  <c r="M13" i="44"/>
  <c r="L14" i="44"/>
  <c r="L16" i="44"/>
  <c r="L15" i="44"/>
  <c r="L13" i="44"/>
  <c r="O70" i="42" a="1"/>
  <c r="O70" i="42" s="1"/>
  <c r="L109" i="2"/>
  <c r="N14" i="44"/>
  <c r="J28" i="53"/>
  <c r="J34" i="53" s="1"/>
  <c r="O22" i="42"/>
  <c r="L14" i="2"/>
  <c r="T105" i="2"/>
  <c r="T109" i="2" s="1"/>
  <c r="S74" i="42"/>
  <c r="K33" i="42"/>
  <c r="S48" i="42"/>
  <c r="L70" i="42" a="1"/>
  <c r="L70" i="42" s="1"/>
  <c r="J16" i="44"/>
  <c r="K38" i="53"/>
  <c r="K42" i="53" s="1"/>
  <c r="P12" i="42"/>
  <c r="P13" i="42" s="1"/>
  <c r="P28" i="42" s="1"/>
  <c r="K20" i="42"/>
  <c r="M100" i="2"/>
  <c r="P97" i="2"/>
  <c r="L98" i="2"/>
  <c r="R99" i="2"/>
  <c r="R101" i="2"/>
  <c r="M24" i="2"/>
  <c r="T95" i="2"/>
  <c r="T101" i="2" s="1"/>
  <c r="Q36" i="2"/>
  <c r="Q47" i="2" s="1"/>
  <c r="T60" i="42"/>
  <c r="Q95" i="2"/>
  <c r="O10" i="42"/>
  <c r="K35" i="42"/>
  <c r="K63" i="42"/>
  <c r="K69" i="42" s="1"/>
  <c r="S42" i="42"/>
  <c r="S92" i="42"/>
  <c r="L33" i="42"/>
  <c r="L35" i="42"/>
  <c r="P35" i="42"/>
  <c r="P33" i="42"/>
  <c r="P74" i="42"/>
  <c r="T35" i="42"/>
  <c r="T33" i="42"/>
  <c r="T74" i="42"/>
  <c r="P47" i="2"/>
  <c r="P100" i="2"/>
  <c r="K70" i="42" a="1"/>
  <c r="K70" i="42" s="1"/>
  <c r="M73" i="2"/>
  <c r="L47" i="2"/>
  <c r="M47" i="2"/>
  <c r="P14" i="42"/>
  <c r="O14" i="42"/>
  <c r="M109" i="2"/>
  <c r="N15" i="44"/>
  <c r="S22" i="42"/>
  <c r="P22" i="42"/>
  <c r="M99" i="2"/>
  <c r="T92" i="42"/>
  <c r="Q105" i="2"/>
  <c r="Q109" i="2" s="1"/>
  <c r="P60" i="42"/>
  <c r="Q64" i="2"/>
  <c r="Q73" i="2" s="1"/>
  <c r="P102" i="42"/>
  <c r="K24" i="42"/>
  <c r="S24" i="42"/>
  <c r="L51" i="42"/>
  <c r="P24" i="42"/>
  <c r="P48" i="42"/>
  <c r="T24" i="42"/>
  <c r="T48" i="42"/>
  <c r="N13" i="44"/>
  <c r="J13" i="44"/>
  <c r="L33" i="58"/>
  <c r="L10" i="58"/>
  <c r="L57" i="58"/>
  <c r="T10" i="58"/>
  <c r="T33" i="58"/>
  <c r="O14" i="2"/>
  <c r="O98" i="2"/>
  <c r="O100" i="2"/>
  <c r="S105" i="2"/>
  <c r="S109" i="2" s="1"/>
  <c r="S64" i="2"/>
  <c r="S73" i="2" s="1"/>
  <c r="S12" i="2"/>
  <c r="S95" i="2"/>
  <c r="S75" i="2"/>
  <c r="S36" i="2"/>
  <c r="S47" i="2" s="1"/>
  <c r="J99" i="2"/>
  <c r="J14" i="2"/>
  <c r="J24" i="2"/>
  <c r="J10" i="2"/>
  <c r="J47" i="2"/>
  <c r="M28" i="53"/>
  <c r="M34" i="53" s="1"/>
  <c r="M10" i="53"/>
  <c r="M24" i="53" s="1"/>
  <c r="J63" i="42"/>
  <c r="J69" i="42" s="1"/>
  <c r="J42" i="42"/>
  <c r="J48" i="42"/>
  <c r="J51" i="42"/>
  <c r="J45" i="42"/>
  <c r="J24" i="42"/>
  <c r="J37" i="42"/>
  <c r="J35" i="42"/>
  <c r="J20" i="42"/>
  <c r="J12" i="42"/>
  <c r="N33" i="42"/>
  <c r="N35" i="42"/>
  <c r="N12" i="42"/>
  <c r="N63" i="42"/>
  <c r="N69" i="42" s="1"/>
  <c r="N51" i="42"/>
  <c r="N45" i="42"/>
  <c r="N10" i="42"/>
  <c r="N30" i="42" s="1"/>
  <c r="N48" i="42"/>
  <c r="N24" i="42"/>
  <c r="N42" i="42"/>
  <c r="N20" i="42"/>
  <c r="R48" i="42"/>
  <c r="R42" i="42"/>
  <c r="R24" i="42"/>
  <c r="R92" i="42"/>
  <c r="R60" i="42"/>
  <c r="R51" i="42"/>
  <c r="R45" i="42"/>
  <c r="R39" i="42"/>
  <c r="R102" i="42"/>
  <c r="R33" i="42"/>
  <c r="R20" i="42"/>
  <c r="Q10" i="58"/>
  <c r="L10" i="2"/>
  <c r="L12" i="2" s="1"/>
  <c r="L24" i="2"/>
  <c r="L99" i="2"/>
  <c r="P10" i="2"/>
  <c r="P12" i="2" s="1"/>
  <c r="P99" i="2"/>
  <c r="P64" i="2"/>
  <c r="P73" i="2" s="1"/>
  <c r="P14" i="2"/>
  <c r="T12" i="2"/>
  <c r="T49" i="2"/>
  <c r="T60" i="2" s="1"/>
  <c r="T64" i="2"/>
  <c r="T73" i="2" s="1"/>
  <c r="T36" i="2"/>
  <c r="T47" i="2" s="1"/>
  <c r="N28" i="53"/>
  <c r="N34" i="53" s="1"/>
  <c r="N38" i="53"/>
  <c r="N42" i="53" s="1"/>
  <c r="K48" i="42"/>
  <c r="K39" i="42"/>
  <c r="K10" i="42"/>
  <c r="K30" i="42" s="1"/>
  <c r="K22" i="42"/>
  <c r="K37" i="42"/>
  <c r="K42" i="42"/>
  <c r="O63" i="42"/>
  <c r="O69" i="42" s="1"/>
  <c r="O39" i="42"/>
  <c r="O20" i="42"/>
  <c r="O45" i="42"/>
  <c r="O24" i="42"/>
  <c r="S37" i="42"/>
  <c r="S39" i="42"/>
  <c r="S60" i="42"/>
  <c r="S20" i="42"/>
  <c r="S33" i="42"/>
  <c r="S35" i="42"/>
  <c r="S102" i="42"/>
  <c r="M38" i="53"/>
  <c r="M42" i="53" s="1"/>
  <c r="J38" i="53"/>
  <c r="J42" i="53" s="1"/>
  <c r="N10" i="53"/>
  <c r="N24" i="53" s="1"/>
  <c r="Q28" i="53"/>
  <c r="R10" i="53"/>
  <c r="T38" i="53"/>
  <c r="R38" i="53"/>
  <c r="L28" i="53"/>
  <c r="L34" i="53" s="1"/>
  <c r="J33" i="58"/>
  <c r="J57" i="58"/>
  <c r="N33" i="58"/>
  <c r="R13" i="42"/>
  <c r="R28" i="42" s="1"/>
  <c r="F27" i="58"/>
  <c r="F29" i="58" s="1"/>
  <c r="F22" i="42" s="1"/>
  <c r="Q13" i="42"/>
  <c r="Q28" i="42" s="1"/>
  <c r="M57" i="58"/>
  <c r="N10" i="58"/>
  <c r="R33" i="58"/>
  <c r="M33" i="58"/>
  <c r="E20" i="42"/>
  <c r="F20" i="58"/>
  <c r="F22" i="58"/>
  <c r="F24" i="58"/>
  <c r="K57" i="58"/>
  <c r="O57" i="58"/>
  <c r="O83" i="58"/>
  <c r="S10" i="58"/>
  <c r="O10" i="58"/>
  <c r="K10" i="58"/>
  <c r="U101" i="2" l="1"/>
  <c r="P21" i="42"/>
  <c r="G67" i="55"/>
  <c r="O30" i="42"/>
  <c r="U100" i="2"/>
  <c r="W60" i="2"/>
  <c r="S21" i="42"/>
  <c r="G63" i="55"/>
  <c r="T63" i="55"/>
  <c r="T1" i="55" s="1"/>
  <c r="G11" i="16" s="1"/>
  <c r="U98" i="2"/>
  <c r="U97" i="2"/>
  <c r="W109" i="2"/>
  <c r="Q63" i="42"/>
  <c r="T100" i="2"/>
  <c r="T97" i="2"/>
  <c r="W73" i="2"/>
  <c r="Q99" i="2"/>
  <c r="Q101" i="2"/>
  <c r="Q100" i="2"/>
  <c r="Q98" i="2"/>
  <c r="Q97" i="2"/>
  <c r="W47" i="2"/>
  <c r="T99" i="2"/>
  <c r="T98" i="2"/>
  <c r="C16" i="2" a="1"/>
  <c r="C26" i="2" a="1"/>
  <c r="J12" i="2"/>
  <c r="S98" i="2"/>
  <c r="S101" i="2"/>
  <c r="S99" i="2"/>
  <c r="S97" i="2"/>
  <c r="S100" i="2"/>
  <c r="R21" i="42"/>
  <c r="Q21" i="42"/>
  <c r="T63" i="42" l="1"/>
  <c r="S63" i="42"/>
  <c r="Q69" i="42"/>
  <c r="P63" i="42"/>
  <c r="R63" i="42"/>
  <c r="T1" i="2"/>
  <c r="G13" i="16" s="1"/>
  <c r="C27" i="2"/>
  <c r="C30" i="2"/>
  <c r="C31" i="2"/>
  <c r="C28" i="2"/>
  <c r="C32" i="2"/>
  <c r="C29" i="2"/>
  <c r="C26" i="2"/>
  <c r="C18" i="2"/>
  <c r="C20" i="2"/>
  <c r="C16" i="2"/>
  <c r="C17" i="2"/>
  <c r="C19" i="2"/>
  <c r="C22" i="2"/>
  <c r="C21" i="2"/>
  <c r="T69" i="42" l="1"/>
  <c r="S69" i="42"/>
  <c r="P69" i="42"/>
  <c r="R69" i="42"/>
  <c r="P22" i="2"/>
  <c r="N85" i="42" s="1"/>
  <c r="D22" i="2"/>
  <c r="E22" i="2"/>
  <c r="E20" i="2"/>
  <c r="D20" i="2"/>
  <c r="N20" i="2"/>
  <c r="M20" i="2" s="1"/>
  <c r="E32" i="2"/>
  <c r="D32" i="2"/>
  <c r="E27" i="2"/>
  <c r="Q27" i="2"/>
  <c r="T27" i="2"/>
  <c r="D27" i="2"/>
  <c r="S27" i="2"/>
  <c r="R27" i="2"/>
  <c r="D19" i="2"/>
  <c r="M19" i="2"/>
  <c r="N19" i="2" s="1"/>
  <c r="E19" i="2"/>
  <c r="E18" i="2"/>
  <c r="L18" i="2"/>
  <c r="K18" i="2" s="1"/>
  <c r="D18" i="2"/>
  <c r="Q28" i="2"/>
  <c r="D28" i="2"/>
  <c r="T28" i="2"/>
  <c r="E28" i="2"/>
  <c r="S28" i="2"/>
  <c r="R28" i="2"/>
  <c r="K17" i="2"/>
  <c r="K27" i="2" s="1"/>
  <c r="D17" i="2"/>
  <c r="E17" i="2"/>
  <c r="D26" i="2"/>
  <c r="Q26" i="2"/>
  <c r="T26" i="2"/>
  <c r="R26" i="2"/>
  <c r="E26" i="2"/>
  <c r="S26" i="2"/>
  <c r="E31" i="2"/>
  <c r="T31" i="2"/>
  <c r="R31" i="2"/>
  <c r="Q31" i="2"/>
  <c r="D31" i="2"/>
  <c r="S31" i="2"/>
  <c r="O21" i="2"/>
  <c r="O31" i="2" s="1"/>
  <c r="D21" i="2"/>
  <c r="E21" i="2"/>
  <c r="O83" i="42"/>
  <c r="J16" i="2"/>
  <c r="J26" i="2" s="1"/>
  <c r="E16" i="2"/>
  <c r="D16" i="2"/>
  <c r="E29" i="2"/>
  <c r="T29" i="2"/>
  <c r="D29" i="2"/>
  <c r="R29" i="2"/>
  <c r="Q29" i="2"/>
  <c r="S29" i="2"/>
  <c r="R30" i="2"/>
  <c r="Q30" i="2"/>
  <c r="T30" i="2"/>
  <c r="D30" i="2"/>
  <c r="E30" i="2"/>
  <c r="S30" i="2"/>
  <c r="L46" i="42" l="1"/>
  <c r="N46" i="42"/>
  <c r="M31" i="42"/>
  <c r="L83" i="42"/>
  <c r="L52" i="42"/>
  <c r="J31" i="42"/>
  <c r="K96" i="42"/>
  <c r="O95" i="42"/>
  <c r="O79" i="42"/>
  <c r="L40" i="42"/>
  <c r="R31" i="42"/>
  <c r="Q96" i="42"/>
  <c r="Q16" i="44" s="1"/>
  <c r="J77" i="42"/>
  <c r="N83" i="42"/>
  <c r="N40" i="42"/>
  <c r="L82" i="42"/>
  <c r="P94" i="42"/>
  <c r="M76" i="42"/>
  <c r="O31" i="42"/>
  <c r="Q40" i="42"/>
  <c r="P43" i="42"/>
  <c r="S40" i="42"/>
  <c r="S46" i="42"/>
  <c r="K46" i="42"/>
  <c r="M46" i="42"/>
  <c r="M96" i="42"/>
  <c r="K86" i="42"/>
  <c r="L76" i="42"/>
  <c r="P95" i="42"/>
  <c r="P15" i="44" s="1"/>
  <c r="J96" i="42"/>
  <c r="N79" i="42"/>
  <c r="O81" i="42"/>
  <c r="L81" i="42"/>
  <c r="O86" i="42"/>
  <c r="J80" i="42"/>
  <c r="O40" i="42"/>
  <c r="K49" i="42"/>
  <c r="N49" i="42"/>
  <c r="Q52" i="42"/>
  <c r="Q46" i="42"/>
  <c r="J49" i="42"/>
  <c r="P52" i="42"/>
  <c r="Q31" i="42"/>
  <c r="O76" i="42"/>
  <c r="N96" i="42"/>
  <c r="K76" i="42"/>
  <c r="R94" i="42"/>
  <c r="S96" i="42"/>
  <c r="S16" i="44" s="1"/>
  <c r="T95" i="42"/>
  <c r="T15" i="44" s="1"/>
  <c r="K82" i="42"/>
  <c r="N80" i="42"/>
  <c r="K80" i="42"/>
  <c r="M80" i="42"/>
  <c r="N82" i="42"/>
  <c r="N78" i="42"/>
  <c r="M86" i="42"/>
  <c r="K43" i="42"/>
  <c r="M40" i="42"/>
  <c r="R46" i="42"/>
  <c r="J40" i="42"/>
  <c r="J52" i="42"/>
  <c r="K40" i="42"/>
  <c r="J43" i="42"/>
  <c r="T94" i="42"/>
  <c r="J76" i="42"/>
  <c r="L94" i="42"/>
  <c r="M82" i="42"/>
  <c r="M95" i="42"/>
  <c r="K16" i="2"/>
  <c r="K26" i="2" s="1"/>
  <c r="S95" i="42"/>
  <c r="S15" i="44" s="1"/>
  <c r="K77" i="42"/>
  <c r="L79" i="42"/>
  <c r="O80" i="42"/>
  <c r="M79" i="42"/>
  <c r="J83" i="42"/>
  <c r="K83" i="42"/>
  <c r="N86" i="42"/>
  <c r="J81" i="42"/>
  <c r="O22" i="2"/>
  <c r="O32" i="2" s="1"/>
  <c r="N21" i="42" s="1"/>
  <c r="J17" i="2"/>
  <c r="J27" i="2" s="1"/>
  <c r="Q70" i="42" a="1"/>
  <c r="Q70" i="42" s="1"/>
  <c r="S70" i="42" a="1"/>
  <c r="S70" i="42" s="1"/>
  <c r="J46" i="42"/>
  <c r="P46" i="42"/>
  <c r="R52" i="42"/>
  <c r="S49" i="42"/>
  <c r="L43" i="42"/>
  <c r="N52" i="42"/>
  <c r="K52" i="42"/>
  <c r="S43" i="42"/>
  <c r="P31" i="42"/>
  <c r="L31" i="42"/>
  <c r="R43" i="42"/>
  <c r="K31" i="42"/>
  <c r="S31" i="42"/>
  <c r="S94" i="42"/>
  <c r="N95" i="42"/>
  <c r="J85" i="42"/>
  <c r="J95" i="42"/>
  <c r="P96" i="42"/>
  <c r="P16" i="44" s="1"/>
  <c r="N76" i="42"/>
  <c r="M94" i="42"/>
  <c r="T96" i="42"/>
  <c r="T16" i="44" s="1"/>
  <c r="M77" i="42"/>
  <c r="L96" i="42"/>
  <c r="Q95" i="42"/>
  <c r="Q15" i="44" s="1"/>
  <c r="N94" i="42"/>
  <c r="L84" i="42"/>
  <c r="J84" i="42"/>
  <c r="O77" i="42"/>
  <c r="L85" i="42"/>
  <c r="J79" i="42"/>
  <c r="L80" i="42"/>
  <c r="K78" i="42"/>
  <c r="K84" i="42"/>
  <c r="O82" i="42"/>
  <c r="M78" i="42"/>
  <c r="L78" i="42"/>
  <c r="N84" i="42"/>
  <c r="O84" i="42"/>
  <c r="K79" i="42"/>
  <c r="P32" i="2"/>
  <c r="O21" i="42" s="1"/>
  <c r="N31" i="42"/>
  <c r="R40" i="42"/>
  <c r="N43" i="42"/>
  <c r="M43" i="42"/>
  <c r="M52" i="42"/>
  <c r="L49" i="42"/>
  <c r="Q43" i="42"/>
  <c r="Q49" i="42"/>
  <c r="M49" i="42"/>
  <c r="P40" i="42"/>
  <c r="S52" i="42"/>
  <c r="O46" i="42"/>
  <c r="R49" i="42"/>
  <c r="P49" i="42"/>
  <c r="K94" i="42"/>
  <c r="O96" i="42"/>
  <c r="L86" i="42"/>
  <c r="J94" i="42"/>
  <c r="M83" i="42"/>
  <c r="K81" i="42"/>
  <c r="L95" i="42"/>
  <c r="M84" i="42"/>
  <c r="R96" i="42"/>
  <c r="R16" i="44" s="1"/>
  <c r="R95" i="42"/>
  <c r="R15" i="44" s="1"/>
  <c r="K95" i="42"/>
  <c r="O78" i="42"/>
  <c r="Q94" i="42"/>
  <c r="O94" i="42"/>
  <c r="L77" i="42"/>
  <c r="J82" i="42"/>
  <c r="N81" i="42"/>
  <c r="N77" i="42"/>
  <c r="M85" i="42"/>
  <c r="O85" i="42"/>
  <c r="J78" i="42"/>
  <c r="J86" i="42"/>
  <c r="M81" i="42"/>
  <c r="K85" i="42"/>
  <c r="T70" i="42" a="1"/>
  <c r="T70" i="42" s="1"/>
  <c r="R70" i="42" a="1"/>
  <c r="R70" i="42" s="1"/>
  <c r="P70" i="42" a="1"/>
  <c r="P70" i="42" s="1"/>
  <c r="N30" i="2"/>
  <c r="M29" i="2"/>
  <c r="L17" i="2"/>
  <c r="L28" i="2"/>
  <c r="M18" i="2"/>
  <c r="M28" i="2" s="1"/>
  <c r="L19" i="2"/>
  <c r="K19" i="2" s="1"/>
  <c r="K29" i="2" s="1"/>
  <c r="J18" i="2"/>
  <c r="J28" i="2" s="1"/>
  <c r="K28" i="2"/>
  <c r="M30" i="2"/>
  <c r="L20" i="2"/>
  <c r="N29" i="2"/>
  <c r="O19" i="2"/>
  <c r="N21" i="2"/>
  <c r="P21" i="2"/>
  <c r="O20" i="2"/>
  <c r="P14" i="44" l="1"/>
  <c r="L16" i="2"/>
  <c r="M16" i="2" s="1"/>
  <c r="S14" i="44"/>
  <c r="T14" i="44"/>
  <c r="R14" i="44"/>
  <c r="N98" i="42"/>
  <c r="M98" i="42"/>
  <c r="R54" i="42"/>
  <c r="R56" i="42" s="1"/>
  <c r="N22" i="2"/>
  <c r="N32" i="2" s="1"/>
  <c r="N13" i="42"/>
  <c r="N28" i="42" s="1"/>
  <c r="L54" i="42"/>
  <c r="L56" i="42" s="1"/>
  <c r="M88" i="42"/>
  <c r="S54" i="42"/>
  <c r="S56" i="42" s="1"/>
  <c r="N54" i="42"/>
  <c r="N56" i="42" s="1"/>
  <c r="K54" i="42"/>
  <c r="K56" i="42" s="1"/>
  <c r="P54" i="42"/>
  <c r="P56" i="42" s="1"/>
  <c r="T98" i="42"/>
  <c r="J54" i="42"/>
  <c r="J56" i="42" s="1"/>
  <c r="Q98" i="42"/>
  <c r="P98" i="42"/>
  <c r="O13" i="42"/>
  <c r="O28" i="42" s="1"/>
  <c r="S98" i="42"/>
  <c r="L88" i="42"/>
  <c r="K98" i="42"/>
  <c r="L29" i="2"/>
  <c r="O98" i="42"/>
  <c r="O88" i="42"/>
  <c r="N88" i="42"/>
  <c r="J88" i="42"/>
  <c r="Q14" i="44"/>
  <c r="L98" i="42"/>
  <c r="R98" i="42"/>
  <c r="K88" i="42"/>
  <c r="J98" i="42"/>
  <c r="M54" i="42"/>
  <c r="M56" i="42" s="1"/>
  <c r="Q54" i="42"/>
  <c r="Q56" i="42" s="1"/>
  <c r="J19" i="2"/>
  <c r="J29" i="2" s="1"/>
  <c r="N18" i="2"/>
  <c r="N28" i="2" s="1"/>
  <c r="M17" i="2"/>
  <c r="L27" i="2"/>
  <c r="P20" i="2"/>
  <c r="P30" i="2" s="1"/>
  <c r="O30" i="2"/>
  <c r="M21" i="2"/>
  <c r="N31" i="2"/>
  <c r="J25" i="42"/>
  <c r="J26" i="42" s="1"/>
  <c r="N25" i="42"/>
  <c r="N26" i="42" s="1"/>
  <c r="Q25" i="42"/>
  <c r="Q26" i="42" s="1"/>
  <c r="L17" i="42"/>
  <c r="L18" i="42" s="1"/>
  <c r="P31" i="2"/>
  <c r="K25" i="42"/>
  <c r="K26" i="42" s="1"/>
  <c r="S17" i="42"/>
  <c r="S18" i="42" s="1"/>
  <c r="P25" i="42"/>
  <c r="P26" i="42" s="1"/>
  <c r="R17" i="42"/>
  <c r="R18" i="42" s="1"/>
  <c r="N17" i="42"/>
  <c r="N18" i="42" s="1"/>
  <c r="S25" i="42"/>
  <c r="S26" i="42" s="1"/>
  <c r="P17" i="42"/>
  <c r="P18" i="42" s="1"/>
  <c r="O17" i="42"/>
  <c r="O18" i="42" s="1"/>
  <c r="M17" i="42"/>
  <c r="M18" i="42" s="1"/>
  <c r="T25" i="42"/>
  <c r="T26" i="42" s="1"/>
  <c r="Q17" i="42"/>
  <c r="Q18" i="42" s="1"/>
  <c r="J17" i="42"/>
  <c r="J18" i="42" s="1"/>
  <c r="T17" i="42"/>
  <c r="T18" i="42" s="1"/>
  <c r="R25" i="42"/>
  <c r="R26" i="42" s="1"/>
  <c r="M25" i="42"/>
  <c r="M26" i="42" s="1"/>
  <c r="O25" i="42"/>
  <c r="O26" i="42" s="1"/>
  <c r="L25" i="42"/>
  <c r="L26" i="42" s="1"/>
  <c r="K17" i="42"/>
  <c r="K18" i="42" s="1"/>
  <c r="P19" i="2"/>
  <c r="P29" i="2" s="1"/>
  <c r="O29" i="2"/>
  <c r="O18" i="2"/>
  <c r="L30" i="2"/>
  <c r="K20" i="2"/>
  <c r="M22" i="2"/>
  <c r="L26" i="2"/>
  <c r="M91" i="58" l="1"/>
  <c r="M92" i="58"/>
  <c r="M27" i="2"/>
  <c r="N17" i="2"/>
  <c r="M89" i="58"/>
  <c r="O89" i="58" s="1"/>
  <c r="L21" i="2"/>
  <c r="M31" i="2"/>
  <c r="P18" i="2"/>
  <c r="P28" i="2" s="1"/>
  <c r="O28" i="2"/>
  <c r="M13" i="42"/>
  <c r="M21" i="42"/>
  <c r="J20" i="2"/>
  <c r="J30" i="2" s="1"/>
  <c r="K30" i="2"/>
  <c r="L22" i="2"/>
  <c r="M32" i="2"/>
  <c r="L91" i="58" s="1"/>
  <c r="M26" i="2"/>
  <c r="N16" i="2"/>
  <c r="O92" i="58" l="1"/>
  <c r="M28" i="42"/>
  <c r="O42" i="42"/>
  <c r="O43" i="42" s="1"/>
  <c r="O17" i="2"/>
  <c r="N27" i="2"/>
  <c r="L21" i="42"/>
  <c r="L13" i="42"/>
  <c r="L28" i="42" s="1"/>
  <c r="O16" i="2"/>
  <c r="N26" i="2"/>
  <c r="K22" i="2"/>
  <c r="L32" i="2"/>
  <c r="K91" i="58" s="1"/>
  <c r="L31" i="2"/>
  <c r="K21" i="2"/>
  <c r="O51" i="42" l="1"/>
  <c r="O52" i="42" s="1"/>
  <c r="P17" i="2"/>
  <c r="P27" i="2" s="1"/>
  <c r="O27" i="2"/>
  <c r="K31" i="2"/>
  <c r="J21" i="2"/>
  <c r="J31" i="2" s="1"/>
  <c r="O26" i="2"/>
  <c r="P16" i="2"/>
  <c r="K13" i="42"/>
  <c r="K28" i="42" s="1"/>
  <c r="K21" i="42"/>
  <c r="K32" i="2"/>
  <c r="J91" i="58" s="1"/>
  <c r="J22" i="2"/>
  <c r="J32" i="2" s="1"/>
  <c r="I91" i="58" s="1"/>
  <c r="T77" i="42" l="1"/>
  <c r="R77" i="42"/>
  <c r="Q77" i="42"/>
  <c r="S77" i="42"/>
  <c r="O91" i="58"/>
  <c r="K15" i="42"/>
  <c r="O15" i="42"/>
  <c r="K23" i="42"/>
  <c r="Q23" i="42"/>
  <c r="P26" i="2"/>
  <c r="L15" i="42"/>
  <c r="M15" i="42"/>
  <c r="R23" i="42"/>
  <c r="R15" i="42"/>
  <c r="J23" i="42"/>
  <c r="Q15" i="42"/>
  <c r="N23" i="42"/>
  <c r="L23" i="42"/>
  <c r="M23" i="42"/>
  <c r="P15" i="42"/>
  <c r="S15" i="42"/>
  <c r="S23" i="42"/>
  <c r="N15" i="42"/>
  <c r="P23" i="42"/>
  <c r="J15" i="42"/>
  <c r="O23" i="42"/>
  <c r="J13" i="42"/>
  <c r="J28" i="42" s="1"/>
  <c r="J21" i="42"/>
  <c r="O48" i="42" l="1"/>
  <c r="O49" i="42" s="1"/>
  <c r="P77" i="42"/>
  <c r="Q76" i="42"/>
  <c r="R76" i="42"/>
  <c r="S76" i="42"/>
  <c r="T76" i="42"/>
  <c r="C76" i="42"/>
  <c r="R78" i="42"/>
  <c r="T78" i="42"/>
  <c r="S78" i="42"/>
  <c r="Q78" i="42"/>
  <c r="C78" i="42"/>
  <c r="O37" i="42"/>
  <c r="O33" i="42"/>
  <c r="P78" i="42" l="1"/>
  <c r="P76" i="42"/>
  <c r="S79" i="42"/>
  <c r="Q79" i="42"/>
  <c r="T79" i="42"/>
  <c r="R79" i="42"/>
  <c r="C79" i="42"/>
  <c r="O35" i="42"/>
  <c r="O54" i="42" s="1"/>
  <c r="O56" i="42" s="1"/>
  <c r="P79" i="42" l="1"/>
  <c r="S80" i="42"/>
  <c r="T80" i="42"/>
  <c r="R80" i="42"/>
  <c r="Q80" i="42"/>
  <c r="C80" i="42"/>
  <c r="P80" i="42" l="1"/>
  <c r="R81" i="42"/>
  <c r="S81" i="42"/>
  <c r="T81" i="42"/>
  <c r="Q81" i="42"/>
  <c r="C81" i="42"/>
  <c r="P81" i="42" l="1"/>
  <c r="S82" i="42"/>
  <c r="T82" i="42"/>
  <c r="R82" i="42"/>
  <c r="Q82" i="42"/>
  <c r="C82" i="42"/>
  <c r="P82" i="42" l="1"/>
  <c r="S83" i="42"/>
  <c r="R83" i="42"/>
  <c r="T83" i="42"/>
  <c r="Q83" i="42"/>
  <c r="C83" i="42"/>
  <c r="P83" i="42" l="1"/>
  <c r="R84" i="42"/>
  <c r="T84" i="42"/>
  <c r="Q84" i="42"/>
  <c r="S84" i="42"/>
  <c r="C84" i="42"/>
  <c r="P84" i="42" l="1"/>
  <c r="P85" i="42"/>
  <c r="S85" i="42"/>
  <c r="Q85" i="42"/>
  <c r="R85" i="42"/>
  <c r="T85" i="42"/>
  <c r="C85" i="42"/>
  <c r="R86" i="42" l="1"/>
  <c r="R88" i="42" s="1"/>
  <c r="P86" i="42"/>
  <c r="P88" i="42" s="1"/>
  <c r="Q86" i="42"/>
  <c r="Q88" i="42" s="1"/>
  <c r="T86" i="42"/>
  <c r="T88" i="42" s="1"/>
  <c r="S86" i="42"/>
  <c r="S88" i="42" s="1"/>
  <c r="C86" i="42"/>
  <c r="Q24" i="53"/>
  <c r="S24" i="53" l="1"/>
  <c r="R24" i="53"/>
  <c r="T24" i="53"/>
  <c r="P24" i="53"/>
  <c r="S104" i="42"/>
  <c r="S13" i="44" s="1"/>
  <c r="S105" i="42"/>
  <c r="R105" i="42"/>
  <c r="R104" i="42"/>
  <c r="R13" i="44" s="1"/>
  <c r="T104" i="42"/>
  <c r="T13" i="44" s="1"/>
  <c r="T105" i="42"/>
  <c r="Q105" i="42"/>
  <c r="Q104" i="42"/>
  <c r="Q13" i="44" s="1"/>
  <c r="P104" i="42"/>
  <c r="P13" i="44" s="1"/>
  <c r="P105" i="42"/>
  <c r="X24" i="53" l="1"/>
  <c r="P42" i="53" l="1"/>
  <c r="P106" i="42"/>
  <c r="Q42" i="53" l="1"/>
  <c r="Q106" i="42"/>
  <c r="R106" i="42" l="1"/>
  <c r="R42" i="53"/>
  <c r="S42" i="53" l="1"/>
  <c r="S106" i="42"/>
  <c r="T42" i="53" l="1"/>
  <c r="X42" i="53" s="1"/>
  <c r="T106" i="42"/>
  <c r="C30" i="53" l="1"/>
  <c r="C14" i="44" l="1"/>
  <c r="C94" i="42"/>
  <c r="R34" i="53"/>
  <c r="T34" i="53"/>
  <c r="S34" i="53"/>
  <c r="Q34" i="53"/>
  <c r="P34" i="53"/>
  <c r="X34" i="53" s="1"/>
  <c r="S1" i="53" s="1"/>
  <c r="G14" i="16" s="1"/>
  <c r="S1" i="16" s="1"/>
  <c r="V1" i="4" l="1"/>
  <c r="W1" i="2"/>
  <c r="W1" i="42"/>
  <c r="W1" i="53"/>
  <c r="V1" i="54"/>
  <c r="V1" i="58"/>
  <c r="W1" i="44"/>
  <c r="W1" i="55"/>
</calcChain>
</file>

<file path=xl/sharedStrings.xml><?xml version="1.0" encoding="utf-8"?>
<sst xmlns="http://schemas.openxmlformats.org/spreadsheetml/2006/main" count="825" uniqueCount="261">
  <si>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</si>
  <si>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</si>
  <si>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</si>
  <si>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</si>
  <si>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</si>
  <si>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</si>
  <si>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</si>
  <si>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</si>
  <si>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</si>
  <si>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</si>
  <si>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</si>
  <si>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</si>
  <si>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</si>
  <si>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</si>
  <si>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</si>
  <si>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</si>
  <si>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</si>
  <si>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</si>
  <si>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</si>
  <si>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</si>
  <si>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</si>
  <si>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</si>
  <si>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</si>
  <si>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</si>
  <si>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</si>
  <si>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</si>
  <si>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</si>
  <si>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</si>
  <si>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</si>
  <si>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</si>
  <si>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</si>
  <si>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</si>
  <si>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</si>
  <si>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</si>
  <si>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</si>
  <si>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</si>
  <si>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</si>
  <si>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</si>
  <si>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</si>
  <si>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</si>
  <si>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</si>
  <si>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</si>
  <si>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</si>
  <si>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</si>
  <si>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</si>
  <si>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</si>
  <si>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</si>
  <si>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</si>
  <si>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</si>
  <si>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</si>
  <si>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</si>
  <si>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</si>
  <si>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</si>
  <si>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</si>
  <si>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</si>
  <si>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</si>
  <si>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</si>
  <si>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</si>
  <si>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</si>
  <si>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</si>
  <si>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</si>
  <si>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</si>
  <si>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</si>
  <si>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</si>
  <si>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</si>
  <si>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</si>
  <si>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</si>
  <si>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</si>
  <si>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</si>
  <si>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</si>
  <si>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</si>
  <si>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</si>
  <si>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</si>
  <si>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</si>
  <si>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</si>
  <si>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</si>
  <si>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</si>
  <si>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</si>
  <si>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</si>
  <si>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</si>
  <si>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</si>
  <si>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</si>
  <si>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</si>
  <si>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</si>
  <si>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</si>
  <si>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</si>
  <si>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</si>
  <si>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</si>
  <si>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</si>
  <si>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</si>
  <si>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</si>
  <si>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</si>
  <si>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</si>
  <si>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</si>
  <si>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</si>
  <si>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</si>
  <si>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</si>
  <si>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</si>
  <si>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</si>
  <si>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</si>
  <si>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</si>
  <si>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</si>
  <si>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</si>
  <si>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</si>
  <si>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</si>
  <si>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</si>
  <si>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</si>
  <si>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</si>
  <si>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</si>
  <si>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</si>
  <si>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</si>
  <si>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</si>
  <si>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</si>
  <si>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</si>
  <si>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</si>
  <si>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</si>
  <si>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</si>
  <si>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</si>
  <si>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</si>
  <si>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</si>
  <si>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</si>
  <si>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</si>
  <si>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</si>
  <si>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</si>
  <si>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</si>
  <si>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</si>
  <si>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</si>
  <si>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</si>
  <si>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</si>
  <si>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</si>
  <si>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</si>
  <si>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</si>
  <si>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</si>
  <si>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</si>
  <si>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</si>
  <si>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</si>
  <si>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</si>
  <si>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</si>
  <si>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</si>
  <si>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</si>
  <si>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</si>
  <si>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</si>
  <si>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</si>
  <si>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</si>
  <si>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</si>
  <si>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</si>
  <si>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</si>
  <si>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</si>
  <si>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</si>
  <si>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</si>
  <si>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</si>
  <si>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</si>
  <si>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</si>
  <si>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</si>
  <si>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</si>
  <si>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</si>
  <si>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</si>
  <si>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</si>
  <si>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</si>
  <si>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</si>
  <si>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</si>
  <si>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</si>
  <si>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</si>
  <si>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</si>
  <si>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</si>
  <si>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</si>
  <si>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</si>
  <si>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</si>
  <si>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</si>
  <si>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</si>
  <si>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</si>
  <si>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</si>
  <si>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</si>
  <si>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</si>
  <si>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</si>
  <si>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</si>
  <si>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</si>
  <si>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</si>
  <si>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</si>
  <si>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</si>
  <si>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</si>
  <si>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</si>
  <si>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</si>
  <si>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</si>
  <si>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</si>
  <si>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</si>
  <si>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</si>
  <si>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</si>
  <si>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</si>
  <si>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</si>
  <si>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</si>
  <si>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</si>
  <si>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</si>
  <si>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</si>
  <si>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</si>
  <si>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</si>
  <si>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</si>
  <si>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</si>
  <si>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</si>
  <si>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</si>
  <si>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</si>
  <si>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</si>
  <si>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</si>
  <si>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</si>
  <si>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Emergency recoverable works</t>
  </si>
  <si>
    <t>Communications network</t>
  </si>
  <si>
    <t>Wasted truck visits</t>
  </si>
  <si>
    <t>Replacement expenditure on faults and minor repairs</t>
  </si>
  <si>
    <t>Powercor</t>
  </si>
  <si>
    <t>Cell</t>
  </si>
  <si>
    <t>Description</t>
  </si>
  <si>
    <t>Input|Reported opex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</si>
  <si>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</si>
  <si>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</si>
  <si>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</si>
  <si>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</si>
  <si>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</si>
  <si>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</si>
  <si>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</si>
  <si>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</si>
  <si>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</si>
  <si>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</si>
  <si>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</si>
  <si>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</si>
  <si>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Average of DAE and BIS Oxford</t>
  </si>
  <si>
    <t>RRP change</t>
  </si>
  <si>
    <t>Input|General</t>
  </si>
  <si>
    <t>G8</t>
  </si>
  <si>
    <t>Changed to 'revised'</t>
  </si>
  <si>
    <t>H84, M84</t>
  </si>
  <si>
    <t>J13:N13</t>
  </si>
  <si>
    <t>Inputs added for calculating amount, including 2019 cost from draft decision metering cost model</t>
  </si>
  <si>
    <t>Communications network opex allocation to SCS</t>
  </si>
  <si>
    <t>Minor repairs and faults</t>
  </si>
  <si>
    <t>Converted to June 2021 dollars and average of 2017 to 2019 calculated</t>
  </si>
  <si>
    <t>Linked to calculate from inputs in row 84</t>
  </si>
  <si>
    <t>Opex allowance</t>
  </si>
  <si>
    <t>Corrected to align with 2020 PTRM and EBSS model</t>
  </si>
  <si>
    <t>Security of Critical Infrastructure</t>
  </si>
  <si>
    <t>ESV levy</t>
  </si>
  <si>
    <t>WPI – BIS Oxford November 2020</t>
  </si>
  <si>
    <t>revised proposal</t>
  </si>
  <si>
    <t>Rows 84:86</t>
  </si>
  <si>
    <t>Inserted rows for inputs</t>
  </si>
  <si>
    <t>I85:M85</t>
  </si>
  <si>
    <t>2015 to 2019 actual data added</t>
  </si>
  <si>
    <t>O89</t>
  </si>
  <si>
    <t>I91:M91, O91</t>
  </si>
  <si>
    <t>M86</t>
  </si>
  <si>
    <t>2019 data added</t>
  </si>
  <si>
    <t>M92, O92</t>
  </si>
  <si>
    <t>Converted to June 2021 dollars for negative base adjustment</t>
  </si>
  <si>
    <t>C12:C22, P12:T22</t>
  </si>
  <si>
    <t>C30, P30:T30</t>
  </si>
  <si>
    <t>GSLs</t>
  </si>
  <si>
    <t>GSLs increased by 50% as a placeholder estimate for final Electricity Distribution Code review; description amended in C30</t>
  </si>
  <si>
    <t>21 Dec update</t>
  </si>
  <si>
    <t>21 December 2020 Amendments</t>
  </si>
  <si>
    <t>Linked to category specific forecasts model</t>
  </si>
  <si>
    <t>Row 30</t>
  </si>
  <si>
    <t>PAL RRP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</si>
</sst>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1F497D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272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9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5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1" applyFont="1"/>
    <xf numFmtId="0" fontId="92" fillId="0" borderId="7" xfId="271" applyFont="1" applyBorder="1" applyAlignment="1">
      <alignment vertical="top"/>
    </xf>
    <xf numFmtId="0" fontId="91" fillId="0" borderId="0" xfId="271" applyFont="1" applyFill="1"/>
    <xf numFmtId="0" fontId="92" fillId="0" borderId="0" xfId="271" applyFont="1" applyBorder="1" applyAlignment="1">
      <alignment vertical="top"/>
    </xf>
    <xf numFmtId="0" fontId="91" fillId="0" borderId="0" xfId="271" applyFont="1" applyAlignment="1">
      <alignment vertical="top"/>
    </xf>
    <xf numFmtId="0" fontId="0" fillId="50" borderId="0" xfId="0" applyFont="1" applyFill="1" applyBorder="1" applyProtection="1"/>
    <xf numFmtId="2" fontId="4" fillId="50" borderId="3" xfId="0" applyNumberFormat="1" applyFont="1" applyFill="1" applyBorder="1" applyAlignment="1" applyProtection="1">
      <alignment horizontal="center"/>
      <protection locked="0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03" fontId="6" fillId="0" borderId="0" xfId="0" applyNumberFormat="1" applyFont="1" applyAlignment="1">
      <alignment horizontal="center"/>
    </xf>
    <xf numFmtId="10" fontId="4" fillId="50" borderId="26" xfId="2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164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95" fontId="4" fillId="50" borderId="3" xfId="2" applyNumberFormat="1" applyFont="1" applyFill="1" applyBorder="1" applyAlignment="1" applyProtection="1">
      <alignment horizontal="center"/>
      <protection locked="0"/>
    </xf>
    <xf numFmtId="0" fontId="93" fillId="0" borderId="0" xfId="0" applyFont="1" applyAlignment="1">
      <alignment vertical="center"/>
    </xf>
    <xf numFmtId="203" fontId="5" fillId="50" borderId="3" xfId="0" applyNumberFormat="1" applyFont="1" applyFill="1" applyBorder="1" applyAlignment="1">
      <alignment horizontal="center"/>
    </xf>
    <xf numFmtId="2" fontId="4" fillId="50" borderId="26" xfId="0" applyNumberFormat="1" applyFont="1" applyFill="1" applyBorder="1" applyAlignment="1" applyProtection="1">
      <alignment horizontal="center"/>
      <protection locked="0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164" fontId="4" fillId="51" borderId="3" xfId="0" applyNumberFormat="1" applyFont="1" applyFill="1" applyBorder="1" applyProtection="1">
      <protection locked="0"/>
    </xf>
    <xf numFmtId="2" fontId="4" fillId="51" borderId="3" xfId="0" applyNumberFormat="1" applyFont="1" applyFill="1" applyBorder="1" applyAlignment="1" applyProtection="1">
      <alignment horizontal="left" indent="1"/>
      <protection locked="0"/>
    </xf>
    <xf numFmtId="0" fontId="0" fillId="51" borderId="1" xfId="0" applyFont="1" applyFill="1" applyBorder="1" applyProtection="1"/>
    <xf numFmtId="0" fontId="92" fillId="51" borderId="0" xfId="271" applyFont="1" applyFill="1"/>
    <xf numFmtId="0" fontId="91" fillId="51" borderId="0" xfId="271" applyFont="1" applyFill="1"/>
    <xf numFmtId="0" fontId="92" fillId="50" borderId="0" xfId="271" applyFont="1" applyFill="1"/>
    <xf numFmtId="0" fontId="72" fillId="38" borderId="2" xfId="0" applyNumberFormat="1" applyFont="1" applyFill="1" applyBorder="1" applyAlignment="1" applyProtection="1">
      <alignment horizontal="center"/>
    </xf>
  </cellXfs>
  <cellStyles count="272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8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0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71"/>
    <cellStyle name="Normal 11" xfId="264"/>
    <cellStyle name="Normal 12" xfId="267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69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5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33"/>
      <color rgb="FFFFFFCC"/>
      <color rgb="FFFF99FF"/>
      <color rgb="FFDBE5F1"/>
      <color rgb="FFDAEEF3"/>
      <color rgb="FF006100"/>
      <color rgb="FFC6EFCE"/>
      <color rgb="FF9C00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RRP%20MOD%2010.02%20-%20PTRM%202021-26%20-%2020201221%20update%20-%20Dec2020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5%20Final%20Revised%20Proposal\2%20Powercor\4%20Models\01%20SCS\Opex\PAL%20RRP%20MOD%209.01%20-%20Step%20changes%20-%20Dec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RRP%20MOD%209.03%20-%20Category%20specific%20forecast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Amendments"/>
      <sheetName val="AER Amendment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e">
            <v>#N/A</v>
          </cell>
          <cell r="G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</row>
        <row r="66">
          <cell r="E66" t="e">
            <v>#N/A</v>
          </cell>
          <cell r="G66" t="e">
            <v>#N/A</v>
          </cell>
          <cell r="I66" t="e">
            <v>#N/A</v>
          </cell>
        </row>
        <row r="67">
          <cell r="E67" t="e">
            <v>#N/A</v>
          </cell>
          <cell r="G67" t="e">
            <v>#N/A</v>
          </cell>
          <cell r="I67" t="e">
            <v>#N/A</v>
          </cell>
        </row>
        <row r="68">
          <cell r="E68" t="e">
            <v>#N/A</v>
          </cell>
          <cell r="G68" t="e">
            <v>#N/A</v>
          </cell>
          <cell r="I68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Calendar</v>
          </cell>
        </row>
        <row r="28">
          <cell r="C28" t="str">
            <v>CRY not present</v>
          </cell>
        </row>
        <row r="29">
          <cell r="C29" t="str">
            <v>December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 t="e">
            <v>#N/A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5">
          <cell r="C45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50">
          <cell r="C50" t="e">
            <v>#N/A</v>
          </cell>
        </row>
        <row r="51">
          <cell r="C51" t="e">
            <v>#N/A</v>
          </cell>
        </row>
        <row r="52">
          <cell r="C52">
            <v>0</v>
          </cell>
        </row>
        <row r="53">
          <cell r="C53" t="e">
            <v>#N/A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e">
            <v>#N/A</v>
          </cell>
        </row>
        <row r="57">
          <cell r="C57" t="e">
            <v>#N/A</v>
          </cell>
        </row>
        <row r="58">
          <cell r="C58">
            <v>0</v>
          </cell>
        </row>
        <row r="59">
          <cell r="C59" t="e">
            <v>#N/A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e">
            <v>#N/A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Powercor Australia</v>
          </cell>
        </row>
        <row r="24">
          <cell r="BQ24" t="str">
            <v/>
          </cell>
        </row>
        <row r="42">
          <cell r="AR42" t="str">
            <v>2020-21</v>
          </cell>
        </row>
        <row r="61">
          <cell r="AR61" t="str">
            <v>Revised regulatory proposal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 refreshError="1"/>
      <sheetData sheetId="5" refreshError="1"/>
      <sheetData sheetId="6" refreshError="1"/>
      <sheetData sheetId="7">
        <row r="16">
          <cell r="C16" t="str">
            <v>PAL</v>
          </cell>
        </row>
      </sheetData>
      <sheetData sheetId="8">
        <row r="7">
          <cell r="G7" t="str">
            <v>Subtransmission</v>
          </cell>
          <cell r="J7">
            <v>631.04529082324132</v>
          </cell>
          <cell r="L7" t="str">
            <v>n/a</v>
          </cell>
          <cell r="M7">
            <v>50</v>
          </cell>
          <cell r="N7">
            <v>588.22749886208192</v>
          </cell>
          <cell r="O7">
            <v>36.096971341800831</v>
          </cell>
          <cell r="P7">
            <v>44</v>
          </cell>
        </row>
        <row r="8">
          <cell r="G8" t="str">
            <v>Distribution system assets</v>
          </cell>
          <cell r="J8">
            <v>3189.3007731464468</v>
          </cell>
          <cell r="L8" t="str">
            <v>n/a</v>
          </cell>
          <cell r="M8">
            <v>51</v>
          </cell>
          <cell r="N8">
            <v>2844.44520079329</v>
          </cell>
          <cell r="O8">
            <v>33.115178900756604</v>
          </cell>
          <cell r="P8">
            <v>46</v>
          </cell>
        </row>
        <row r="9">
          <cell r="G9" t="str">
            <v>Public lighting</v>
          </cell>
          <cell r="J9">
            <v>4.4723309350486717</v>
          </cell>
          <cell r="L9" t="str">
            <v>n/a</v>
          </cell>
          <cell r="M9" t="str">
            <v>n/a</v>
          </cell>
          <cell r="N9">
            <v>0</v>
          </cell>
          <cell r="O9" t="str">
            <v>n/a</v>
          </cell>
          <cell r="P9" t="str">
            <v>n/a</v>
          </cell>
        </row>
        <row r="10">
          <cell r="G10" t="str">
            <v>SCADA/Network control</v>
          </cell>
          <cell r="J10">
            <v>94.880621880475545</v>
          </cell>
          <cell r="L10" t="str">
            <v>n/a</v>
          </cell>
          <cell r="M10">
            <v>13</v>
          </cell>
          <cell r="N10">
            <v>92.255105258856361</v>
          </cell>
          <cell r="O10">
            <v>7.8415205629197224</v>
          </cell>
          <cell r="P10">
            <v>10</v>
          </cell>
        </row>
        <row r="11">
          <cell r="G11" t="str">
            <v>Non-network general assets - IT</v>
          </cell>
          <cell r="J11">
            <v>92.539182414076151</v>
          </cell>
          <cell r="L11" t="str">
            <v>n/a</v>
          </cell>
          <cell r="M11">
            <v>6</v>
          </cell>
          <cell r="N11">
            <v>75.264308099692343</v>
          </cell>
          <cell r="O11">
            <v>3.0666984687542076</v>
          </cell>
          <cell r="P11">
            <v>4</v>
          </cell>
        </row>
        <row r="12">
          <cell r="G12" t="str">
            <v>Non-network general assets - Other</v>
          </cell>
          <cell r="J12">
            <v>261.23494839233194</v>
          </cell>
          <cell r="L12" t="str">
            <v>n/a</v>
          </cell>
          <cell r="M12">
            <v>15</v>
          </cell>
          <cell r="N12">
            <v>202.08912310450614</v>
          </cell>
          <cell r="O12">
            <v>9.1247954328509184</v>
          </cell>
          <cell r="P12">
            <v>12</v>
          </cell>
        </row>
        <row r="13">
          <cell r="G13" t="str">
            <v>VBRC</v>
          </cell>
          <cell r="J13">
            <v>148.80063728106239</v>
          </cell>
          <cell r="L13" t="str">
            <v>n/a</v>
          </cell>
          <cell r="M13" t="str">
            <v>n/a</v>
          </cell>
          <cell r="N13">
            <v>122.79160461036743</v>
          </cell>
          <cell r="O13">
            <v>39.420854904383994</v>
          </cell>
          <cell r="P13" t="str">
            <v>n/a</v>
          </cell>
        </row>
        <row r="14">
          <cell r="G14" t="str">
            <v>Land</v>
          </cell>
          <cell r="J14">
            <v>24.567221756643605</v>
          </cell>
          <cell r="L14" t="str">
            <v>n/a</v>
          </cell>
          <cell r="M14" t="str">
            <v>n/a</v>
          </cell>
          <cell r="N14">
            <v>32.328517100954855</v>
          </cell>
          <cell r="O14" t="str">
            <v>n/a</v>
          </cell>
          <cell r="P14" t="str">
            <v>n/a</v>
          </cell>
        </row>
        <row r="15">
          <cell r="G15" t="str">
            <v>Accelerated depreciation assets</v>
          </cell>
          <cell r="J15">
            <v>29.487319101720015</v>
          </cell>
          <cell r="L15" t="str">
            <v>n/a</v>
          </cell>
          <cell r="M15" t="str">
            <v>n/a</v>
          </cell>
          <cell r="N15">
            <v>25.483147326122086</v>
          </cell>
          <cell r="O15">
            <v>5</v>
          </cell>
          <cell r="P15" t="str">
            <v>n/a</v>
          </cell>
        </row>
        <row r="55">
          <cell r="G55" t="str">
            <v>In-house software</v>
          </cell>
          <cell r="L55" t="str">
            <v>n/a</v>
          </cell>
          <cell r="M55">
            <v>5</v>
          </cell>
          <cell r="P55">
            <v>5</v>
          </cell>
        </row>
        <row r="56">
          <cell r="G56" t="str">
            <v>Equity raising costs</v>
          </cell>
          <cell r="J56">
            <v>20.611356057227599</v>
          </cell>
          <cell r="L56" t="str">
            <v>n/a</v>
          </cell>
          <cell r="M56">
            <v>40.437232534320437</v>
          </cell>
          <cell r="N56">
            <v>3.1015406454458017</v>
          </cell>
          <cell r="O56">
            <v>3.0055397614778259</v>
          </cell>
          <cell r="P56">
            <v>5</v>
          </cell>
        </row>
        <row r="57">
          <cell r="J57">
            <v>4496.9396817882744</v>
          </cell>
        </row>
        <row r="110">
          <cell r="G110">
            <v>0.12459399287981597</v>
          </cell>
        </row>
        <row r="340">
          <cell r="G340">
            <v>2.1344123468423364</v>
          </cell>
          <cell r="H340">
            <v>2.2238929898086321</v>
          </cell>
          <cell r="I340">
            <v>2.3230068452484631</v>
          </cell>
          <cell r="J340">
            <v>2.3809287391846117</v>
          </cell>
          <cell r="K340">
            <v>2.4134030110678446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0.9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7.9106106888880028E-4</v>
          </cell>
        </row>
      </sheetData>
      <sheetData sheetId="9">
        <row r="18">
          <cell r="G18">
            <v>4.5902498875882172E-2</v>
          </cell>
          <cell r="H18">
            <v>4.4323538630180841E-2</v>
          </cell>
          <cell r="I18">
            <v>4.2744578384479509E-2</v>
          </cell>
          <cell r="J18">
            <v>4.1165618138778171E-2</v>
          </cell>
          <cell r="K18">
            <v>3.9586657893076839E-2</v>
          </cell>
          <cell r="L18">
            <v>3.9586657893076839E-2</v>
          </cell>
          <cell r="M18">
            <v>3.9586657893076839E-2</v>
          </cell>
          <cell r="N18">
            <v>3.9586657893076839E-2</v>
          </cell>
          <cell r="O18">
            <v>3.9586657893076839E-2</v>
          </cell>
          <cell r="P18">
            <v>3.9586657893076839E-2</v>
          </cell>
        </row>
        <row r="19">
          <cell r="G19">
            <v>2.1645481539978119E-2</v>
          </cell>
          <cell r="H19">
            <v>2.010314121448329E-2</v>
          </cell>
          <cell r="I19">
            <v>1.8560800888988462E-2</v>
          </cell>
          <cell r="J19">
            <v>1.7018460563493765E-2</v>
          </cell>
          <cell r="K19">
            <v>1.5476120237998936E-2</v>
          </cell>
          <cell r="L19">
            <v>1.5476120237998936E-2</v>
          </cell>
          <cell r="M19">
            <v>1.5476120237998936E-2</v>
          </cell>
          <cell r="N19">
            <v>1.5476120237998936E-2</v>
          </cell>
          <cell r="O19">
            <v>1.5476120237998936E-2</v>
          </cell>
          <cell r="P19">
            <v>1.5476120237998936E-2</v>
          </cell>
        </row>
      </sheetData>
      <sheetData sheetId="10" refreshError="1"/>
      <sheetData sheetId="11" refreshError="1"/>
      <sheetData sheetId="12" refreshError="1"/>
      <sheetData sheetId="13">
        <row r="47">
          <cell r="G47">
            <v>4.4951852278776558E-2</v>
          </cell>
          <cell r="H47">
            <v>5.1317375234451124E-2</v>
          </cell>
          <cell r="I47">
            <v>5.1430044323603416E-2</v>
          </cell>
          <cell r="J47">
            <v>5.1541631367058055E-2</v>
          </cell>
          <cell r="K47">
            <v>5.1652120914944956E-2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0.10583380159269923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-8.8870940887622717E-3</v>
          </cell>
          <cell r="M63">
            <v>-8.8870940887622717E-3</v>
          </cell>
          <cell r="N63">
            <v>-8.8870940887622717E-3</v>
          </cell>
          <cell r="O63">
            <v>-8.8870940887622717E-3</v>
          </cell>
          <cell r="P63">
            <v>-8.8870940887622717E-3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4" refreshError="1"/>
      <sheetData sheetId="15">
        <row r="54">
          <cell r="Q54">
            <v>0.12459399287981597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Solar enablement"/>
      <sheetName val="REFCL opex"/>
      <sheetName val="IT cloud solutions"/>
      <sheetName val="Increasing insurance premiums"/>
    </sheetNames>
    <sheetDataSet>
      <sheetData sheetId="0">
        <row r="7">
          <cell r="B7" t="str">
            <v>Increasing insurance premiums</v>
          </cell>
          <cell r="M7">
            <v>5616.7702237106705</v>
          </cell>
          <cell r="N7">
            <v>5616.7702237106705</v>
          </cell>
          <cell r="O7">
            <v>5616.7702237106705</v>
          </cell>
          <cell r="P7">
            <v>5616.7702237106705</v>
          </cell>
          <cell r="Q7">
            <v>5616.7702237106705</v>
          </cell>
        </row>
        <row r="8">
          <cell r="B8" t="str">
            <v>Security of Critical Infrastructure</v>
          </cell>
          <cell r="M8">
            <v>2416.1422739717573</v>
          </cell>
          <cell r="N8">
            <v>1709.7629208919104</v>
          </cell>
          <cell r="O8">
            <v>1652.8670470000197</v>
          </cell>
          <cell r="P8">
            <v>1534.3399241136399</v>
          </cell>
          <cell r="Q8">
            <v>1546.2167137960173</v>
          </cell>
        </row>
        <row r="9">
          <cell r="B9" t="str">
            <v>IT cloud solutions</v>
          </cell>
          <cell r="M9">
            <v>830.68560383111594</v>
          </cell>
          <cell r="N9">
            <v>821.96714935313082</v>
          </cell>
          <cell r="O9">
            <v>1175.9294126678221</v>
          </cell>
          <cell r="P9">
            <v>1395.6344563719942</v>
          </cell>
          <cell r="Q9">
            <v>1390.6049205681329</v>
          </cell>
        </row>
        <row r="10">
          <cell r="B10" t="str">
            <v>Solar enablement</v>
          </cell>
          <cell r="M10">
            <v>1096.1547963490291</v>
          </cell>
          <cell r="N10">
            <v>1037.0107590207526</v>
          </cell>
          <cell r="O10">
            <v>1171.4861059625666</v>
          </cell>
          <cell r="P10">
            <v>729.66001040777155</v>
          </cell>
          <cell r="Q10">
            <v>748.89535596604082</v>
          </cell>
        </row>
        <row r="11">
          <cell r="B11" t="str">
            <v>5 minute settlement</v>
          </cell>
          <cell r="M11">
            <v>504.96484412224805</v>
          </cell>
          <cell r="N11">
            <v>705.15332795959432</v>
          </cell>
          <cell r="O11">
            <v>895.57656441694087</v>
          </cell>
          <cell r="P11">
            <v>1091.9039308815745</v>
          </cell>
          <cell r="Q11">
            <v>1301.4108705527337</v>
          </cell>
        </row>
        <row r="12">
          <cell r="B12" t="str">
            <v>REFCL on-going operating expenditure</v>
          </cell>
          <cell r="M12">
            <v>298.31194263240303</v>
          </cell>
          <cell r="N12">
            <v>395.40999388132411</v>
          </cell>
          <cell r="O12">
            <v>910.33224283276934</v>
          </cell>
          <cell r="P12">
            <v>1029.5936271080479</v>
          </cell>
          <cell r="Q12">
            <v>1037.5633519228033</v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Assumptions"/>
      <sheetName val="GSL payment"/>
      <sheetName val="MEDs"/>
    </sheetNames>
    <sheetDataSet>
      <sheetData sheetId="0">
        <row r="7">
          <cell r="B7" t="str">
            <v>GSL payment</v>
          </cell>
          <cell r="M7">
            <v>2.8944685902263974</v>
          </cell>
          <cell r="N7">
            <v>2.8944685902263974</v>
          </cell>
          <cell r="O7">
            <v>2.8944685902263974</v>
          </cell>
          <cell r="P7">
            <v>2.8944685902263974</v>
          </cell>
          <cell r="Q7">
            <v>2.8944685902263974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193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194</v>
      </c>
      <c r="D12" s="7" t="s">
        <v>181</v>
      </c>
    </row>
    <row r="13" spans="1:47">
      <c r="C13" s="19" t="s">
        <v>195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FF"/>
  </sheetPr>
  <dimension ref="A1:D25"/>
  <sheetViews>
    <sheetView showGridLines="0" workbookViewId="0">
      <selection activeCell="B29" sqref="B29"/>
    </sheetView>
  </sheetViews>
  <sheetFormatPr defaultRowHeight="12.75"/>
  <cols>
    <col min="1" max="1" width="28.83203125" style="222" customWidth="1"/>
    <col min="2" max="2" width="22" style="222" customWidth="1"/>
    <col min="3" max="3" width="34.33203125" style="222" customWidth="1"/>
    <col min="4" max="4" width="69.1640625" style="222" bestFit="1" customWidth="1"/>
    <col min="5" max="16384" width="9.33203125" style="222"/>
  </cols>
  <sheetData>
    <row r="1" spans="1:4">
      <c r="A1" s="248" t="s">
        <v>260</v>
      </c>
      <c r="B1" s="248"/>
    </row>
    <row r="3" spans="1:4">
      <c r="A3" s="223" t="s">
        <v>27</v>
      </c>
      <c r="B3" s="223" t="s">
        <v>209</v>
      </c>
      <c r="C3" s="223" t="s">
        <v>210</v>
      </c>
      <c r="D3" s="223" t="s">
        <v>210</v>
      </c>
    </row>
    <row r="4" spans="1:4">
      <c r="A4" s="226" t="s">
        <v>226</v>
      </c>
      <c r="B4" s="226" t="s">
        <v>227</v>
      </c>
      <c r="C4" s="226" t="s">
        <v>228</v>
      </c>
      <c r="D4" s="225"/>
    </row>
    <row r="5" spans="1:4">
      <c r="A5" s="222" t="s">
        <v>211</v>
      </c>
      <c r="B5" s="222" t="s">
        <v>230</v>
      </c>
      <c r="C5" s="222" t="s">
        <v>236</v>
      </c>
      <c r="D5" s="222" t="s">
        <v>237</v>
      </c>
    </row>
    <row r="6" spans="1:4">
      <c r="A6" s="222" t="s">
        <v>211</v>
      </c>
      <c r="B6" s="226" t="s">
        <v>242</v>
      </c>
      <c r="C6" s="226" t="s">
        <v>243</v>
      </c>
      <c r="D6" s="225"/>
    </row>
    <row r="7" spans="1:4">
      <c r="A7" s="222" t="s">
        <v>211</v>
      </c>
      <c r="B7" s="222" t="s">
        <v>229</v>
      </c>
      <c r="C7" s="222" t="s">
        <v>212</v>
      </c>
      <c r="D7" s="222" t="s">
        <v>231</v>
      </c>
    </row>
    <row r="8" spans="1:4">
      <c r="A8" s="222" t="s">
        <v>211</v>
      </c>
      <c r="B8" s="222" t="s">
        <v>244</v>
      </c>
      <c r="C8" s="222" t="s">
        <v>233</v>
      </c>
      <c r="D8" s="222" t="s">
        <v>245</v>
      </c>
    </row>
    <row r="9" spans="1:4">
      <c r="A9" s="222" t="s">
        <v>211</v>
      </c>
      <c r="B9" s="222" t="s">
        <v>248</v>
      </c>
      <c r="C9" s="222" t="s">
        <v>239</v>
      </c>
      <c r="D9" s="222" t="s">
        <v>249</v>
      </c>
    </row>
    <row r="10" spans="1:4">
      <c r="A10" s="222" t="s">
        <v>211</v>
      </c>
      <c r="B10" s="222" t="s">
        <v>246</v>
      </c>
      <c r="C10" s="222" t="s">
        <v>212</v>
      </c>
      <c r="D10" s="222" t="s">
        <v>235</v>
      </c>
    </row>
    <row r="11" spans="1:4">
      <c r="A11" s="222" t="s">
        <v>211</v>
      </c>
      <c r="B11" s="222" t="s">
        <v>247</v>
      </c>
      <c r="C11" s="222" t="s">
        <v>233</v>
      </c>
      <c r="D11" s="222" t="s">
        <v>234</v>
      </c>
    </row>
    <row r="12" spans="1:4">
      <c r="A12" s="222" t="s">
        <v>211</v>
      </c>
      <c r="B12" s="222" t="s">
        <v>250</v>
      </c>
      <c r="C12" s="222" t="s">
        <v>239</v>
      </c>
      <c r="D12" s="222" t="s">
        <v>251</v>
      </c>
    </row>
    <row r="13" spans="1:4">
      <c r="A13" s="222" t="s">
        <v>213</v>
      </c>
      <c r="B13" s="222" t="s">
        <v>214</v>
      </c>
      <c r="C13" s="222" t="s">
        <v>79</v>
      </c>
      <c r="D13" s="222" t="s">
        <v>215</v>
      </c>
    </row>
    <row r="14" spans="1:4">
      <c r="A14" s="222" t="s">
        <v>213</v>
      </c>
      <c r="B14" s="222" t="s">
        <v>216</v>
      </c>
      <c r="C14" s="222" t="s">
        <v>79</v>
      </c>
      <c r="D14" s="222" t="s">
        <v>217</v>
      </c>
    </row>
    <row r="15" spans="1:4">
      <c r="A15" s="222" t="s">
        <v>213</v>
      </c>
      <c r="B15" s="222" t="s">
        <v>218</v>
      </c>
      <c r="C15" s="222" t="s">
        <v>79</v>
      </c>
      <c r="D15" s="222" t="s">
        <v>219</v>
      </c>
    </row>
    <row r="16" spans="1:4">
      <c r="A16" s="222" t="s">
        <v>220</v>
      </c>
      <c r="B16" s="222" t="s">
        <v>252</v>
      </c>
      <c r="C16" s="222" t="s">
        <v>102</v>
      </c>
      <c r="D16" s="224" t="s">
        <v>221</v>
      </c>
    </row>
    <row r="17" spans="1:4">
      <c r="A17" s="222" t="s">
        <v>220</v>
      </c>
      <c r="B17" s="222" t="s">
        <v>253</v>
      </c>
      <c r="C17" s="222" t="s">
        <v>254</v>
      </c>
      <c r="D17" s="222" t="s">
        <v>255</v>
      </c>
    </row>
    <row r="18" spans="1:4">
      <c r="A18" s="222" t="s">
        <v>220</v>
      </c>
      <c r="B18" s="222" t="s">
        <v>222</v>
      </c>
      <c r="C18" s="222" t="s">
        <v>39</v>
      </c>
      <c r="D18" s="222" t="s">
        <v>223</v>
      </c>
    </row>
    <row r="19" spans="1:4" ht="15">
      <c r="A19" s="239"/>
    </row>
    <row r="22" spans="1:4">
      <c r="A22" s="246" t="s">
        <v>257</v>
      </c>
      <c r="B22" s="247"/>
    </row>
    <row r="24" spans="1:4">
      <c r="A24" s="223" t="s">
        <v>27</v>
      </c>
      <c r="B24" s="223" t="s">
        <v>209</v>
      </c>
      <c r="C24" s="223" t="s">
        <v>210</v>
      </c>
      <c r="D24" s="223"/>
    </row>
    <row r="25" spans="1:4">
      <c r="A25" s="222" t="s">
        <v>220</v>
      </c>
      <c r="B25" s="222" t="s">
        <v>259</v>
      </c>
      <c r="C25" s="222" t="s">
        <v>254</v>
      </c>
      <c r="D25" s="222" t="s">
        <v>258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G7" sqref="G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7" t="s">
        <v>225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 ca="1"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208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42" t="s">
        <v>241</v>
      </c>
      <c r="H8" s="29"/>
      <c r="I8" s="29"/>
      <c r="S8" s="131" t="str">
        <f>IF(COUNTBLANK($G8),"Check","Ok")</f>
        <v>Ok</v>
      </c>
    </row>
    <row r="9" spans="1:47">
      <c r="C9" s="29" t="s">
        <v>189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190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191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192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7" priority="13" operator="equal">
      <formula>"Check"</formula>
    </cfRule>
    <cfRule type="cellIs" dxfId="256" priority="14" operator="equal">
      <formula>"Ok"</formula>
    </cfRule>
  </conditionalFormatting>
  <conditionalFormatting sqref="V1">
    <cfRule type="cellIs" dxfId="255" priority="3" operator="equal">
      <formula>"Check"</formula>
    </cfRule>
    <cfRule type="cellIs" dxfId="254" priority="4" operator="equal">
      <formula>"Ok"</formula>
    </cfRule>
  </conditionalFormatting>
  <conditionalFormatting sqref="S7:S16">
    <cfRule type="cellIs" dxfId="253" priority="5" operator="equal">
      <formula>"Check"</formula>
    </cfRule>
    <cfRule type="cellIs" dxfId="252" priority="6" operator="equal">
      <formula>"Ok"</formula>
    </cfRule>
  </conditionalFormatting>
  <conditionalFormatting sqref="S1">
    <cfRule type="cellIs" dxfId="251" priority="1" operator="equal">
      <formula>"Check"</formula>
    </cfRule>
    <cfRule type="cellIs" dxfId="250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"draft,revised proposal, 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7" t="s">
        <v>225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9" priority="11" operator="equal">
      <formula>"Check"</formula>
    </cfRule>
    <cfRule type="cellIs" dxfId="248" priority="12" operator="equal">
      <formula>"Ok"</formula>
    </cfRule>
  </conditionalFormatting>
  <conditionalFormatting sqref="W1">
    <cfRule type="cellIs" dxfId="247" priority="7" operator="equal">
      <formula>"Check"</formula>
    </cfRule>
    <cfRule type="cellIs" dxfId="246" priority="8" operator="equal">
      <formula>"Ok"</formula>
    </cfRule>
  </conditionalFormatting>
  <conditionalFormatting sqref="T1">
    <cfRule type="cellIs" dxfId="245" priority="5" operator="equal">
      <formula>"Check"</formula>
    </cfRule>
    <cfRule type="cellIs" dxfId="244" priority="6" operator="equal">
      <formula>"Ok"</formula>
    </cfRule>
  </conditionalFormatting>
  <conditionalFormatting sqref="X51:X57">
    <cfRule type="cellIs" dxfId="243" priority="3" operator="equal">
      <formula>"Check"</formula>
    </cfRule>
    <cfRule type="cellIs" dxfId="242" priority="4" operator="equal">
      <formula>"Ok"</formula>
    </cfRule>
  </conditionalFormatting>
  <conditionalFormatting sqref="X58:X62 T9:T84">
    <cfRule type="cellIs" dxfId="241" priority="1" operator="equal">
      <formula>"Check"</formula>
    </cfRule>
    <cfRule type="cellIs" dxfId="240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9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" style="103" customWidth="1"/>
    <col min="8" max="8" width="4.83203125" style="103" customWidth="1"/>
    <col min="9" max="9" width="14" style="103" customWidth="1"/>
    <col min="10" max="23" width="10.83203125" style="103" customWidth="1"/>
    <col min="24" max="24" width="0" style="103" hidden="1" customWidth="1"/>
    <col min="25" max="16384" width="9.33203125" style="103" hidden="1"/>
  </cols>
  <sheetData>
    <row r="1" spans="1:23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27" t="s">
        <v>225</v>
      </c>
      <c r="Q1" s="69"/>
      <c r="R1" s="72" t="s">
        <v>81</v>
      </c>
      <c r="S1" s="76" t="str">
        <f>IF(COUNTA($W$29:$W$291)=COUNTIF($W$29:$W$291,"OK"),"OK","Check")</f>
        <v>OK</v>
      </c>
      <c r="T1" s="76"/>
      <c r="U1" s="185" t="s">
        <v>24</v>
      </c>
      <c r="V1" s="76" t="str">
        <f ca="1"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199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228">
        <v>227.20857397562551</v>
      </c>
      <c r="K13" s="228">
        <v>233.16231007995322</v>
      </c>
      <c r="L13" s="228">
        <v>243.09902232346829</v>
      </c>
      <c r="M13" s="228">
        <v>245.72964969332111</v>
      </c>
      <c r="N13" s="228">
        <v>251.19971114109896</v>
      </c>
      <c r="O13" s="150"/>
      <c r="P13" s="150"/>
      <c r="Q13" s="150"/>
      <c r="R13" s="150"/>
      <c r="S13" s="150"/>
      <c r="T13" s="150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227.20857397562551</v>
      </c>
      <c r="K15" s="129">
        <f t="shared" ref="K15:T15" si="1">K13</f>
        <v>233.16231007995322</v>
      </c>
      <c r="L15" s="129">
        <f t="shared" si="1"/>
        <v>243.09902232346829</v>
      </c>
      <c r="M15" s="129">
        <f t="shared" si="1"/>
        <v>245.72964969332111</v>
      </c>
      <c r="N15" s="129">
        <f t="shared" si="1"/>
        <v>251.19971114109896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1.6620102906657084</v>
      </c>
      <c r="K19" s="161">
        <v>1.7490670445742109</v>
      </c>
      <c r="L19" s="161">
        <v>1.8565094484111484</v>
      </c>
      <c r="M19" s="161">
        <v>1.9712092113177384</v>
      </c>
      <c r="N19" s="161">
        <v>2.0619088757803503</v>
      </c>
      <c r="O19" s="150"/>
      <c r="P19" s="150"/>
      <c r="Q19" s="150"/>
      <c r="R19" s="150"/>
      <c r="S19" s="150"/>
      <c r="T19" s="150"/>
      <c r="U19" s="29"/>
      <c r="V19" s="29"/>
      <c r="W19" s="29"/>
    </row>
    <row r="20" spans="1:23">
      <c r="A20" s="29"/>
      <c r="B20" s="29"/>
      <c r="C20" s="61" t="s">
        <v>185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3.0996437859920776</v>
      </c>
      <c r="K20" s="161">
        <v>3.0996437859920776</v>
      </c>
      <c r="L20" s="161">
        <v>3.0996437859920776</v>
      </c>
      <c r="M20" s="161">
        <v>3.0996437859920776</v>
      </c>
      <c r="N20" s="161">
        <v>3.0996437859920776</v>
      </c>
      <c r="O20" s="150"/>
      <c r="P20" s="150"/>
      <c r="Q20" s="150"/>
      <c r="R20" s="150"/>
      <c r="S20" s="150"/>
      <c r="T20" s="150"/>
      <c r="U20" s="29"/>
      <c r="V20" s="29"/>
      <c r="W20" s="29"/>
    </row>
    <row r="21" spans="1:23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</row>
    <row r="22" spans="1:23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</row>
    <row r="23" spans="1:23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</row>
    <row r="24" spans="1:23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</row>
    <row r="25" spans="1:23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</row>
    <row r="26" spans="1:23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</row>
    <row r="27" spans="1:23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</row>
    <row r="29" spans="1:23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4.761654076657786</v>
      </c>
      <c r="K29" s="129">
        <f t="shared" ref="K29:S29" si="4">SUM(K19:K27)</f>
        <v>4.8487108305662883</v>
      </c>
      <c r="L29" s="129">
        <f t="shared" si="4"/>
        <v>4.9561532344032262</v>
      </c>
      <c r="M29" s="129">
        <f t="shared" si="4"/>
        <v>5.0708529973098155</v>
      </c>
      <c r="N29" s="129">
        <f t="shared" si="4"/>
        <v>5.1615526617724274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200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8"/>
      <c r="V33" s="138"/>
      <c r="W33" s="29"/>
    </row>
    <row r="34" spans="1:23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</row>
    <row r="35" spans="1:23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138.73097438447596</v>
      </c>
      <c r="P36" s="161"/>
      <c r="Q36" s="161"/>
      <c r="R36" s="161"/>
      <c r="S36" s="161"/>
      <c r="T36" s="161"/>
      <c r="U36" s="29"/>
      <c r="V36" s="29"/>
      <c r="W36" s="29"/>
    </row>
    <row r="37" spans="1:23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</row>
    <row r="38" spans="1:23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138.73097438447596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</row>
    <row r="39" spans="1:23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</row>
    <row r="40" spans="1:23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1.0857735077898052</v>
      </c>
      <c r="P42" s="150"/>
      <c r="Q42" s="150"/>
      <c r="R42" s="150"/>
      <c r="S42" s="150"/>
      <c r="T42" s="150"/>
      <c r="U42" s="29"/>
      <c r="V42" s="29"/>
      <c r="W42" s="29"/>
    </row>
    <row r="43" spans="1:23">
      <c r="A43" s="29"/>
      <c r="B43" s="29"/>
      <c r="C43" s="61" t="s">
        <v>185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1.6821071980232147</v>
      </c>
      <c r="P43" s="150"/>
      <c r="Q43" s="150"/>
      <c r="R43" s="150"/>
      <c r="S43" s="150"/>
      <c r="T43" s="150"/>
      <c r="U43" s="29"/>
      <c r="V43" s="29"/>
      <c r="W43" s="29"/>
    </row>
    <row r="44" spans="1:23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</row>
    <row r="45" spans="1:23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</row>
    <row r="46" spans="1:23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</row>
    <row r="47" spans="1:23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</row>
    <row r="48" spans="1:23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</row>
    <row r="49" spans="1:23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</row>
    <row r="50" spans="1:23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</row>
    <row r="51" spans="1:23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</row>
    <row r="52" spans="1:23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2.7678807058130199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 t="str">
        <f>IF(COUNTIF(J42:S50,"&lt;0")&gt;0,"Check","Ok")</f>
        <v>Ok</v>
      </c>
    </row>
    <row r="53" spans="1:23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8"/>
      <c r="W54" s="98"/>
    </row>
    <row r="55" spans="1:23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</row>
    <row r="57" spans="1:23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8"/>
      <c r="V57" s="138"/>
      <c r="W57" s="29"/>
    </row>
    <row r="58" spans="1:23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197.13364757204533</v>
      </c>
      <c r="K60" s="161">
        <v>214.07976014771</v>
      </c>
      <c r="L60" s="161">
        <v>223.88679698387105</v>
      </c>
      <c r="M60" s="161">
        <v>225.69319940000003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</row>
    <row r="61" spans="1:23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</row>
    <row r="62" spans="1:23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</row>
    <row r="63" spans="1:23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</row>
    <row r="64" spans="1:23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-8.0202334250815888</v>
      </c>
      <c r="K64" s="161">
        <v>1.7305429999999999</v>
      </c>
      <c r="L64" s="161">
        <v>5.2668002325138916</v>
      </c>
      <c r="M64" s="161">
        <v>-9.8760068599999986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</row>
    <row r="65" spans="1:23">
      <c r="A65" s="29"/>
      <c r="B65" s="29"/>
      <c r="C65" s="61" t="s">
        <v>184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</v>
      </c>
      <c r="K65" s="161">
        <v>5.6903000000000002E-2</v>
      </c>
      <c r="L65" s="161">
        <v>0</v>
      </c>
      <c r="M65" s="161">
        <v>0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</row>
    <row r="66" spans="1:23">
      <c r="A66" s="29"/>
      <c r="B66" s="29"/>
      <c r="C66" s="61" t="s">
        <v>186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</row>
    <row r="67" spans="1:23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</row>
    <row r="68" spans="1:23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</row>
    <row r="69" spans="1:23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</row>
    <row r="70" spans="1:23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205.15388099712692</v>
      </c>
      <c r="K70" s="129">
        <f t="shared" ref="K70:S70" si="12">K60-SUM(K64:K68)</f>
        <v>212.29231414771002</v>
      </c>
      <c r="L70" s="129">
        <f t="shared" si="12"/>
        <v>218.61999675135715</v>
      </c>
      <c r="M70" s="129">
        <f t="shared" si="12"/>
        <v>235.56920626000002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</row>
    <row r="71" spans="1:23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</row>
    <row r="72" spans="1:23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</row>
    <row r="73" spans="1:23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</row>
    <row r="74" spans="1:23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</row>
    <row r="75" spans="1:23">
      <c r="A75" s="29"/>
      <c r="B75" s="29"/>
      <c r="C75" s="61" t="s">
        <v>185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3.2959469800000001</v>
      </c>
      <c r="K75" s="161">
        <v>3.0511071699999999</v>
      </c>
      <c r="L75" s="161">
        <v>2.2502399999999998</v>
      </c>
      <c r="M75" s="161">
        <v>1.412155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</row>
    <row r="76" spans="1:23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</row>
    <row r="77" spans="1:23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</row>
    <row r="78" spans="1:23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</row>
    <row r="79" spans="1:23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3.2959469800000001</v>
      </c>
      <c r="K79" s="184">
        <f t="shared" ref="K79:S79" si="14">SUM(K74:K77)</f>
        <v>3.0511071699999999</v>
      </c>
      <c r="L79" s="184">
        <f t="shared" si="14"/>
        <v>2.2502399999999998</v>
      </c>
      <c r="M79" s="184">
        <f t="shared" si="14"/>
        <v>1.412155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 t="str">
        <f>IF(COUNTIF(J74:S77,"&lt;0")&gt;0,"Check","Ok")</f>
        <v>Ok</v>
      </c>
    </row>
    <row r="80" spans="1:23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8"/>
      <c r="W81" s="98"/>
    </row>
    <row r="82" spans="1:23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</row>
    <row r="84" spans="1:23">
      <c r="A84" s="29"/>
      <c r="B84" s="29"/>
      <c r="C84" s="234" t="s">
        <v>232</v>
      </c>
      <c r="D84" s="30" t="s">
        <v>34</v>
      </c>
      <c r="E84" s="30" t="str">
        <f>$E$79</f>
        <v>$millions</v>
      </c>
      <c r="F84" s="240" t="str">
        <f t="shared" ref="F84:F86" si="15">$F$79</f>
        <v>nominal</v>
      </c>
      <c r="G84" s="21"/>
      <c r="H84" s="231">
        <v>0.88</v>
      </c>
      <c r="I84" s="32"/>
      <c r="J84" s="161"/>
      <c r="K84" s="161"/>
      <c r="L84" s="161"/>
      <c r="M84" s="229">
        <v>1.375991</v>
      </c>
      <c r="N84" s="232"/>
      <c r="O84" s="232"/>
      <c r="P84" s="232"/>
      <c r="Q84" s="160"/>
      <c r="R84" s="160"/>
      <c r="S84" s="160"/>
      <c r="T84" s="160"/>
      <c r="U84" s="29"/>
      <c r="V84" s="29"/>
      <c r="W84" s="29"/>
    </row>
    <row r="85" spans="1:23">
      <c r="A85" s="29"/>
      <c r="B85" s="29"/>
      <c r="C85" s="234" t="s">
        <v>207</v>
      </c>
      <c r="D85" s="30" t="s">
        <v>34</v>
      </c>
      <c r="E85" s="30" t="str">
        <f>$E$79</f>
        <v>$millions</v>
      </c>
      <c r="F85" s="240" t="str">
        <f t="shared" si="15"/>
        <v>nominal</v>
      </c>
      <c r="G85" s="21"/>
      <c r="H85" s="21"/>
      <c r="I85" s="228">
        <v>2.2632949100000008</v>
      </c>
      <c r="J85" s="228">
        <v>2.8851414400000044</v>
      </c>
      <c r="K85" s="228">
        <v>2.7612718199999988</v>
      </c>
      <c r="L85" s="228">
        <v>2.1910071799999997</v>
      </c>
      <c r="M85" s="228">
        <v>3.0615161099999995</v>
      </c>
      <c r="N85" s="161"/>
      <c r="O85" s="232"/>
      <c r="P85" s="232"/>
      <c r="Q85" s="160"/>
      <c r="R85" s="160"/>
      <c r="S85" s="160"/>
      <c r="T85" s="160"/>
      <c r="U85" s="29"/>
      <c r="V85" s="29"/>
      <c r="W85" s="29"/>
    </row>
    <row r="86" spans="1:23">
      <c r="A86" s="29"/>
      <c r="B86" s="29"/>
      <c r="C86" s="234" t="s">
        <v>239</v>
      </c>
      <c r="D86" s="30" t="s">
        <v>34</v>
      </c>
      <c r="E86" s="30" t="str">
        <f>$E$79</f>
        <v>$millions</v>
      </c>
      <c r="F86" s="240" t="str">
        <f t="shared" si="15"/>
        <v>nominal</v>
      </c>
      <c r="G86" s="21"/>
      <c r="H86" s="21"/>
      <c r="I86" s="32"/>
      <c r="J86" s="161"/>
      <c r="K86" s="161"/>
      <c r="L86" s="161"/>
      <c r="M86" s="241">
        <v>2.7244090000000001</v>
      </c>
      <c r="N86" s="232"/>
      <c r="O86" s="232"/>
      <c r="P86" s="232"/>
      <c r="Q86" s="160"/>
      <c r="R86" s="160"/>
      <c r="S86" s="160"/>
      <c r="T86" s="160"/>
      <c r="U86" s="29"/>
      <c r="V86" s="29"/>
      <c r="W86" s="29"/>
    </row>
    <row r="87" spans="1:23">
      <c r="A87" s="29"/>
      <c r="B87" s="29"/>
      <c r="C87" s="29"/>
      <c r="D87" s="29"/>
      <c r="E87" s="30"/>
      <c r="F87" s="158"/>
      <c r="G87" s="158"/>
      <c r="H87" s="158"/>
      <c r="I87" s="32"/>
      <c r="J87" s="161"/>
      <c r="K87" s="161"/>
      <c r="L87" s="161"/>
      <c r="M87" s="161"/>
      <c r="N87" s="161"/>
      <c r="O87" s="232"/>
      <c r="P87" s="232"/>
      <c r="Q87" s="160"/>
      <c r="R87" s="160"/>
      <c r="S87" s="160"/>
      <c r="T87" s="160"/>
      <c r="U87" s="29"/>
      <c r="V87" s="29"/>
      <c r="W87" s="29"/>
    </row>
    <row r="88" spans="1:23">
      <c r="A88" s="29"/>
      <c r="B88" s="29"/>
      <c r="C88" s="61" t="s">
        <v>204</v>
      </c>
      <c r="D88" s="30" t="s">
        <v>34</v>
      </c>
      <c r="E88" s="30" t="str">
        <f>$E$79</f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0.24592608489294868</v>
      </c>
      <c r="P88" s="161"/>
      <c r="Q88" s="161"/>
      <c r="R88" s="161"/>
      <c r="S88" s="161"/>
      <c r="T88" s="161"/>
      <c r="U88" s="142"/>
      <c r="V88" s="142"/>
      <c r="W88" s="29"/>
    </row>
    <row r="89" spans="1:23">
      <c r="A89" s="29"/>
      <c r="B89" s="29"/>
      <c r="C89" s="61" t="s">
        <v>205</v>
      </c>
      <c r="D89" s="30" t="s">
        <v>34</v>
      </c>
      <c r="E89" s="30" t="str">
        <f t="shared" ref="E89:E94" si="16">$E$79</f>
        <v>$millions</v>
      </c>
      <c r="F89" s="169">
        <v>44348</v>
      </c>
      <c r="G89" s="32"/>
      <c r="H89" s="32"/>
      <c r="I89" s="32"/>
      <c r="J89" s="161"/>
      <c r="K89" s="161"/>
      <c r="L89" s="161"/>
      <c r="M89" s="228">
        <f>M84*IF($F84="nominal",LOOKUP($F89,Nominal_to_Real,'Input|Rate of change'!N$26:N$32),INDEX('Input|Rate of change'!$C$14:$P$22,MATCH('Calc|Opex forecast'!$F87,'Input|Rate of change'!$C$14:$C$22,0),MATCH('Calc|Opex forecast'!$F88,'Input|Rate of change'!$C$14:$P$14,0)))*IF($E84="$millions",1000000,IF($E84="$000",1000,1))/IF($E89="$millions",1000000,IF($E89="$000",1000,1))*$H$84</f>
        <v>1.2391264528198962</v>
      </c>
      <c r="N89" s="161"/>
      <c r="O89" s="230">
        <f>M89</f>
        <v>1.2391264528198962</v>
      </c>
      <c r="P89" s="161"/>
      <c r="Q89" s="161"/>
      <c r="R89" s="161"/>
      <c r="S89" s="161"/>
      <c r="T89" s="161"/>
      <c r="U89" s="142"/>
      <c r="V89" s="142"/>
      <c r="W89" s="29"/>
    </row>
    <row r="90" spans="1:23">
      <c r="A90" s="29"/>
      <c r="B90" s="29"/>
      <c r="C90" s="61" t="s">
        <v>206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161"/>
      <c r="L90" s="161"/>
      <c r="M90" s="161"/>
      <c r="N90" s="161"/>
      <c r="O90" s="161">
        <v>1.190045034053195</v>
      </c>
      <c r="P90" s="161"/>
      <c r="Q90" s="161"/>
      <c r="R90" s="161"/>
      <c r="S90" s="161"/>
      <c r="T90" s="161"/>
      <c r="U90" s="142"/>
      <c r="V90" s="142"/>
      <c r="W90" s="29"/>
    </row>
    <row r="91" spans="1:23">
      <c r="A91" s="29"/>
      <c r="B91" s="29"/>
      <c r="C91" s="61" t="s">
        <v>207</v>
      </c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228">
        <f>I85*IF($F85="nominal",LOOKUP($F91,Nominal_to_Real,'Input|Rate of change'!J$26:J$32),INDEX('Input|Rate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2.4809108156852733</v>
      </c>
      <c r="J91" s="228">
        <f>J85*IF($F85="nominal",LOOKUP($F91,Nominal_to_Real,'Input|Rate of change'!K$26:K$32),INDEX('Input|Rate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3.1132885482635544</v>
      </c>
      <c r="K91" s="228">
        <f>K85*IF($F85="nominal",LOOKUP($F91,Nominal_to_Real,'Input|Rate of change'!L$26:L$32),INDEX('Input|Rate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2.9300380555622825</v>
      </c>
      <c r="L91" s="228">
        <f>L85*IF($F85="nominal",LOOKUP($F91,Nominal_to_Real,'Input|Rate of change'!M$26:M$32),INDEX('Input|Rate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2.2827661364749723</v>
      </c>
      <c r="M91" s="228">
        <f>M85*IF($F85="nominal",LOOKUP($F91,Nominal_to_Real,'Input|Rate of change'!N$26:N$32),INDEX('Input|Rate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3.1329532328759835</v>
      </c>
      <c r="N91" s="161"/>
      <c r="O91" s="230">
        <f>AVERAGE(I91:M91)</f>
        <v>2.7879913577724134</v>
      </c>
      <c r="P91" s="161"/>
      <c r="Q91" s="161"/>
      <c r="R91" s="161"/>
      <c r="S91" s="161"/>
      <c r="T91" s="161"/>
      <c r="U91" s="142"/>
      <c r="V91" s="142"/>
      <c r="W91" s="29"/>
    </row>
    <row r="92" spans="1:23">
      <c r="A92" s="29"/>
      <c r="B92" s="29"/>
      <c r="C92" s="61" t="s">
        <v>239</v>
      </c>
      <c r="D92" s="30" t="s">
        <v>34</v>
      </c>
      <c r="E92" s="30" t="str">
        <f t="shared" si="16"/>
        <v>$millions</v>
      </c>
      <c r="F92" s="169">
        <v>44348</v>
      </c>
      <c r="G92" s="32"/>
      <c r="H92" s="32"/>
      <c r="I92" s="32"/>
      <c r="J92" s="161"/>
      <c r="K92" s="161"/>
      <c r="L92" s="161"/>
      <c r="M92" s="228">
        <f>-M86*IF($F86="nominal",LOOKUP($F92,Nominal_to_Real,'Input|Rate of change'!N$26:N$32),INDEX('Input|Rate of change'!$C$14:$P$22,MATCH('Calc|Opex forecast'!$F90,'Input|Rate of change'!$C$14:$C$22,0),MATCH('Calc|Opex forecast'!$F91,'Input|Rate of change'!$C$14:$P$14,0)))*IF($E86="$millions",1000000,IF($E88="$000",1000,1))/IF($E92="$millions",1000000,IF($E92="$000",1000,1))</f>
        <v>-2.787980097947754</v>
      </c>
      <c r="N92" s="161"/>
      <c r="O92" s="230">
        <f>M92</f>
        <v>-2.787980097947754</v>
      </c>
      <c r="P92" s="161"/>
      <c r="Q92" s="161"/>
      <c r="R92" s="161"/>
      <c r="S92" s="161"/>
      <c r="T92" s="161"/>
      <c r="U92" s="142"/>
      <c r="V92" s="142"/>
      <c r="W92" s="29"/>
    </row>
    <row r="93" spans="1:23" s="102" customFormat="1">
      <c r="A93" s="195"/>
      <c r="B93" s="195"/>
      <c r="C93" s="196"/>
      <c r="D93" s="105"/>
      <c r="E93" s="105"/>
      <c r="F93" s="197"/>
      <c r="G93" s="198"/>
      <c r="H93" s="198"/>
      <c r="I93" s="198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62"/>
      <c r="V93" s="162"/>
      <c r="W93" s="195"/>
    </row>
    <row r="94" spans="1:23">
      <c r="A94" s="29"/>
      <c r="B94" s="29"/>
      <c r="C94" s="61" t="s">
        <v>175</v>
      </c>
      <c r="D94" s="30" t="s">
        <v>34</v>
      </c>
      <c r="E94" s="30" t="str">
        <f t="shared" si="16"/>
        <v>$millions</v>
      </c>
      <c r="F94" s="169">
        <v>44348</v>
      </c>
      <c r="G94" s="32"/>
      <c r="H94" s="32"/>
      <c r="I94" s="32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42"/>
      <c r="V94" s="142"/>
      <c r="W94" s="29"/>
    </row>
    <row r="95" spans="1:23" s="102" customFormat="1">
      <c r="A95" s="195"/>
      <c r="B95" s="195"/>
      <c r="C95" s="196"/>
      <c r="D95" s="105"/>
      <c r="E95" s="105"/>
      <c r="F95" s="197"/>
      <c r="G95" s="198"/>
      <c r="H95" s="198"/>
      <c r="I95" s="198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62"/>
      <c r="V95" s="162"/>
      <c r="W95" s="195"/>
    </row>
    <row r="96" spans="1:23">
      <c r="A96" s="29"/>
      <c r="B96" s="29"/>
      <c r="C96" s="61" t="s">
        <v>88</v>
      </c>
      <c r="D96" s="30" t="s">
        <v>34</v>
      </c>
      <c r="E96" s="30" t="s">
        <v>31</v>
      </c>
      <c r="F96" s="32"/>
      <c r="G96" s="32"/>
      <c r="H96" s="32"/>
      <c r="I96" s="32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142"/>
      <c r="V96" s="142"/>
      <c r="W96" s="29"/>
    </row>
    <row r="97" spans="1:23">
      <c r="A97" s="29"/>
      <c r="B97" s="29"/>
      <c r="C97" s="111"/>
      <c r="D97" s="30"/>
      <c r="E97" s="30"/>
      <c r="F97" s="30"/>
      <c r="G97" s="32"/>
      <c r="H97" s="32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8"/>
      <c r="W98" s="98"/>
    </row>
    <row r="99" spans="1:23"/>
  </sheetData>
  <conditionalFormatting sqref="W60 W74:W77 W64:W68">
    <cfRule type="cellIs" dxfId="239" priority="81" operator="equal">
      <formula>"Check"</formula>
    </cfRule>
    <cfRule type="cellIs" dxfId="238" priority="82" operator="equal">
      <formula>"Ok"</formula>
    </cfRule>
  </conditionalFormatting>
  <conditionalFormatting sqref="W79">
    <cfRule type="cellIs" dxfId="237" priority="79" operator="equal">
      <formula>"Check"</formula>
    </cfRule>
    <cfRule type="cellIs" dxfId="236" priority="80" operator="equal">
      <formula>"Ok"</formula>
    </cfRule>
  </conditionalFormatting>
  <conditionalFormatting sqref="W15">
    <cfRule type="cellIs" dxfId="235" priority="77" operator="equal">
      <formula>"Check"</formula>
    </cfRule>
    <cfRule type="cellIs" dxfId="234" priority="78" operator="equal">
      <formula>"Ok"</formula>
    </cfRule>
  </conditionalFormatting>
  <conditionalFormatting sqref="V1">
    <cfRule type="cellIs" dxfId="233" priority="75" operator="equal">
      <formula>"Check"</formula>
    </cfRule>
    <cfRule type="cellIs" dxfId="232" priority="76" operator="equal">
      <formula>"Ok"</formula>
    </cfRule>
  </conditionalFormatting>
  <conditionalFormatting sqref="S1:T1">
    <cfRule type="cellIs" dxfId="231" priority="73" operator="equal">
      <formula>"Check"</formula>
    </cfRule>
    <cfRule type="cellIs" dxfId="230" priority="74" operator="equal">
      <formula>"Ok"</formula>
    </cfRule>
  </conditionalFormatting>
  <conditionalFormatting sqref="J15:T15">
    <cfRule type="cellIs" dxfId="229" priority="72" operator="equal">
      <formula>0</formula>
    </cfRule>
  </conditionalFormatting>
  <conditionalFormatting sqref="J79:S79">
    <cfRule type="cellIs" dxfId="228" priority="71" operator="equal">
      <formula>0</formula>
    </cfRule>
  </conditionalFormatting>
  <conditionalFormatting sqref="W71:W73">
    <cfRule type="cellIs" dxfId="227" priority="69" operator="equal">
      <formula>"Check"</formula>
    </cfRule>
    <cfRule type="cellIs" dxfId="226" priority="70" operator="equal">
      <formula>"Ok"</formula>
    </cfRule>
  </conditionalFormatting>
  <conditionalFormatting sqref="J56:T56 N60:T60 J64:T68 J74:S77">
    <cfRule type="expression" dxfId="225" priority="67">
      <formula>J$57=J$4</formula>
    </cfRule>
  </conditionalFormatting>
  <conditionalFormatting sqref="P13:T13 J21:T27 O19:T20">
    <cfRule type="expression" dxfId="224" priority="66">
      <formula>J$10=J$4</formula>
    </cfRule>
  </conditionalFormatting>
  <conditionalFormatting sqref="J60:O60">
    <cfRule type="expression" dxfId="223" priority="63">
      <formula>J$10=J$4</formula>
    </cfRule>
  </conditionalFormatting>
  <conditionalFormatting sqref="W70">
    <cfRule type="cellIs" dxfId="222" priority="61" operator="equal">
      <formula>"Check"</formula>
    </cfRule>
    <cfRule type="cellIs" dxfId="221" priority="62" operator="equal">
      <formula>"Ok"</formula>
    </cfRule>
  </conditionalFormatting>
  <conditionalFormatting sqref="J70:S70">
    <cfRule type="cellIs" dxfId="220" priority="59" operator="equal">
      <formula>0</formula>
    </cfRule>
  </conditionalFormatting>
  <conditionalFormatting sqref="J94:T94 J96:T96 J88:J90 K88:M88 K89:L89 K90:M90 J92:L92 P88:T92 N87:N92 N85">
    <cfRule type="expression" dxfId="219" priority="58">
      <formula>J$83=J$4</formula>
    </cfRule>
  </conditionalFormatting>
  <conditionalFormatting sqref="W29">
    <cfRule type="cellIs" dxfId="218" priority="54" operator="equal">
      <formula>"Check"</formula>
    </cfRule>
    <cfRule type="cellIs" dxfId="217" priority="55" operator="equal">
      <formula>"Ok"</formula>
    </cfRule>
  </conditionalFormatting>
  <conditionalFormatting sqref="J29:T29">
    <cfRule type="cellIs" dxfId="216" priority="53" operator="equal">
      <formula>0</formula>
    </cfRule>
  </conditionalFormatting>
  <conditionalFormatting sqref="O60">
    <cfRule type="expression" dxfId="215" priority="47">
      <formula>O$10=O$4</formula>
    </cfRule>
  </conditionalFormatting>
  <conditionalFormatting sqref="T79">
    <cfRule type="cellIs" dxfId="214" priority="46" operator="equal">
      <formula>0</formula>
    </cfRule>
  </conditionalFormatting>
  <conditionalFormatting sqref="T74:T77">
    <cfRule type="expression" dxfId="213" priority="45">
      <formula>T$57=T$4</formula>
    </cfRule>
  </conditionalFormatting>
  <conditionalFormatting sqref="T70">
    <cfRule type="cellIs" dxfId="212" priority="44" operator="equal">
      <formula>0</formula>
    </cfRule>
  </conditionalFormatting>
  <conditionalFormatting sqref="O12:O13">
    <cfRule type="expression" dxfId="211" priority="42">
      <formula>O$10=O$4</formula>
    </cfRule>
  </conditionalFormatting>
  <conditionalFormatting sqref="W38">
    <cfRule type="cellIs" dxfId="210" priority="40" operator="equal">
      <formula>"Check"</formula>
    </cfRule>
    <cfRule type="cellIs" dxfId="209" priority="41" operator="equal">
      <formula>"Ok"</formula>
    </cfRule>
  </conditionalFormatting>
  <conditionalFormatting sqref="J38:T38">
    <cfRule type="cellIs" dxfId="208" priority="39" operator="equal">
      <formula>0</formula>
    </cfRule>
  </conditionalFormatting>
  <conditionalFormatting sqref="J42:N50 P42:T50">
    <cfRule type="expression" dxfId="207" priority="38">
      <formula>J$33=J$4</formula>
    </cfRule>
  </conditionalFormatting>
  <conditionalFormatting sqref="W52">
    <cfRule type="cellIs" dxfId="206" priority="36" operator="equal">
      <formula>"Check"</formula>
    </cfRule>
    <cfRule type="cellIs" dxfId="205" priority="37" operator="equal">
      <formula>"Ok"</formula>
    </cfRule>
  </conditionalFormatting>
  <conditionalFormatting sqref="J52:T52">
    <cfRule type="cellIs" dxfId="204" priority="35" operator="equal">
      <formula>0</formula>
    </cfRule>
  </conditionalFormatting>
  <conditionalFormatting sqref="J36">
    <cfRule type="expression" dxfId="203" priority="33">
      <formula>J$33=J$4</formula>
    </cfRule>
  </conditionalFormatting>
  <conditionalFormatting sqref="O35">
    <cfRule type="expression" dxfId="202" priority="32">
      <formula>O$10=O$4</formula>
    </cfRule>
  </conditionalFormatting>
  <conditionalFormatting sqref="K36:T36">
    <cfRule type="expression" dxfId="201" priority="30">
      <formula>K$33=K$4</formula>
    </cfRule>
  </conditionalFormatting>
  <conditionalFormatting sqref="O42:O50">
    <cfRule type="expression" dxfId="200" priority="29">
      <formula>O$33=O$4</formula>
    </cfRule>
  </conditionalFormatting>
  <conditionalFormatting sqref="J19:N20">
    <cfRule type="expression" dxfId="199" priority="28">
      <formula>J$10=J$4</formula>
    </cfRule>
  </conditionalFormatting>
  <conditionalFormatting sqref="O88 O90">
    <cfRule type="expression" dxfId="198" priority="27">
      <formula>O$83=O$4</formula>
    </cfRule>
  </conditionalFormatting>
  <conditionalFormatting sqref="O89">
    <cfRule type="cellIs" dxfId="197" priority="24" operator="equal">
      <formula>0</formula>
    </cfRule>
  </conditionalFormatting>
  <conditionalFormatting sqref="O89">
    <cfRule type="cellIs" dxfId="196" priority="23" operator="equal">
      <formula>0</formula>
    </cfRule>
  </conditionalFormatting>
  <conditionalFormatting sqref="J84:L86 J87:M87">
    <cfRule type="expression" dxfId="195" priority="16">
      <formula>J$83=J$4</formula>
    </cfRule>
  </conditionalFormatting>
  <conditionalFormatting sqref="O91">
    <cfRule type="cellIs" dxfId="194" priority="6" operator="equal">
      <formula>0</formula>
    </cfRule>
  </conditionalFormatting>
  <conditionalFormatting sqref="O91">
    <cfRule type="cellIs" dxfId="193" priority="5" operator="equal">
      <formula>0</formula>
    </cfRule>
  </conditionalFormatting>
  <conditionalFormatting sqref="O92">
    <cfRule type="cellIs" dxfId="192" priority="2" operator="equal">
      <formula>0</formula>
    </cfRule>
  </conditionalFormatting>
  <conditionalFormatting sqref="O92">
    <cfRule type="cellIs" dxfId="191" priority="1" operator="equal">
      <formula>0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F36 F38 F52 F88:F95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A37" workbookViewId="0">
      <selection activeCell="Q53" sqref="Q53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7" t="s">
        <v>225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 ca="1"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9"/>
      <c r="L3" s="249"/>
      <c r="M3" s="249"/>
      <c r="N3" s="180"/>
      <c r="O3" s="249"/>
      <c r="P3" s="249"/>
      <c r="Q3" s="249"/>
      <c r="R3" s="249"/>
      <c r="S3" s="249"/>
      <c r="T3" s="24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34" t="s">
        <v>240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3">
        <v>1.3137498473678212E-2</v>
      </c>
      <c r="R39" s="233">
        <v>1.2419523308236181E-2</v>
      </c>
      <c r="S39" s="233">
        <v>1.3751461961990695E-2</v>
      </c>
      <c r="T39" s="233">
        <v>1.6196532715190247E-2</v>
      </c>
      <c r="U39" s="233">
        <v>1.6184913955027823E-2</v>
      </c>
    </row>
    <row r="40" spans="1:50" ht="11.25" customHeight="1" outlineLevel="1">
      <c r="C40" s="234" t="s">
        <v>224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3">
        <f>AVERAGE(Q38:Q39)</f>
        <v>7.762137192630263E-3</v>
      </c>
      <c r="R40" s="233">
        <f t="shared" ref="R40:U40" si="35">AVERAGE(R38:R39)</f>
        <v>4.9608934391037352E-3</v>
      </c>
      <c r="S40" s="233">
        <f t="shared" si="35"/>
        <v>6.512577699459102E-3</v>
      </c>
      <c r="T40" s="233">
        <f t="shared" si="35"/>
        <v>9.9346404822831889E-3</v>
      </c>
      <c r="U40" s="233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35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3">
        <v>0.59199999999999997</v>
      </c>
      <c r="R53" s="233">
        <v>0.59199999999999997</v>
      </c>
      <c r="S53" s="233">
        <v>0.59199999999999997</v>
      </c>
      <c r="T53" s="233">
        <v>0.59199999999999997</v>
      </c>
      <c r="U53" s="233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880121.6032931275</v>
      </c>
      <c r="Q66" s="194">
        <v>888396.4607707836</v>
      </c>
      <c r="R66" s="194">
        <v>903125.34191961354</v>
      </c>
      <c r="S66" s="194">
        <v>922089.92647309322</v>
      </c>
      <c r="T66" s="194">
        <v>940970.4853925365</v>
      </c>
      <c r="U66" s="194">
        <v>959726.23127424764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76525.406826970167</v>
      </c>
      <c r="Q67" s="194">
        <v>76850.785588484214</v>
      </c>
      <c r="R67" s="194">
        <v>77312.313295204527</v>
      </c>
      <c r="S67" s="194">
        <v>77803.185152502541</v>
      </c>
      <c r="T67" s="194">
        <v>78325.154892489067</v>
      </c>
      <c r="U67" s="194">
        <v>78880.081102392229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2574.01467</v>
      </c>
      <c r="Q68" s="194">
        <v>2574.01467</v>
      </c>
      <c r="R68" s="194">
        <v>2579.5769587330001</v>
      </c>
      <c r="S68" s="194">
        <v>2579.5769587330001</v>
      </c>
      <c r="T68" s="194">
        <v>2579.5769587330001</v>
      </c>
      <c r="U68" s="194">
        <v>2579.5769587330001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10892.98057585585</v>
      </c>
      <c r="Q69" s="194">
        <v>10929.385066208704</v>
      </c>
      <c r="R69" s="194">
        <v>10978.140919997155</v>
      </c>
      <c r="S69" s="194">
        <v>11027.11427305608</v>
      </c>
      <c r="T69" s="194">
        <v>11076.30609564708</v>
      </c>
      <c r="U69" s="194">
        <v>11125.717362360077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9.3580247024860341E-3</v>
      </c>
      <c r="R77" s="117">
        <f t="shared" si="45"/>
        <v>1.6443241708470779E-2</v>
      </c>
      <c r="S77" s="117">
        <f t="shared" si="45"/>
        <v>2.0781403039288548E-2</v>
      </c>
      <c r="T77" s="117">
        <f t="shared" si="45"/>
        <v>2.0269021005962173E-2</v>
      </c>
      <c r="U77" s="117">
        <f t="shared" si="45"/>
        <v>1.9736294093464224E-2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4.2428912142806752E-3</v>
      </c>
      <c r="R78" s="117">
        <f t="shared" si="47"/>
        <v>5.9875429191720286E-3</v>
      </c>
      <c r="S78" s="117">
        <f t="shared" si="47"/>
        <v>6.3291353967773745E-3</v>
      </c>
      <c r="T78" s="117">
        <f t="shared" si="47"/>
        <v>6.6864437877587335E-3</v>
      </c>
      <c r="U78" s="117">
        <f t="shared" si="47"/>
        <v>7.059924070592416E-3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2.1586075473347677E-3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3.3364415866472541E-3</v>
      </c>
      <c r="R80" s="117">
        <f t="shared" si="49"/>
        <v>4.4510671186728246E-3</v>
      </c>
      <c r="S80" s="117">
        <f t="shared" si="49"/>
        <v>4.4510671186728246E-3</v>
      </c>
      <c r="T80" s="117">
        <f t="shared" si="49"/>
        <v>4.4510671186710482E-3</v>
      </c>
      <c r="U80" s="117">
        <f t="shared" si="49"/>
        <v>4.4510671186728246E-3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196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6.9499440519998588E-3</v>
      </c>
      <c r="R97" s="117">
        <f t="shared" si="54"/>
        <v>1.2368355677016572E-2</v>
      </c>
      <c r="S97" s="117">
        <f t="shared" si="54"/>
        <v>1.4967333687226296E-2</v>
      </c>
      <c r="T97" s="117">
        <f>IF(T$95=T$4,SUMPRODUCT(T$77:T$82,$J$86:$J$91),"")</f>
        <v>1.467571658751431E-2</v>
      </c>
      <c r="U97" s="117">
        <f>IF(U$95=U$4,SUMPRODUCT(U$77:U$82,$J$86:$J$91),"")</f>
        <v>1.4372819657068263E-2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7.1125519053061928E-3</v>
      </c>
      <c r="R98" s="117">
        <f t="shared" si="55"/>
        <v>1.2603429284541192E-2</v>
      </c>
      <c r="S98" s="117">
        <f t="shared" si="55"/>
        <v>1.5313590863328013E-2</v>
      </c>
      <c r="T98" s="117">
        <f>IF(T$95=T$4,SUMPRODUCT(T$77:T$82,$K$86:$K$91),"")</f>
        <v>1.5015900636986178E-2</v>
      </c>
      <c r="U98" s="117">
        <f>IF(U$95=U$4,SUMPRODUCT(U$77:U$82,$K$86:$K$91),"")</f>
        <v>1.4706698962827763E-2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4.449166155535241E-3</v>
      </c>
      <c r="R99" s="117">
        <f t="shared" si="56"/>
        <v>8.3898289361666479E-3</v>
      </c>
      <c r="S99" s="117">
        <f t="shared" si="56"/>
        <v>9.2257875033680964E-3</v>
      </c>
      <c r="T99" s="117">
        <f>IF(T$95=T$4,SUMPRODUCT(T$77:T$82,$L$86:$L$91),"")</f>
        <v>9.1069449772523924E-3</v>
      </c>
      <c r="U99" s="117">
        <f>IF(U$95=U$4,SUMPRODUCT(U$77:U$82,$L$86:$L$91),"")</f>
        <v>8.9838035418070283E-3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7.0501962682500315E-3</v>
      </c>
      <c r="R100" s="117">
        <f t="shared" si="57"/>
        <v>1.2592922253391179E-2</v>
      </c>
      <c r="S100" s="117">
        <f t="shared" si="57"/>
        <v>1.5273786387877268E-2</v>
      </c>
      <c r="T100" s="117">
        <f>IF(T$95=T$4,SUMPRODUCT(T$77:T$82,$M$86:$M$91),"")</f>
        <v>1.496070144400318E-2</v>
      </c>
      <c r="U100" s="117">
        <f>IF(U$95=U$4,SUMPRODUCT(U$77:U$82,$M$86:$M$91),"")</f>
        <v>1.4635430478904886E-2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3.6800404843042043E-3</v>
      </c>
      <c r="R101" s="117">
        <f t="shared" ref="R101:U101" si="58">IF(R$95=R$4,SUMPRODUCT(R$77:R$82,$N$86:$N$91),"")</f>
        <v>6.4994601297350667E-3</v>
      </c>
      <c r="S101" s="117">
        <f t="shared" si="58"/>
        <v>6.7078409959570326E-3</v>
      </c>
      <c r="T101" s="117">
        <f t="shared" si="58"/>
        <v>6.7527983476149394E-3</v>
      </c>
      <c r="U101" s="117">
        <f t="shared" si="58"/>
        <v>6.8003175061215754E-3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60"/>
  <sheetViews>
    <sheetView showGridLines="0" tabSelected="1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7" t="s">
        <v>225</v>
      </c>
      <c r="R1" s="72" t="s">
        <v>81</v>
      </c>
      <c r="S1" s="76" t="str">
        <f ca="1">IF(COUNTA($X$8:$X$237)=COUNTIF($X$8:$X$237,"OK"),"OK","Check")</f>
        <v>OK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  <c r="P2" s="245" t="s">
        <v>256</v>
      </c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9"/>
      <c r="O3" s="249"/>
      <c r="P3" s="249"/>
      <c r="Q3" s="249"/>
      <c r="R3" s="249"/>
      <c r="S3" s="249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7" t="str">
        <f>[3]Output!$B7</f>
        <v>Increasing insurance premiums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36">
        <f>IF($C12="",0,INDEX([3]Output!M$7:M$18,MATCH($C12,[3]Output!$B$7:$B$18,0))/1000)</f>
        <v>5.6167702237106703</v>
      </c>
      <c r="Q12" s="236">
        <f>IF($C12="",0,INDEX([3]Output!N$7:N$18,MATCH($C12,[3]Output!$B$7:$B$18,0))/1000)</f>
        <v>5.6167702237106703</v>
      </c>
      <c r="R12" s="236">
        <f>IF($C12="",0,INDEX([3]Output!O$7:O$18,MATCH($C12,[3]Output!$B$7:$B$18,0))/1000)</f>
        <v>5.6167702237106703</v>
      </c>
      <c r="S12" s="236">
        <f>IF($C12="",0,INDEX([3]Output!P$7:P$18,MATCH($C12,[3]Output!$B$7:$B$18,0))/1000)</f>
        <v>5.6167702237106703</v>
      </c>
      <c r="T12" s="236">
        <f>IF($C12="",0,INDEX([3]Output!Q$7:Q$18,MATCH($C12,[3]Output!$B$7:$B$18,0))/1000)</f>
        <v>5.6167702237106703</v>
      </c>
    </row>
    <row r="13" spans="1:48" outlineLevel="1">
      <c r="C13" s="237" t="s">
        <v>238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36">
        <f>IF($C13="",0,INDEX([3]Output!M$7:M$18,MATCH($C13,[3]Output!$B$7:$B$18,0))/1000)</f>
        <v>2.4161422739717571</v>
      </c>
      <c r="Q13" s="236">
        <f>IF($C13="",0,INDEX([3]Output!N$7:N$18,MATCH($C13,[3]Output!$B$7:$B$18,0))/1000)</f>
        <v>1.7097629208919105</v>
      </c>
      <c r="R13" s="236">
        <f>IF($C13="",0,INDEX([3]Output!O$7:O$18,MATCH($C13,[3]Output!$B$7:$B$18,0))/1000)</f>
        <v>1.6528670470000197</v>
      </c>
      <c r="S13" s="236">
        <f>IF($C13="",0,INDEX([3]Output!P$7:P$18,MATCH($C13,[3]Output!$B$7:$B$18,0))/1000)</f>
        <v>1.53433992411364</v>
      </c>
      <c r="T13" s="236">
        <f>IF($C13="",0,INDEX([3]Output!Q$7:Q$18,MATCH($C13,[3]Output!$B$7:$B$18,0))/1000)</f>
        <v>1.5462167137960172</v>
      </c>
    </row>
    <row r="14" spans="1:48" outlineLevel="1">
      <c r="C14" s="237" t="str">
        <f>[3]Output!$B9</f>
        <v>IT cloud solutions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36">
        <f>IF($C14="",0,INDEX([3]Output!M$7:M$18,MATCH($C14,[3]Output!$B$7:$B$18,0))/1000)</f>
        <v>0.83068560383111589</v>
      </c>
      <c r="Q14" s="236">
        <f>IF($C14="",0,INDEX([3]Output!N$7:N$18,MATCH($C14,[3]Output!$B$7:$B$18,0))/1000)</f>
        <v>0.82196714935313087</v>
      </c>
      <c r="R14" s="236">
        <f>IF($C14="",0,INDEX([3]Output!O$7:O$18,MATCH($C14,[3]Output!$B$7:$B$18,0))/1000)</f>
        <v>1.1759294126678221</v>
      </c>
      <c r="S14" s="236">
        <f>IF($C14="",0,INDEX([3]Output!P$7:P$18,MATCH($C14,[3]Output!$B$7:$B$18,0))/1000)</f>
        <v>1.3956344563719942</v>
      </c>
      <c r="T14" s="236">
        <f>IF($C14="",0,INDEX([3]Output!Q$7:Q$18,MATCH($C14,[3]Output!$B$7:$B$18,0))/1000)</f>
        <v>1.390604920568133</v>
      </c>
    </row>
    <row r="15" spans="1:48" outlineLevel="1">
      <c r="C15" s="237" t="str">
        <f>[3]Output!$B10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36">
        <f>IF($C15="",0,INDEX([3]Output!M$7:M$18,MATCH($C15,[3]Output!$B$7:$B$18,0))/1000)</f>
        <v>1.096154796349029</v>
      </c>
      <c r="Q15" s="236">
        <f>IF($C15="",0,INDEX([3]Output!N$7:N$18,MATCH($C15,[3]Output!$B$7:$B$18,0))/1000)</f>
        <v>1.0370107590207527</v>
      </c>
      <c r="R15" s="236">
        <f>IF($C15="",0,INDEX([3]Output!O$7:O$18,MATCH($C15,[3]Output!$B$7:$B$18,0))/1000)</f>
        <v>1.1714861059625665</v>
      </c>
      <c r="S15" s="236">
        <f>IF($C15="",0,INDEX([3]Output!P$7:P$18,MATCH($C15,[3]Output!$B$7:$B$18,0))/1000)</f>
        <v>0.72966001040777151</v>
      </c>
      <c r="T15" s="236">
        <f>IF($C15="",0,INDEX([3]Output!Q$7:Q$18,MATCH($C15,[3]Output!$B$7:$B$18,0))/1000)</f>
        <v>0.74889535596604084</v>
      </c>
    </row>
    <row r="16" spans="1:48" outlineLevel="1">
      <c r="C16" s="237" t="str">
        <f>[3]Output!$B11</f>
        <v>5 minute settlement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36">
        <f>IF($C16="",0,INDEX([3]Output!M$7:M$18,MATCH($C16,[3]Output!$B$7:$B$18,0))/1000)</f>
        <v>0.50496484412224807</v>
      </c>
      <c r="Q16" s="236">
        <f>IF($C16="",0,INDEX([3]Output!N$7:N$18,MATCH($C16,[3]Output!$B$7:$B$18,0))/1000)</f>
        <v>0.70515332795959429</v>
      </c>
      <c r="R16" s="236">
        <f>IF($C16="",0,INDEX([3]Output!O$7:O$18,MATCH($C16,[3]Output!$B$7:$B$18,0))/1000)</f>
        <v>0.89557656441694089</v>
      </c>
      <c r="S16" s="236">
        <f>IF($C16="",0,INDEX([3]Output!P$7:P$18,MATCH($C16,[3]Output!$B$7:$B$18,0))/1000)</f>
        <v>1.0919039308815746</v>
      </c>
      <c r="T16" s="236">
        <f>IF($C16="",0,INDEX([3]Output!Q$7:Q$18,MATCH($C16,[3]Output!$B$7:$B$18,0))/1000)</f>
        <v>1.3014108705527336</v>
      </c>
    </row>
    <row r="17" spans="1:48" outlineLevel="1">
      <c r="C17" s="237" t="str">
        <f>[3]Output!$B12</f>
        <v>REFCL on-going operating expenditure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36">
        <f>IF($C17="",0,INDEX([3]Output!M$7:M$18,MATCH($C17,[3]Output!$B$7:$B$18,0))/1000)</f>
        <v>0.29831194263240302</v>
      </c>
      <c r="Q17" s="236">
        <f>IF($C17="",0,INDEX([3]Output!N$7:N$18,MATCH($C17,[3]Output!$B$7:$B$18,0))/1000)</f>
        <v>0.39540999388132414</v>
      </c>
      <c r="R17" s="236">
        <f>IF($C17="",0,INDEX([3]Output!O$7:O$18,MATCH($C17,[3]Output!$B$7:$B$18,0))/1000)</f>
        <v>0.91033224283276937</v>
      </c>
      <c r="S17" s="236">
        <f>IF($C17="",0,INDEX([3]Output!P$7:P$18,MATCH($C17,[3]Output!$B$7:$B$18,0))/1000)</f>
        <v>1.0295936271080479</v>
      </c>
      <c r="T17" s="236">
        <f>IF($C17="",0,INDEX([3]Output!Q$7:Q$18,MATCH($C17,[3]Output!$B$7:$B$18,0))/1000)</f>
        <v>1.0375633519228034</v>
      </c>
    </row>
    <row r="18" spans="1:48" outlineLevel="1">
      <c r="C18" s="237" t="str">
        <f>[3]Output!$B13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36">
        <f>IF($C18="",0,INDEX([3]Output!M$7:M$18,MATCH($C18,[3]Output!$B$7:$B$18,0))/1000)</f>
        <v>0</v>
      </c>
      <c r="Q18" s="236">
        <f>IF($C18="",0,INDEX([3]Output!N$7:N$18,MATCH($C18,[3]Output!$B$7:$B$18,0))/1000)</f>
        <v>0</v>
      </c>
      <c r="R18" s="236">
        <f>IF($C18="",0,INDEX([3]Output!O$7:O$18,MATCH($C18,[3]Output!$B$7:$B$18,0))/1000)</f>
        <v>0</v>
      </c>
      <c r="S18" s="236">
        <f>IF($C18="",0,INDEX([3]Output!P$7:P$18,MATCH($C18,[3]Output!$B$7:$B$18,0))/1000)</f>
        <v>0</v>
      </c>
      <c r="T18" s="236">
        <f>IF($C18="",0,INDEX([3]Output!Q$7:Q$18,MATCH($C18,[3]Output!$B$7:$B$18,0))/1000)</f>
        <v>0</v>
      </c>
    </row>
    <row r="19" spans="1:48" outlineLevel="1">
      <c r="C19" s="237" t="str">
        <f>[3]Output!$B14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36">
        <f>IF($C19="",0,INDEX([3]Output!M$7:M$18,MATCH($C19,[3]Output!$B$7:$B$18,0))/1000)</f>
        <v>0</v>
      </c>
      <c r="Q19" s="236">
        <f>IF($C19="",0,INDEX([3]Output!N$7:N$18,MATCH($C19,[3]Output!$B$7:$B$18,0))/1000)</f>
        <v>0</v>
      </c>
      <c r="R19" s="236">
        <f>IF($C19="",0,INDEX([3]Output!O$7:O$18,MATCH($C19,[3]Output!$B$7:$B$18,0))/1000)</f>
        <v>0</v>
      </c>
      <c r="S19" s="236">
        <f>IF($C19="",0,INDEX([3]Output!P$7:P$18,MATCH($C19,[3]Output!$B$7:$B$18,0))/1000)</f>
        <v>0</v>
      </c>
      <c r="T19" s="236">
        <f>IF($C19="",0,INDEX([3]Output!Q$7:Q$18,MATCH($C19,[3]Output!$B$7:$B$18,0))/1000)</f>
        <v>0</v>
      </c>
    </row>
    <row r="20" spans="1:48" outlineLevel="1">
      <c r="C20" s="237" t="str">
        <f>[3]Output!$B15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36">
        <f>IF($C20="",0,INDEX([3]Output!M$7:M$18,MATCH($C20,[3]Output!$B$7:$B$18,0))/1000)</f>
        <v>0</v>
      </c>
      <c r="Q20" s="236">
        <f>IF($C20="",0,INDEX([3]Output!N$7:N$18,MATCH($C20,[3]Output!$B$7:$B$18,0))/1000)</f>
        <v>0</v>
      </c>
      <c r="R20" s="236">
        <f>IF($C20="",0,INDEX([3]Output!O$7:O$18,MATCH($C20,[3]Output!$B$7:$B$18,0))/1000)</f>
        <v>0</v>
      </c>
      <c r="S20" s="236">
        <f>IF($C20="",0,INDEX([3]Output!P$7:P$18,MATCH($C20,[3]Output!$B$7:$B$18,0))/1000)</f>
        <v>0</v>
      </c>
      <c r="T20" s="236">
        <f>IF($C20="",0,INDEX([3]Output!Q$7:Q$18,MATCH($C20,[3]Output!$B$7:$B$18,0))/1000)</f>
        <v>0</v>
      </c>
    </row>
    <row r="21" spans="1:48" outlineLevel="1">
      <c r="C21" s="237" t="str">
        <f>[3]Output!$B16</f>
        <v/>
      </c>
      <c r="D21" s="30" t="s">
        <v>68</v>
      </c>
      <c r="E21" s="148" t="s">
        <v>15</v>
      </c>
      <c r="F21" s="169">
        <v>44348</v>
      </c>
      <c r="G21" s="32"/>
      <c r="H21" s="32"/>
      <c r="J21" s="150"/>
      <c r="K21" s="150"/>
      <c r="L21" s="150"/>
      <c r="M21" s="150"/>
      <c r="N21" s="150"/>
      <c r="O21" s="168"/>
      <c r="P21" s="236">
        <f>IF($C21="",0,INDEX([3]Output!M$7:M$18,MATCH($C21,[3]Output!$B$7:$B$18,0))/1000)</f>
        <v>0</v>
      </c>
      <c r="Q21" s="236">
        <f>IF($C21="",0,INDEX([3]Output!N$7:N$18,MATCH($C21,[3]Output!$B$7:$B$18,0))/1000)</f>
        <v>0</v>
      </c>
      <c r="R21" s="236">
        <f>IF($C21="",0,INDEX([3]Output!O$7:O$18,MATCH($C21,[3]Output!$B$7:$B$18,0))/1000)</f>
        <v>0</v>
      </c>
      <c r="S21" s="236">
        <f>IF($C21="",0,INDEX([3]Output!P$7:P$18,MATCH($C21,[3]Output!$B$7:$B$18,0))/1000)</f>
        <v>0</v>
      </c>
      <c r="T21" s="236">
        <f>IF($C21="",0,INDEX([3]Output!Q$7:Q$18,MATCH($C21,[3]Output!$B$7:$B$18,0))/1000)</f>
        <v>0</v>
      </c>
    </row>
    <row r="22" spans="1:48" outlineLevel="1">
      <c r="C22" s="237" t="str">
        <f>[3]Output!$B17</f>
        <v/>
      </c>
      <c r="D22" s="30" t="s">
        <v>68</v>
      </c>
      <c r="E22" s="148" t="s">
        <v>15</v>
      </c>
      <c r="F22" s="169">
        <v>44348</v>
      </c>
      <c r="G22" s="32"/>
      <c r="H22" s="32"/>
      <c r="J22" s="150"/>
      <c r="K22" s="150"/>
      <c r="L22" s="150"/>
      <c r="M22" s="150"/>
      <c r="N22" s="150"/>
      <c r="O22" s="168"/>
      <c r="P22" s="236">
        <f>IF($C22="",0,INDEX([3]Output!M$7:M$18,MATCH($C22,[3]Output!$B$7:$B$18,0))/1000)</f>
        <v>0</v>
      </c>
      <c r="Q22" s="236">
        <f>IF($C22="",0,INDEX([3]Output!N$7:N$18,MATCH($C22,[3]Output!$B$7:$B$18,0))/1000)</f>
        <v>0</v>
      </c>
      <c r="R22" s="236">
        <f>IF($C22="",0,INDEX([3]Output!O$7:O$18,MATCH($C22,[3]Output!$B$7:$B$18,0))/1000)</f>
        <v>0</v>
      </c>
      <c r="S22" s="236">
        <f>IF($C22="",0,INDEX([3]Output!P$7:P$18,MATCH($C22,[3]Output!$B$7:$B$18,0))/1000)</f>
        <v>0</v>
      </c>
      <c r="T22" s="236">
        <f>IF($C22="",0,INDEX([3]Output!Q$7:Q$18,MATCH($C22,[3]Output!$B$7:$B$18,0))/1000)</f>
        <v>0</v>
      </c>
    </row>
    <row r="23" spans="1:48" outlineLevel="1">
      <c r="G23" s="32"/>
      <c r="H23" s="32"/>
    </row>
    <row r="24" spans="1:48" outlineLevel="1">
      <c r="C24" s="29" t="s">
        <v>40</v>
      </c>
      <c r="D24" s="30" t="s">
        <v>97</v>
      </c>
      <c r="E24" s="30" t="s">
        <v>28</v>
      </c>
      <c r="F24" s="30" t="s">
        <v>36</v>
      </c>
      <c r="J24" s="132" t="str">
        <f t="shared" ref="J24:T24" si="2">IF(J10=J4,IF(COUNTA($C12:$C22)=COUNT(J12:J22),"Ok","Check"),"")</f>
        <v/>
      </c>
      <c r="K24" s="132" t="str">
        <f t="shared" si="2"/>
        <v/>
      </c>
      <c r="L24" s="132" t="str">
        <f t="shared" si="2"/>
        <v/>
      </c>
      <c r="M24" s="132" t="str">
        <f t="shared" si="2"/>
        <v/>
      </c>
      <c r="N24" s="132" t="str">
        <f t="shared" si="2"/>
        <v/>
      </c>
      <c r="O24" s="132" t="str">
        <f t="shared" si="2"/>
        <v/>
      </c>
      <c r="P24" s="132" t="str">
        <f t="shared" si="2"/>
        <v>Ok</v>
      </c>
      <c r="Q24" s="132" t="str">
        <f t="shared" si="2"/>
        <v>Ok</v>
      </c>
      <c r="R24" s="132" t="str">
        <f t="shared" si="2"/>
        <v>Ok</v>
      </c>
      <c r="S24" s="132" t="str">
        <f t="shared" si="2"/>
        <v>Ok</v>
      </c>
      <c r="T24" s="132" t="str">
        <f t="shared" si="2"/>
        <v>Ok</v>
      </c>
      <c r="U24" s="132"/>
      <c r="V24" s="24"/>
      <c r="X24" s="131" t="str">
        <f>IF(COUNTIF(J24:U24,"Check")=0,"Ok","Check")</f>
        <v>Ok</v>
      </c>
    </row>
    <row r="25" spans="1:48">
      <c r="G25" s="32"/>
      <c r="H25" s="32"/>
    </row>
    <row r="26" spans="1:48" s="103" customFormat="1" ht="12.75">
      <c r="A26" s="94"/>
      <c r="B26" s="95" t="s">
        <v>113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9"/>
      <c r="Z26" s="99"/>
      <c r="AA26" s="99"/>
      <c r="AB26" s="99"/>
      <c r="AC26" s="100"/>
      <c r="AD26" s="101"/>
      <c r="AE26" s="101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</row>
    <row r="27" spans="1:48" outlineLevel="1">
      <c r="G27" s="32"/>
      <c r="H27" s="32"/>
    </row>
    <row r="28" spans="1:48" outlineLevel="1">
      <c r="C28" s="67" t="s">
        <v>109</v>
      </c>
      <c r="D28" s="32" t="s">
        <v>7</v>
      </c>
      <c r="E28" s="32" t="s">
        <v>8</v>
      </c>
      <c r="F28" s="32" t="s">
        <v>22</v>
      </c>
      <c r="G28" s="32"/>
      <c r="H28" s="32"/>
      <c r="J28" s="160" t="str">
        <f t="shared" ref="J28:N28" si="3">IF(YEAR(J$4)&gt;=FPFirstYear,IF(YEAR(J$4)&lt;=FPLastYear,J$4,""),"")</f>
        <v/>
      </c>
      <c r="K28" s="160" t="str">
        <f t="shared" si="3"/>
        <v/>
      </c>
      <c r="L28" s="160" t="str">
        <f t="shared" si="3"/>
        <v/>
      </c>
      <c r="M28" s="160" t="str">
        <f t="shared" si="3"/>
        <v/>
      </c>
      <c r="N28" s="160" t="str">
        <f t="shared" si="3"/>
        <v/>
      </c>
      <c r="O28" s="160"/>
      <c r="P28" s="160">
        <f t="shared" ref="P28:T28" si="4">P$4</f>
        <v>44713</v>
      </c>
      <c r="Q28" s="160">
        <f t="shared" si="4"/>
        <v>45078</v>
      </c>
      <c r="R28" s="160">
        <f t="shared" si="4"/>
        <v>45444</v>
      </c>
      <c r="S28" s="160">
        <f t="shared" si="4"/>
        <v>45809</v>
      </c>
      <c r="T28" s="160">
        <f t="shared" si="4"/>
        <v>46174</v>
      </c>
    </row>
    <row r="29" spans="1:48" outlineLevel="1">
      <c r="G29" s="32"/>
      <c r="H29" s="32"/>
    </row>
    <row r="30" spans="1:48" outlineLevel="1">
      <c r="C30" s="244" t="str">
        <f ca="1">[4]Output!$B$7</f>
        <v>GSL payment</v>
      </c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243">
        <f>[4]Output!M$7</f>
        <v>2.8944685902263974</v>
      </c>
      <c r="Q30" s="243">
        <f>[4]Output!N$7</f>
        <v>2.8944685902263974</v>
      </c>
      <c r="R30" s="243">
        <f>[4]Output!O$7</f>
        <v>2.8944685902263974</v>
      </c>
      <c r="S30" s="243">
        <f>[4]Output!P$7</f>
        <v>2.8944685902263974</v>
      </c>
      <c r="T30" s="243">
        <f>[4]Output!Q$7</f>
        <v>2.8944685902263974</v>
      </c>
    </row>
    <row r="31" spans="1:48" outlineLevel="1">
      <c r="C31" s="61"/>
      <c r="D31" s="30" t="s">
        <v>68</v>
      </c>
      <c r="E31" s="148" t="s">
        <v>15</v>
      </c>
      <c r="F31" s="169">
        <v>44348</v>
      </c>
      <c r="G31" s="32"/>
      <c r="H31" s="32"/>
      <c r="J31" s="150"/>
      <c r="K31" s="150"/>
      <c r="L31" s="150"/>
      <c r="M31" s="150"/>
      <c r="N31" s="168"/>
      <c r="O31" s="168"/>
      <c r="P31" s="168"/>
      <c r="Q31" s="168"/>
      <c r="R31" s="168"/>
      <c r="S31" s="168"/>
      <c r="T31" s="168"/>
    </row>
    <row r="32" spans="1:48" outlineLevel="1">
      <c r="C32" s="61"/>
      <c r="D32" s="30" t="s">
        <v>68</v>
      </c>
      <c r="E32" s="148" t="s">
        <v>15</v>
      </c>
      <c r="F32" s="169">
        <v>44348</v>
      </c>
      <c r="G32" s="32"/>
      <c r="H32" s="32"/>
      <c r="J32" s="150"/>
      <c r="K32" s="150"/>
      <c r="L32" s="150"/>
      <c r="M32" s="150"/>
      <c r="N32" s="168"/>
      <c r="O32" s="168"/>
      <c r="P32" s="168"/>
      <c r="Q32" s="168"/>
      <c r="R32" s="168"/>
      <c r="S32" s="168"/>
      <c r="T32" s="168"/>
    </row>
    <row r="33" spans="1:48" outlineLevel="1">
      <c r="G33" s="32"/>
      <c r="H33" s="32"/>
    </row>
    <row r="34" spans="1:48" outlineLevel="1">
      <c r="C34" s="29" t="s">
        <v>40</v>
      </c>
      <c r="D34" s="30" t="s">
        <v>97</v>
      </c>
      <c r="E34" s="30" t="s">
        <v>28</v>
      </c>
      <c r="F34" s="30" t="s">
        <v>36</v>
      </c>
      <c r="J34" s="132" t="str">
        <f t="shared" ref="J34:T34" si="5">IF(J28=J4,IF(COUNTA($C30:$C32)=COUNT(J30:J32),"Ok","Check"),"")</f>
        <v/>
      </c>
      <c r="K34" s="132" t="str">
        <f t="shared" si="5"/>
        <v/>
      </c>
      <c r="L34" s="132" t="str">
        <f t="shared" si="5"/>
        <v/>
      </c>
      <c r="M34" s="132" t="str">
        <f t="shared" si="5"/>
        <v/>
      </c>
      <c r="N34" s="132" t="str">
        <f t="shared" si="5"/>
        <v/>
      </c>
      <c r="O34" s="132" t="str">
        <f t="shared" si="5"/>
        <v/>
      </c>
      <c r="P34" s="132" t="str">
        <f t="shared" ca="1" si="5"/>
        <v>Ok</v>
      </c>
      <c r="Q34" s="132" t="str">
        <f t="shared" ca="1" si="5"/>
        <v>Ok</v>
      </c>
      <c r="R34" s="132" t="str">
        <f t="shared" ca="1" si="5"/>
        <v>Ok</v>
      </c>
      <c r="S34" s="132" t="str">
        <f t="shared" ca="1" si="5"/>
        <v>Ok</v>
      </c>
      <c r="T34" s="132" t="str">
        <f t="shared" ca="1" si="5"/>
        <v>Ok</v>
      </c>
      <c r="U34" s="132"/>
      <c r="V34" s="24"/>
      <c r="X34" s="131" t="str">
        <f ca="1">IF(COUNTIF(J34:U34,"Check")=0,"Ok","Check")</f>
        <v>Ok</v>
      </c>
    </row>
    <row r="35" spans="1:48">
      <c r="G35" s="32"/>
      <c r="H35" s="32"/>
    </row>
    <row r="36" spans="1:48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98"/>
      <c r="Y36" s="99"/>
      <c r="Z36" s="99"/>
      <c r="AA36" s="99"/>
      <c r="AB36" s="99"/>
      <c r="AC36" s="100"/>
      <c r="AD36" s="101"/>
      <c r="AE36" s="101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</row>
    <row r="37" spans="1:48" outlineLevel="1">
      <c r="G37" s="32"/>
      <c r="H37" s="32"/>
    </row>
    <row r="38" spans="1:48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0" t="str">
        <f t="shared" ref="J38:N38" si="6">IF(YEAR(J$4)&gt;=FPFirstYear,IF(YEAR(J$4)&lt;=FPLastYear,J$4,""),"")</f>
        <v/>
      </c>
      <c r="K38" s="160" t="str">
        <f t="shared" si="6"/>
        <v/>
      </c>
      <c r="L38" s="160" t="str">
        <f t="shared" si="6"/>
        <v/>
      </c>
      <c r="M38" s="160" t="str">
        <f t="shared" si="6"/>
        <v/>
      </c>
      <c r="N38" s="160" t="str">
        <f t="shared" si="6"/>
        <v/>
      </c>
      <c r="O38" s="160"/>
      <c r="P38" s="160">
        <f t="shared" ref="P38:T38" si="7">P$4</f>
        <v>44713</v>
      </c>
      <c r="Q38" s="160">
        <f t="shared" si="7"/>
        <v>45078</v>
      </c>
      <c r="R38" s="160">
        <f t="shared" si="7"/>
        <v>45444</v>
      </c>
      <c r="S38" s="160">
        <f t="shared" si="7"/>
        <v>45809</v>
      </c>
      <c r="T38" s="160">
        <f t="shared" si="7"/>
        <v>46174</v>
      </c>
    </row>
    <row r="39" spans="1:48" outlineLevel="1">
      <c r="G39" s="32"/>
      <c r="H39" s="32"/>
    </row>
    <row r="40" spans="1:48" outlineLevel="1">
      <c r="C40" s="111" t="s">
        <v>39</v>
      </c>
      <c r="D40" s="30" t="s">
        <v>71</v>
      </c>
      <c r="E40" s="30" t="s">
        <v>15</v>
      </c>
      <c r="F40" s="208">
        <v>44348</v>
      </c>
      <c r="G40" s="32"/>
      <c r="H40" s="32"/>
      <c r="J40" s="168"/>
      <c r="K40" s="168"/>
      <c r="L40" s="168"/>
      <c r="M40" s="168"/>
      <c r="N40" s="168"/>
      <c r="O40" s="168"/>
      <c r="P40" s="238">
        <f>'[1]PTRM input'!G$340</f>
        <v>2.1344123468423364</v>
      </c>
      <c r="Q40" s="238">
        <f>'[1]PTRM input'!H$340</f>
        <v>2.2238929898086321</v>
      </c>
      <c r="R40" s="238">
        <f>'[1]PTRM input'!I$340</f>
        <v>2.3230068452484631</v>
      </c>
      <c r="S40" s="238">
        <f>'[1]PTRM input'!J$340</f>
        <v>2.3809287391846117</v>
      </c>
      <c r="T40" s="238">
        <f>'[1]PTRM input'!K$340</f>
        <v>2.4134030110678446</v>
      </c>
    </row>
    <row r="41" spans="1:48" outlineLevel="1">
      <c r="G41" s="32"/>
      <c r="H41" s="32"/>
    </row>
    <row r="42" spans="1:48" outlineLevel="1">
      <c r="C42" s="29" t="s">
        <v>40</v>
      </c>
      <c r="D42" s="30" t="s">
        <v>97</v>
      </c>
      <c r="E42" s="30" t="s">
        <v>28</v>
      </c>
      <c r="F42" s="30" t="s">
        <v>36</v>
      </c>
      <c r="J42" s="132" t="str">
        <f t="shared" ref="J42:T42" si="8">IF(J38=J4,IF(ISBLANK(J40),"Check","Ok"),"")</f>
        <v/>
      </c>
      <c r="K42" s="132" t="str">
        <f t="shared" si="8"/>
        <v/>
      </c>
      <c r="L42" s="132" t="str">
        <f t="shared" si="8"/>
        <v/>
      </c>
      <c r="M42" s="132" t="str">
        <f t="shared" si="8"/>
        <v/>
      </c>
      <c r="N42" s="132" t="str">
        <f t="shared" si="8"/>
        <v/>
      </c>
      <c r="O42" s="132" t="str">
        <f t="shared" si="8"/>
        <v/>
      </c>
      <c r="P42" s="132" t="str">
        <f t="shared" si="8"/>
        <v>Ok</v>
      </c>
      <c r="Q42" s="132" t="str">
        <f t="shared" si="8"/>
        <v>Ok</v>
      </c>
      <c r="R42" s="132" t="str">
        <f t="shared" si="8"/>
        <v>Ok</v>
      </c>
      <c r="S42" s="132" t="str">
        <f t="shared" si="8"/>
        <v>Ok</v>
      </c>
      <c r="T42" s="132" t="str">
        <f t="shared" si="8"/>
        <v>Ok</v>
      </c>
      <c r="U42" s="132"/>
      <c r="V42" s="24"/>
      <c r="X42" s="131" t="str">
        <f>IF(COUNTIF(J42:U42,"Check")=0,"Ok","Check")</f>
        <v>Ok</v>
      </c>
    </row>
    <row r="43" spans="1:48">
      <c r="G43" s="32"/>
      <c r="H43" s="32"/>
    </row>
    <row r="44" spans="1:48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98"/>
      <c r="Y44" s="99"/>
      <c r="Z44" s="99"/>
      <c r="AA44" s="99"/>
      <c r="AB44" s="99"/>
      <c r="AC44" s="100"/>
      <c r="AD44" s="101"/>
      <c r="AE44" s="101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  <row r="55" spans="7:8" hidden="1"/>
    <row r="56" spans="7:8" hidden="1"/>
    <row r="57" spans="7:8" hidden="1"/>
    <row r="58" spans="7:8" hidden="1"/>
    <row r="59" spans="7:8" hidden="1"/>
    <row r="60" spans="7:8" hidden="1"/>
  </sheetData>
  <mergeCells count="1">
    <mergeCell ref="N3:S3"/>
  </mergeCells>
  <conditionalFormatting sqref="S1:T1">
    <cfRule type="cellIs" dxfId="138" priority="33" operator="equal">
      <formula>"Check"</formula>
    </cfRule>
    <cfRule type="cellIs" dxfId="137" priority="34" operator="equal">
      <formula>"Ok"</formula>
    </cfRule>
  </conditionalFormatting>
  <conditionalFormatting sqref="W1">
    <cfRule type="cellIs" dxfId="136" priority="35" operator="equal">
      <formula>"Check"</formula>
    </cfRule>
    <cfRule type="cellIs" dxfId="135" priority="36" operator="equal">
      <formula>"Ok"</formula>
    </cfRule>
  </conditionalFormatting>
  <conditionalFormatting sqref="J10:T10">
    <cfRule type="expression" dxfId="134" priority="31">
      <formula>J$10=J$4</formula>
    </cfRule>
  </conditionalFormatting>
  <conditionalFormatting sqref="J12:O22">
    <cfRule type="expression" dxfId="133" priority="30">
      <formula>J$10=J$4</formula>
    </cfRule>
  </conditionalFormatting>
  <conditionalFormatting sqref="X24">
    <cfRule type="cellIs" dxfId="132" priority="26" operator="equal">
      <formula>"Check"</formula>
    </cfRule>
    <cfRule type="cellIs" dxfId="131" priority="27" operator="equal">
      <formula>"Ok"</formula>
    </cfRule>
  </conditionalFormatting>
  <conditionalFormatting sqref="J24:U24">
    <cfRule type="cellIs" dxfId="130" priority="24" operator="equal">
      <formula>"Check"</formula>
    </cfRule>
    <cfRule type="cellIs" dxfId="129" priority="25" operator="equal">
      <formula>"Ok"</formula>
    </cfRule>
  </conditionalFormatting>
  <conditionalFormatting sqref="X34">
    <cfRule type="cellIs" dxfId="128" priority="22" operator="equal">
      <formula>"Check"</formula>
    </cfRule>
    <cfRule type="cellIs" dxfId="127" priority="23" operator="equal">
      <formula>"Ok"</formula>
    </cfRule>
  </conditionalFormatting>
  <conditionalFormatting sqref="J34:U34">
    <cfRule type="cellIs" dxfId="126" priority="20" operator="equal">
      <formula>"Check"</formula>
    </cfRule>
    <cfRule type="cellIs" dxfId="125" priority="21" operator="equal">
      <formula>"Ok"</formula>
    </cfRule>
  </conditionalFormatting>
  <conditionalFormatting sqref="J30:M32 O31:T32">
    <cfRule type="expression" dxfId="124" priority="19">
      <formula>J$28=J$4</formula>
    </cfRule>
  </conditionalFormatting>
  <conditionalFormatting sqref="X42">
    <cfRule type="cellIs" dxfId="123" priority="17" operator="equal">
      <formula>"Check"</formula>
    </cfRule>
    <cfRule type="cellIs" dxfId="122" priority="18" operator="equal">
      <formula>"Ok"</formula>
    </cfRule>
  </conditionalFormatting>
  <conditionalFormatting sqref="J42:U42">
    <cfRule type="cellIs" dxfId="121" priority="15" operator="equal">
      <formula>"Check"</formula>
    </cfRule>
    <cfRule type="cellIs" dxfId="120" priority="16" operator="equal">
      <formula>"Ok"</formula>
    </cfRule>
  </conditionalFormatting>
  <conditionalFormatting sqref="O30">
    <cfRule type="expression" dxfId="119" priority="14">
      <formula>O$10=O$4</formula>
    </cfRule>
  </conditionalFormatting>
  <conditionalFormatting sqref="N30:N32">
    <cfRule type="expression" dxfId="118" priority="13">
      <formula>N$10=N$4</formula>
    </cfRule>
  </conditionalFormatting>
  <conditionalFormatting sqref="J40:O40">
    <cfRule type="expression" dxfId="117" priority="10">
      <formula>J$38=J$4</formula>
    </cfRule>
  </conditionalFormatting>
  <conditionalFormatting sqref="J28:N28">
    <cfRule type="expression" dxfId="116" priority="9">
      <formula>J$10=J$4</formula>
    </cfRule>
  </conditionalFormatting>
  <conditionalFormatting sqref="J38:N38">
    <cfRule type="expression" dxfId="115" priority="8">
      <formula>J$10=J$4</formula>
    </cfRule>
  </conditionalFormatting>
  <conditionalFormatting sqref="O28">
    <cfRule type="expression" dxfId="114" priority="7">
      <formula>O$10=O$4</formula>
    </cfRule>
  </conditionalFormatting>
  <conditionalFormatting sqref="O38">
    <cfRule type="expression" dxfId="113" priority="6">
      <formula>O$10=O$4</formula>
    </cfRule>
  </conditionalFormatting>
  <conditionalFormatting sqref="P28:T28">
    <cfRule type="expression" dxfId="112" priority="5">
      <formula>P$10=P$4</formula>
    </cfRule>
  </conditionalFormatting>
  <conditionalFormatting sqref="P38:T38">
    <cfRule type="expression" dxfId="111" priority="4">
      <formula>P$10=P$4</formula>
    </cfRule>
  </conditionalFormatting>
  <dataValidations count="2">
    <dataValidation type="list" allowBlank="1" showInputMessage="1" showErrorMessage="1" sqref="F25 F33 F35 F43">
      <formula1>"Real 2010,Real 2011,Real 2012,Real 2013,Real 2014,Real 2015,Nominal"</formula1>
    </dataValidation>
    <dataValidation type="list" allowBlank="1" showInputMessage="1" showErrorMessage="1" sqref="V30:V33 I40 V25 I25 V12:V23 I30:I33 V35 I35 V43 I43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>
          <x14:formula1>
            <xm:f>'Lookup|Tables'!$C$67:$C$76</xm:f>
          </x14:formula1>
          <xm:sqref>F23</xm:sqref>
        </x14:dataValidation>
        <x14:dataValidation type="list" allowBlank="1" showInputMessage="1" showErrorMessage="1">
          <x14:formula1>
            <xm:f>'Lookup|Tables'!$H$41:$H$60</xm:f>
          </x14:formula1>
          <xm:sqref>F40 F30:F32 F12:F22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6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7" t="s">
        <v>225</v>
      </c>
      <c r="R1" s="72" t="s">
        <v>81</v>
      </c>
      <c r="S1" s="76" t="s">
        <v>36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9"/>
      <c r="O3" s="249"/>
      <c r="P3" s="249"/>
      <c r="Q3" s="249"/>
      <c r="R3" s="249"/>
      <c r="S3" s="249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235.56920626000002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241.06595549428499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245.72964969332111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267.11084947106474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197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138.73097438447596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197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138.94263337941456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198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277.88526675882912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opex'!E89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1.412155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1.4451060891435208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5.0708529973098155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5.5120733429797992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201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2.7678807058130199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201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2.7721036044908502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202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5.5442072089817005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241.06595549428499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opex'!E94</f>
        <v>$millions</v>
      </c>
      <c r="F30" s="158">
        <f>'Input|Reported opex'!F94</f>
        <v>44348</v>
      </c>
      <c r="J30" s="115">
        <f>IF('Input|Reported opex'!J$83=J$10,'Input|Reported opex'!J94,0)</f>
        <v>0</v>
      </c>
      <c r="K30" s="115">
        <f>IF('Input|Reported opex'!K$83=K$10,'Input|Reported opex'!K94,0)</f>
        <v>0</v>
      </c>
      <c r="L30" s="115">
        <f>IF('Input|Reported opex'!L$83=L$10,'Input|Reported opex'!L94,0)</f>
        <v>0</v>
      </c>
      <c r="M30" s="115">
        <f>IF('Input|Reported opex'!M$83=M$10,'Input|Reported opex'!M94,0)</f>
        <v>0</v>
      </c>
      <c r="N30" s="115">
        <f>IF('Input|Reported opex'!N$83=N$10,'Input|Reported opex'!N94,0)</f>
        <v>0</v>
      </c>
      <c r="O30" s="115">
        <f>IF('Input|Reported opex'!O$83=O$10,'Input|Reported opex'!O94,0)</f>
        <v>0</v>
      </c>
      <c r="P30" s="115">
        <f>IF('Input|Reported opex'!P$83=P$10,'Input|Reported opex'!P94,0)</f>
        <v>0</v>
      </c>
      <c r="Q30" s="115">
        <f>IF('Input|Reported opex'!Q$83=Q$10,'Input|Reported opex'!Q94,0)</f>
        <v>0</v>
      </c>
      <c r="R30" s="115">
        <f>IF('Input|Reported opex'!R$83=R$10,'Input|Reported opex'!R94,0)</f>
        <v>0</v>
      </c>
      <c r="S30" s="115">
        <f>IF('Input|Reported opex'!S$83=S$10,'Input|Reported opex'!S94,0)</f>
        <v>0</v>
      </c>
      <c r="T30" s="115">
        <f>IF('Input|Reported opex'!T$83=T$10,'Input|Reported opex'!T94,0)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10.774417287764379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251.84037278204937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-1.4772399551454223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opex'!$C$88</f>
        <v>Emergency recoverable works</v>
      </c>
      <c r="D39" s="108" t="s">
        <v>91</v>
      </c>
      <c r="E39" s="110" t="str">
        <f>'Input|Reported opex'!E88</f>
        <v>$millions</v>
      </c>
      <c r="F39" s="158">
        <f>'Input|Reported opex'!F88</f>
        <v>44348</v>
      </c>
      <c r="J39" s="109">
        <f>IF(YEAR(J$4)=InterveningPeriod,'Input|Reported opex'!J88,0)</f>
        <v>0</v>
      </c>
      <c r="K39" s="109">
        <f>IF(YEAR(K$4)=InterveningPeriod,'Input|Reported opex'!K88,0)</f>
        <v>0</v>
      </c>
      <c r="L39" s="109">
        <f>IF(YEAR(L$4)=InterveningPeriod,'Input|Reported opex'!L88,0)</f>
        <v>0</v>
      </c>
      <c r="M39" s="109">
        <f>IF(YEAR(M$4)=InterveningPeriod,'Input|Reported opex'!M88,0)</f>
        <v>0</v>
      </c>
      <c r="N39" s="109">
        <f>IF(YEAR(N$4)=InterveningPeriod,'Input|Reported opex'!N88,0)</f>
        <v>0</v>
      </c>
      <c r="O39" s="109">
        <f>IF(YEAR(O$4)=InterveningPeriod,'Input|Reported opex'!O88,0)</f>
        <v>0.24592608489294868</v>
      </c>
      <c r="P39" s="109">
        <f>IF(YEAR(P$4)=InterveningPeriod,'Input|Reported opex'!P88,0)</f>
        <v>0</v>
      </c>
      <c r="Q39" s="109">
        <f>IF(YEAR(Q$4)=InterveningPeriod,'Input|Reported opex'!Q88,0)</f>
        <v>0</v>
      </c>
      <c r="R39" s="109">
        <f>IF(YEAR(R$4)=InterveningPeriod,'Input|Reported opex'!R88,0)</f>
        <v>0</v>
      </c>
      <c r="S39" s="109">
        <f>IF(YEAR(S$4)=InterveningPeriod,'Input|Reported opex'!S88,0)</f>
        <v>0</v>
      </c>
      <c r="T39" s="109">
        <f>IF(YEAR(T$4)=InterveningPeriod,'Input|Reported opex'!T88,0)</f>
        <v>0</v>
      </c>
    </row>
    <row r="40" spans="3:20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0.24592608489294868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opex'!$C$89</f>
        <v>Communications network</v>
      </c>
      <c r="D42" s="108" t="s">
        <v>91</v>
      </c>
      <c r="E42" s="30" t="str">
        <f>'Input|Reported opex'!$E$89</f>
        <v>$millions</v>
      </c>
      <c r="F42" s="158">
        <f>'Input|Reported opex'!$F$89</f>
        <v>44348</v>
      </c>
      <c r="J42" s="109">
        <f>IF(YEAR(J$4)=InterveningPeriod,'Input|Reported opex'!J89,0)</f>
        <v>0</v>
      </c>
      <c r="K42" s="109">
        <f>IF(YEAR(K$4)=InterveningPeriod,'Input|Reported opex'!K89,0)</f>
        <v>0</v>
      </c>
      <c r="L42" s="109">
        <f>IF(YEAR(L$4)=InterveningPeriod,'Input|Reported opex'!L89,0)</f>
        <v>0</v>
      </c>
      <c r="M42" s="109">
        <f>IF(YEAR(M$4)=InterveningPeriod,'Input|Reported opex'!M89,0)</f>
        <v>0</v>
      </c>
      <c r="N42" s="109">
        <f>IF(YEAR(N$4)=InterveningPeriod,'Input|Reported opex'!N89,0)</f>
        <v>0</v>
      </c>
      <c r="O42" s="109">
        <f>IF(YEAR(O$4)=InterveningPeriod,'Input|Reported opex'!O89,0)</f>
        <v>1.2391264528198962</v>
      </c>
      <c r="P42" s="109">
        <f>IF(YEAR(P$4)=InterveningPeriod,'Input|Reported opex'!P89,0)</f>
        <v>0</v>
      </c>
      <c r="Q42" s="109">
        <f>IF(YEAR(Q$4)=InterveningPeriod,'Input|Reported opex'!Q89,0)</f>
        <v>0</v>
      </c>
      <c r="R42" s="109">
        <f>IF(YEAR(R$4)=InterveningPeriod,'Input|Reported opex'!R89,0)</f>
        <v>0</v>
      </c>
      <c r="S42" s="109">
        <f>IF(YEAR(S$4)=InterveningPeriod,'Input|Reported opex'!S89,0)</f>
        <v>0</v>
      </c>
      <c r="T42" s="109">
        <f>IF(YEAR(T$4)=InterveningPeriod,'Input|Reported opex'!T89,0)</f>
        <v>0</v>
      </c>
    </row>
    <row r="43" spans="3:20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1.2391264528198962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opex'!$C$90</f>
        <v>Wasted truck visits</v>
      </c>
      <c r="D45" s="108" t="s">
        <v>91</v>
      </c>
      <c r="E45" s="30" t="str">
        <f>'Input|Reported opex'!$E$90</f>
        <v>$millions</v>
      </c>
      <c r="F45" s="158">
        <f>'Input|Reported opex'!$F$90</f>
        <v>44348</v>
      </c>
      <c r="J45" s="109">
        <f>IF(YEAR(J$4)=InterveningPeriod,'Input|Reported opex'!J90,0)</f>
        <v>0</v>
      </c>
      <c r="K45" s="109">
        <f>IF(YEAR(K$4)=InterveningPeriod,'Input|Reported opex'!K90,0)</f>
        <v>0</v>
      </c>
      <c r="L45" s="109">
        <f>IF(YEAR(L$4)=InterveningPeriod,'Input|Reported opex'!L90,0)</f>
        <v>0</v>
      </c>
      <c r="M45" s="109">
        <f>IF(YEAR(M$4)=InterveningPeriod,'Input|Reported opex'!M90,0)</f>
        <v>0</v>
      </c>
      <c r="N45" s="109">
        <f>IF(YEAR(N$4)=InterveningPeriod,'Input|Reported opex'!N90,0)</f>
        <v>0</v>
      </c>
      <c r="O45" s="109">
        <f>IF(YEAR(O$4)=InterveningPeriod,'Input|Reported opex'!O90,0)</f>
        <v>1.190045034053195</v>
      </c>
      <c r="P45" s="109">
        <f>IF(YEAR(P$4)=InterveningPeriod,'Input|Reported opex'!P90,0)</f>
        <v>0</v>
      </c>
      <c r="Q45" s="109">
        <f>IF(YEAR(Q$4)=InterveningPeriod,'Input|Reported opex'!Q90,0)</f>
        <v>0</v>
      </c>
      <c r="R45" s="109">
        <f>IF(YEAR(R$4)=InterveningPeriod,'Input|Reported opex'!R90,0)</f>
        <v>0</v>
      </c>
      <c r="S45" s="109">
        <f>IF(YEAR(S$4)=InterveningPeriod,'Input|Reported opex'!S90,0)</f>
        <v>0</v>
      </c>
      <c r="T45" s="109">
        <f>IF(YEAR(T$4)=InterveningPeriod,'Input|Reported opex'!T90,0)</f>
        <v>0</v>
      </c>
    </row>
    <row r="46" spans="3:20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1.190045034053195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opex'!$C$91</f>
        <v>Replacement expenditure on faults and minor repairs</v>
      </c>
      <c r="D48" s="108" t="s">
        <v>91</v>
      </c>
      <c r="E48" s="30" t="str">
        <f>'Input|Reported opex'!$E$91</f>
        <v>$millions</v>
      </c>
      <c r="F48" s="158">
        <f>'Input|Reported opex'!$F$91</f>
        <v>44348</v>
      </c>
      <c r="J48" s="109">
        <f>IF(YEAR(J$4)=InterveningPeriod,'Input|Reported opex'!J91,0)</f>
        <v>0</v>
      </c>
      <c r="K48" s="109">
        <f>IF(YEAR(K$4)=InterveningPeriod,'Input|Reported opex'!K91,0)</f>
        <v>0</v>
      </c>
      <c r="L48" s="109">
        <f>IF(YEAR(L$4)=InterveningPeriod,'Input|Reported opex'!L91,0)</f>
        <v>0</v>
      </c>
      <c r="M48" s="109">
        <f>IF(YEAR(M$4)=InterveningPeriod,'Input|Reported opex'!M91,0)</f>
        <v>0</v>
      </c>
      <c r="N48" s="109">
        <f>IF(YEAR(N$4)=InterveningPeriod,'Input|Reported opex'!N91,0)</f>
        <v>0</v>
      </c>
      <c r="O48" s="109">
        <f>IF(YEAR(O$4)=InterveningPeriod,'Input|Reported opex'!O91,0)</f>
        <v>2.7879913577724134</v>
      </c>
      <c r="P48" s="109">
        <f>IF(YEAR(P$4)=InterveningPeriod,'Input|Reported opex'!P91,0)</f>
        <v>0</v>
      </c>
      <c r="Q48" s="109">
        <f>IF(YEAR(Q$4)=InterveningPeriod,'Input|Reported opex'!Q91,0)</f>
        <v>0</v>
      </c>
      <c r="R48" s="109">
        <f>IF(YEAR(R$4)=InterveningPeriod,'Input|Reported opex'!R91,0)</f>
        <v>0</v>
      </c>
      <c r="S48" s="109">
        <f>IF(YEAR(S$4)=InterveningPeriod,'Input|Reported opex'!S91,0)</f>
        <v>0</v>
      </c>
      <c r="T48" s="109">
        <f>IF(YEAR(T$4)=InterveningPeriod,'Input|Reported opex'!T91,0)</f>
        <v>0</v>
      </c>
    </row>
    <row r="49" spans="1:48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2.7879913577724134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opex'!$C$92</f>
        <v>ESV levy</v>
      </c>
      <c r="D51" s="108" t="s">
        <v>91</v>
      </c>
      <c r="E51" s="30" t="str">
        <f>'Input|Reported opex'!$E$92</f>
        <v>$millions</v>
      </c>
      <c r="F51" s="158">
        <f>'Input|Reported opex'!$F$92</f>
        <v>44348</v>
      </c>
      <c r="J51" s="109">
        <f>IF(YEAR(J$4)=InterveningPeriod,'Input|Reported opex'!J92,0)</f>
        <v>0</v>
      </c>
      <c r="K51" s="109">
        <f>IF(YEAR(K$4)=InterveningPeriod,'Input|Reported opex'!K92,0)</f>
        <v>0</v>
      </c>
      <c r="L51" s="109">
        <f>IF(YEAR(L$4)=InterveningPeriod,'Input|Reported opex'!L92,0)</f>
        <v>0</v>
      </c>
      <c r="M51" s="109">
        <f>IF(YEAR(M$4)=InterveningPeriod,'Input|Reported opex'!M92,0)</f>
        <v>0</v>
      </c>
      <c r="N51" s="109">
        <f>IF(YEAR(N$4)=InterveningPeriod,'Input|Reported opex'!N92,0)</f>
        <v>0</v>
      </c>
      <c r="O51" s="109">
        <f>IF(YEAR(O$4)=InterveningPeriod,'Input|Reported opex'!O92,0)</f>
        <v>-2.787980097947754</v>
      </c>
      <c r="P51" s="109">
        <f>IF(YEAR(P$4)=InterveningPeriod,'Input|Reported opex'!P92,0)</f>
        <v>0</v>
      </c>
      <c r="Q51" s="109">
        <f>IF(YEAR(Q$4)=InterveningPeriod,'Input|Reported opex'!Q92,0)</f>
        <v>0</v>
      </c>
      <c r="R51" s="109">
        <f>IF(YEAR(R$4)=InterveningPeriod,'Input|Reported opex'!R92,0)</f>
        <v>0</v>
      </c>
      <c r="S51" s="109">
        <f>IF(YEAR(S$4)=InterveningPeriod,'Input|Reported opex'!S92,0)</f>
        <v>0</v>
      </c>
      <c r="T51" s="109">
        <f>IF(YEAR(T$4)=InterveningPeriod,'Input|Reported opex'!T92,0)</f>
        <v>0</v>
      </c>
    </row>
    <row r="52" spans="1:48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-2.787980097947754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opex'!J96</f>
        <v>0</v>
      </c>
      <c r="K54" s="115">
        <f>SUM(K35,K40,K43,K46,K49,K52)*'Input|Reported opex'!K96</f>
        <v>0</v>
      </c>
      <c r="L54" s="115">
        <f>SUM(L35,L40,L43,L46,L49,L52)*'Input|Reported opex'!L96</f>
        <v>0</v>
      </c>
      <c r="M54" s="115">
        <f>SUM(M35,M40,M43,M46,M49,M52)*'Input|Reported opex'!M96</f>
        <v>0</v>
      </c>
      <c r="N54" s="115">
        <f>SUM(N35,N40,N43,N46,N49,N52)*'Input|Reported opex'!N96</f>
        <v>0</v>
      </c>
      <c r="O54" s="115">
        <f>SUM(O35,O40,O43,O46,O49,O52)*'Input|Reported opex'!O96</f>
        <v>0</v>
      </c>
      <c r="P54" s="115">
        <f>SUM(P35,P40,P43,P46,P49,P52)*'Input|Reported opex'!P96</f>
        <v>0</v>
      </c>
      <c r="Q54" s="115">
        <f>SUM(Q35,Q40,Q43,Q46,Q49,Q52)*'Input|Reported opex'!Q96</f>
        <v>0</v>
      </c>
      <c r="R54" s="115">
        <f>SUM(R35,R40,R43,R46,R49,R52)*'Input|Reported opex'!R96</f>
        <v>0</v>
      </c>
      <c r="S54" s="115">
        <f>SUM(S35,S40,S43,S46,S49,S52)*'Input|Reported opex'!S96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253.03824165849466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5.8483797730791058E-3</v>
      </c>
      <c r="Q63" s="117">
        <f ca="1">IF(Q60=Q4,AVERAGE(OFFSET('Input|Rate of change'!R97,0,0,COUNTA('Input|Rate of change'!$J$84:$N$84),1)),0)</f>
        <v>1.0490799256170132E-2</v>
      </c>
      <c r="R63" s="117">
        <f ca="1">IF(R60=R4,AVERAGE(OFFSET('Input|Rate of change'!S97,0,0,COUNTA('Input|Rate of change'!$J$84:$N$84),1)),0)</f>
        <v>1.2297667887551341E-2</v>
      </c>
      <c r="S63" s="117">
        <f ca="1">IF(S60=S4,AVERAGE(OFFSET('Input|Rate of change'!T97,0,0,COUNTA('Input|Rate of change'!$J$84:$N$84),1)),0)</f>
        <v>1.2102412398674201E-2</v>
      </c>
      <c r="T63" s="117">
        <f ca="1">IF(T60=T4,AVERAGE(OFFSET('Input|Rate of change'!U97,0,0,COUNTA('Input|Rate of change'!$J$84:$N$84),1)),0)</f>
        <v>1.1899814029345902E-2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6.6835386017125575E-3</v>
      </c>
      <c r="Q69" s="143">
        <f t="shared" ca="1" si="9"/>
        <v>8.3911657742195001E-3</v>
      </c>
      <c r="R69" s="143">
        <f t="shared" ca="1" si="9"/>
        <v>1.1119524245673418E-2</v>
      </c>
      <c r="S69" s="143">
        <f t="shared" ca="1" si="9"/>
        <v>1.2964623081101356E-2</v>
      </c>
      <c r="T69" s="143">
        <f t="shared" ref="T69" ca="1" si="10">(1+T63)*(1+T65)*(1-T67)-1</f>
        <v>1.4633914328267883E-2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6.6835386017125575E-3</v>
      </c>
      <c r="Q70" s="117">
        <f t="array" aca="1" ref="Q70" ca="1">IF(Q$60=Q$4,PRODUCT(1+$J69:Q69)-1,"")</f>
        <v>1.5130787056297335E-2</v>
      </c>
      <c r="R70" s="117">
        <f t="array" aca="1" ref="R70" ca="1">IF(R$60=R$4,PRODUCT(1+$J69:R69)-1,"")</f>
        <v>2.6418558455499452E-2</v>
      </c>
      <c r="S70" s="117">
        <f t="array" aca="1" ref="S70" ca="1">IF(S$60=S$4,PRODUCT(1+$J69:S69)-1,"")</f>
        <v>3.9725688189322428E-2</v>
      </c>
      <c r="T70" s="117">
        <f t="array" aca="1" ref="T70" ca="1">IF(T$60=T$4,PRODUCT(1+$J69:T69)-1,"")</f>
        <v>5.4940944835184302E-2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Increasing insurance premiums</v>
      </c>
      <c r="D76" s="110" t="s">
        <v>30</v>
      </c>
      <c r="E76" s="30" t="str">
        <f t="shared" ref="E76:E96" si="12">$E$8</f>
        <v>$millions</v>
      </c>
      <c r="F76" s="158">
        <f t="shared" ref="F76:F88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</row>
    <row r="77" spans="1:48" outlineLevel="1">
      <c r="C77" s="121" t="str">
        <f>'Input|Step changes'!C13</f>
        <v>Security of Critical Infrastructure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2.4161422739717571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1.7097629208919105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1.6528670470000197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1.53433992411364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1.5462167137960172</v>
      </c>
    </row>
    <row r="78" spans="1:48" outlineLevel="1">
      <c r="C78" s="121" t="str">
        <f>'Input|Step changes'!C14</f>
        <v>IT cloud solutions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0.83068560383111589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0.82196714935313087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1.1759294126678221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1.3956344563719942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1.390604920568133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1.096154796349029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1.0370107590207527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1.1714861059625665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0.72966001040777162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0.74889535596604084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0.50496484412224807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0.70515332795959429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0.89557656441694089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1.0919039308815746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1.3014108705527336</v>
      </c>
    </row>
    <row r="81" spans="1:48" outlineLevel="1">
      <c r="C81" s="121" t="str">
        <f>'Input|Step changes'!C17</f>
        <v>REFCL on-going operating expenditure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0.29831194263240302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0.39540999388132414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0.91033224283276937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1.0295936271080479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1.0375633519228034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 t="str">
        <f>'Input|Step changes'!C21</f>
        <v/>
      </c>
      <c r="D85" s="110" t="s">
        <v>30</v>
      </c>
      <c r="E85" s="30" t="str">
        <f t="shared" si="12"/>
        <v>$millions</v>
      </c>
      <c r="F85" s="158">
        <f t="shared" si="13"/>
        <v>44348</v>
      </c>
      <c r="J85" s="127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127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127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127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127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127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127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127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127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127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127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48" outlineLevel="1">
      <c r="C86" s="121" t="str">
        <f>'Input|Step changes'!C22</f>
        <v/>
      </c>
      <c r="D86" s="110" t="s">
        <v>30</v>
      </c>
      <c r="E86" s="30" t="str">
        <f t="shared" si="12"/>
        <v>$millions</v>
      </c>
      <c r="F86" s="158">
        <f t="shared" si="13"/>
        <v>44348</v>
      </c>
      <c r="J86" s="127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127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127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127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127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127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127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127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127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127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127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48" outlineLevel="1">
      <c r="C87" s="121"/>
      <c r="D87" s="110"/>
      <c r="F87" s="112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</row>
    <row r="88" spans="1:48" outlineLevel="1">
      <c r="C88" s="113" t="s">
        <v>48</v>
      </c>
      <c r="D88" s="122" t="s">
        <v>30</v>
      </c>
      <c r="E88" s="122" t="str">
        <f>$E$8</f>
        <v>$millions</v>
      </c>
      <c r="F88" s="172">
        <f t="shared" si="13"/>
        <v>44348</v>
      </c>
      <c r="G88" s="32"/>
      <c r="H88" s="32"/>
      <c r="I88" s="32"/>
      <c r="J88" s="174">
        <f>SUM(J75:J87)</f>
        <v>0</v>
      </c>
      <c r="K88" s="174">
        <f t="shared" ref="K88:S88" si="14">SUM(K75:K87)</f>
        <v>0</v>
      </c>
      <c r="L88" s="174">
        <f t="shared" si="14"/>
        <v>0</v>
      </c>
      <c r="M88" s="174">
        <f t="shared" si="14"/>
        <v>0</v>
      </c>
      <c r="N88" s="174">
        <f t="shared" si="14"/>
        <v>0</v>
      </c>
      <c r="O88" s="174">
        <f t="shared" si="14"/>
        <v>0</v>
      </c>
      <c r="P88" s="174">
        <f t="shared" si="14"/>
        <v>10.763029684617225</v>
      </c>
      <c r="Q88" s="174">
        <f t="shared" si="14"/>
        <v>10.286074374817384</v>
      </c>
      <c r="R88" s="174">
        <f t="shared" si="14"/>
        <v>11.422961596590788</v>
      </c>
      <c r="S88" s="174">
        <f t="shared" si="14"/>
        <v>11.397902172593698</v>
      </c>
      <c r="T88" s="174">
        <f t="shared" ref="T88" si="15">SUM(T75:T87)</f>
        <v>11.641461436516398</v>
      </c>
    </row>
    <row r="89" spans="1:48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  <c r="T89" s="23"/>
    </row>
    <row r="90" spans="1:48" s="103" customFormat="1" ht="12.75">
      <c r="A90" s="94"/>
      <c r="B90" s="95" t="s">
        <v>114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9"/>
      <c r="Z90" s="99"/>
      <c r="AA90" s="99"/>
      <c r="AB90" s="99"/>
      <c r="AC90" s="100"/>
      <c r="AD90" s="101"/>
      <c r="AE90" s="101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</row>
    <row r="91" spans="1:48" outlineLevel="1">
      <c r="C91" s="106"/>
      <c r="J91" s="107"/>
      <c r="K91" s="107"/>
      <c r="L91" s="107"/>
    </row>
    <row r="92" spans="1:48" outlineLevel="1">
      <c r="C92" s="67" t="s">
        <v>109</v>
      </c>
      <c r="D92" s="32" t="s">
        <v>7</v>
      </c>
      <c r="E92" s="32" t="s">
        <v>8</v>
      </c>
      <c r="F92" s="32" t="s">
        <v>22</v>
      </c>
      <c r="J92" s="160"/>
      <c r="K92" s="160"/>
      <c r="L92" s="160"/>
      <c r="M92" s="160"/>
      <c r="N92" s="160"/>
      <c r="O92" s="160"/>
      <c r="P92" s="160">
        <f>P$4</f>
        <v>44713</v>
      </c>
      <c r="Q92" s="160">
        <f t="shared" ref="Q92:T92" si="16">Q$4</f>
        <v>45078</v>
      </c>
      <c r="R92" s="160">
        <f t="shared" si="16"/>
        <v>45444</v>
      </c>
      <c r="S92" s="160">
        <f t="shared" si="16"/>
        <v>45809</v>
      </c>
      <c r="T92" s="160">
        <f t="shared" si="16"/>
        <v>46174</v>
      </c>
    </row>
    <row r="93" spans="1:48" outlineLevel="1">
      <c r="C93" s="67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</row>
    <row r="94" spans="1:48" outlineLevel="1">
      <c r="C94" s="121" t="str">
        <f ca="1">'Input|Step changes'!C30</f>
        <v>GSL payment</v>
      </c>
      <c r="D94" s="110" t="s">
        <v>30</v>
      </c>
      <c r="E94" s="30" t="str">
        <f t="shared" si="12"/>
        <v>$millions</v>
      </c>
      <c r="F94" s="158">
        <f t="shared" ref="F94:F96" si="17">$F$8</f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</row>
    <row r="95" spans="1:48" outlineLevel="1">
      <c r="C95" s="121">
        <f>'Input|Step changes'!C31</f>
        <v>0</v>
      </c>
      <c r="D95" s="110" t="s">
        <v>30</v>
      </c>
      <c r="E95" s="30" t="str">
        <f t="shared" si="12"/>
        <v>$millions</v>
      </c>
      <c r="F95" s="158">
        <f t="shared" si="17"/>
        <v>44348</v>
      </c>
      <c r="J95" s="127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127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127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127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127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127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127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127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127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127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127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48" outlineLevel="1">
      <c r="C96" s="121">
        <f>'Input|Step changes'!C32</f>
        <v>0</v>
      </c>
      <c r="D96" s="110" t="s">
        <v>30</v>
      </c>
      <c r="E96" s="30" t="str">
        <f t="shared" si="12"/>
        <v>$millions</v>
      </c>
      <c r="F96" s="158">
        <f t="shared" si="17"/>
        <v>44348</v>
      </c>
      <c r="J96" s="127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127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127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127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127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127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127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127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127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127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127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48" outlineLevel="1">
      <c r="C97" s="121"/>
      <c r="D97" s="108"/>
      <c r="F97" s="112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13" t="s">
        <v>115</v>
      </c>
      <c r="D98" s="122" t="s">
        <v>30</v>
      </c>
      <c r="E98" s="122" t="str">
        <f>$E$8</f>
        <v>$millions</v>
      </c>
      <c r="F98" s="172">
        <f t="shared" ref="F98" si="18">$F$8</f>
        <v>44348</v>
      </c>
      <c r="G98" s="32"/>
      <c r="H98" s="32"/>
      <c r="I98" s="32"/>
      <c r="J98" s="128">
        <f>SUM(J93:J97)</f>
        <v>0</v>
      </c>
      <c r="K98" s="128">
        <f t="shared" ref="K98:S98" si="19">SUM(K93:K97)</f>
        <v>0</v>
      </c>
      <c r="L98" s="128">
        <f t="shared" si="19"/>
        <v>0</v>
      </c>
      <c r="M98" s="128">
        <f t="shared" si="19"/>
        <v>0</v>
      </c>
      <c r="N98" s="128">
        <f t="shared" si="19"/>
        <v>0</v>
      </c>
      <c r="O98" s="128">
        <f t="shared" si="19"/>
        <v>0</v>
      </c>
      <c r="P98" s="128">
        <f t="shared" si="19"/>
        <v>2.8944685902263974</v>
      </c>
      <c r="Q98" s="128">
        <f t="shared" si="19"/>
        <v>2.8944685902263974</v>
      </c>
      <c r="R98" s="128">
        <f t="shared" si="19"/>
        <v>2.8944685902263974</v>
      </c>
      <c r="S98" s="128">
        <f t="shared" si="19"/>
        <v>2.8944685902263974</v>
      </c>
      <c r="T98" s="128">
        <f t="shared" ref="T98" si="20">SUM(T93:T97)</f>
        <v>2.8944685902263974</v>
      </c>
    </row>
    <row r="99" spans="1:48">
      <c r="C99" s="123"/>
      <c r="D99" s="110"/>
      <c r="E99" s="110"/>
      <c r="F99" s="110"/>
      <c r="J99" s="107"/>
      <c r="K99" s="107"/>
      <c r="L99" s="107"/>
      <c r="M99" s="107"/>
      <c r="N99" s="23"/>
      <c r="O99" s="23"/>
      <c r="P99" s="23"/>
      <c r="Q99" s="23"/>
      <c r="R99" s="23"/>
      <c r="S99" s="23"/>
      <c r="T99" s="23"/>
    </row>
    <row r="100" spans="1:48" s="103" customFormat="1" ht="12.75">
      <c r="A100" s="94"/>
      <c r="B100" s="95" t="s">
        <v>90</v>
      </c>
      <c r="C100" s="94"/>
      <c r="D100" s="94"/>
      <c r="E100" s="94"/>
      <c r="F100" s="96"/>
      <c r="G100" s="96"/>
      <c r="H100" s="96"/>
      <c r="I100" s="96"/>
      <c r="J100" s="97"/>
      <c r="K100" s="98"/>
      <c r="L100" s="97"/>
      <c r="M100" s="98"/>
      <c r="N100" s="97"/>
      <c r="O100" s="97"/>
      <c r="P100" s="97"/>
      <c r="Q100" s="97"/>
      <c r="R100" s="97"/>
      <c r="S100" s="97"/>
      <c r="T100" s="97"/>
      <c r="U100" s="97"/>
      <c r="V100" s="97"/>
      <c r="W100" s="98"/>
      <c r="X100" s="98"/>
      <c r="Y100" s="99"/>
      <c r="Z100" s="99"/>
      <c r="AA100" s="99"/>
      <c r="AB100" s="99"/>
      <c r="AC100" s="100"/>
      <c r="AD100" s="101"/>
      <c r="AE100" s="101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</row>
    <row r="101" spans="1:48" outlineLevel="1">
      <c r="C101" s="106"/>
      <c r="J101" s="107"/>
      <c r="K101" s="107"/>
      <c r="L101" s="107"/>
    </row>
    <row r="102" spans="1:48" outlineLevel="1">
      <c r="C102" s="67"/>
      <c r="J102" s="160"/>
      <c r="K102" s="160"/>
      <c r="L102" s="160"/>
      <c r="M102" s="160"/>
      <c r="N102" s="160"/>
      <c r="O102" s="160"/>
      <c r="P102" s="160">
        <f>P$4</f>
        <v>44713</v>
      </c>
      <c r="Q102" s="160">
        <f t="shared" ref="Q102:T102" si="21">Q$4</f>
        <v>45078</v>
      </c>
      <c r="R102" s="160">
        <f t="shared" si="21"/>
        <v>45444</v>
      </c>
      <c r="S102" s="160">
        <f t="shared" si="21"/>
        <v>45809</v>
      </c>
      <c r="T102" s="160">
        <f t="shared" si="21"/>
        <v>46174</v>
      </c>
    </row>
    <row r="103" spans="1:48" outlineLevel="1">
      <c r="C103" s="124"/>
      <c r="D103" s="110"/>
      <c r="E103" s="110"/>
      <c r="F103" s="110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</row>
    <row r="104" spans="1:48" outlineLevel="1">
      <c r="C104" s="123" t="s">
        <v>132</v>
      </c>
      <c r="D104" s="126" t="s">
        <v>30</v>
      </c>
      <c r="E104" s="126" t="str">
        <f>$E$8</f>
        <v>$millions</v>
      </c>
      <c r="F104" s="172">
        <f t="shared" ref="F104:F106" si="22">$F$8</f>
        <v>44348</v>
      </c>
      <c r="J104" s="149"/>
      <c r="K104" s="149"/>
      <c r="L104" s="149"/>
      <c r="M104" s="149"/>
      <c r="N104" s="149"/>
      <c r="O104" s="149"/>
      <c r="P104" s="149">
        <f ca="1">(1+P70)*SUM($J56:$S56)+P88</f>
        <v>265.49246219894587</v>
      </c>
      <c r="Q104" s="149">
        <f t="shared" ref="Q104:T104" ca="1" si="23">(1+Q70)*SUM($J56:$S56)+Q88</f>
        <v>267.15298378494663</v>
      </c>
      <c r="R104" s="149">
        <f t="shared" ca="1" si="23"/>
        <v>271.14610883381715</v>
      </c>
      <c r="S104" s="149">
        <f t="shared" ca="1" si="23"/>
        <v>274.48826211918816</v>
      </c>
      <c r="T104" s="149">
        <f t="shared" ca="1" si="23"/>
        <v>278.58186317116247</v>
      </c>
    </row>
    <row r="105" spans="1:48" outlineLevel="1">
      <c r="C105" s="123" t="s">
        <v>107</v>
      </c>
      <c r="D105" s="126" t="s">
        <v>30</v>
      </c>
      <c r="E105" s="126" t="str">
        <f>$E$8</f>
        <v>$millions</v>
      </c>
      <c r="F105" s="172">
        <f t="shared" si="22"/>
        <v>44348</v>
      </c>
      <c r="J105" s="149"/>
      <c r="K105" s="149"/>
      <c r="L105" s="149"/>
      <c r="M105" s="149"/>
      <c r="N105" s="149"/>
      <c r="O105" s="149"/>
      <c r="P105" s="149">
        <f ca="1">(1+P70)*SUM($J56:$S56)+P88+P98</f>
        <v>268.38693078917225</v>
      </c>
      <c r="Q105" s="149">
        <f t="shared" ref="Q105:T105" ca="1" si="24">(1+Q70)*SUM($J56:$S56)+Q88+Q98</f>
        <v>270.04745237517301</v>
      </c>
      <c r="R105" s="149">
        <f t="shared" ca="1" si="24"/>
        <v>274.04057742404353</v>
      </c>
      <c r="S105" s="149">
        <f t="shared" ca="1" si="24"/>
        <v>277.38273070941455</v>
      </c>
      <c r="T105" s="149">
        <f t="shared" ca="1" si="24"/>
        <v>281.47633176138885</v>
      </c>
    </row>
    <row r="106" spans="1:48" outlineLevel="1">
      <c r="C106" s="123" t="s">
        <v>108</v>
      </c>
      <c r="D106" s="126" t="s">
        <v>30</v>
      </c>
      <c r="E106" s="126" t="str">
        <f>$E$8</f>
        <v>$millions</v>
      </c>
      <c r="F106" s="172">
        <f t="shared" si="22"/>
        <v>44348</v>
      </c>
      <c r="J106" s="149"/>
      <c r="K106" s="149"/>
      <c r="L106" s="149"/>
      <c r="M106" s="149"/>
      <c r="N106" s="149"/>
      <c r="O106" s="149"/>
      <c r="P106" s="149">
        <f ca="1">P105+'Input|Step changes'!P40</f>
        <v>270.52134313601459</v>
      </c>
      <c r="Q106" s="149">
        <f ca="1">Q105+'Input|Step changes'!Q40</f>
        <v>272.27134536498164</v>
      </c>
      <c r="R106" s="149">
        <f ca="1">R105+'Input|Step changes'!R40</f>
        <v>276.36358426929201</v>
      </c>
      <c r="S106" s="149">
        <f ca="1">S105+'Input|Step changes'!S40</f>
        <v>279.76365944859918</v>
      </c>
      <c r="T106" s="149">
        <f ca="1">T105+'Input|Step changes'!T40</f>
        <v>283.88973477245668</v>
      </c>
    </row>
    <row r="107" spans="1:48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  <c r="T107" s="23"/>
    </row>
    <row r="108" spans="1:48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7"/>
      <c r="W108" s="98"/>
      <c r="X108" s="98"/>
      <c r="Y108" s="99"/>
      <c r="Z108" s="99"/>
      <c r="AA108" s="99"/>
      <c r="AB108" s="99"/>
      <c r="AC108" s="100"/>
      <c r="AD108" s="101"/>
      <c r="AE108" s="101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</row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/>
    <row r="116" spans="4:9" hidden="1"/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>
      <c r="D192" s="29"/>
      <c r="E192" s="29"/>
      <c r="F192" s="29"/>
      <c r="G192" s="29"/>
      <c r="H192" s="29"/>
      <c r="I192" s="29"/>
    </row>
    <row r="193" spans="4:9" hidden="1">
      <c r="D193" s="29"/>
      <c r="E193" s="29"/>
      <c r="F193" s="29"/>
      <c r="G193" s="29"/>
      <c r="H193" s="29"/>
      <c r="I193" s="29"/>
    </row>
    <row r="194" spans="4:9" hidden="1"/>
    <row r="195" spans="4:9" hidden="1"/>
    <row r="196" spans="4:9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4:T96 J76:T86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5:T106">
    <cfRule type="cellIs" dxfId="97" priority="110" operator="equal">
      <formula>0</formula>
    </cfRule>
  </conditionalFormatting>
  <conditionalFormatting sqref="J105:T106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4:T104">
    <cfRule type="cellIs" dxfId="71" priority="46" operator="equal">
      <formula>0</formula>
    </cfRule>
  </conditionalFormatting>
  <conditionalFormatting sqref="J104:T104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8:T98">
    <cfRule type="expression" dxfId="31" priority="140">
      <formula>J$92=J$4</formula>
    </cfRule>
    <cfRule type="cellIs" dxfId="30" priority="141" operator="equal">
      <formula>0</formula>
    </cfRule>
  </conditionalFormatting>
  <conditionalFormatting sqref="J88:T88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2:T92 P102:T102">
    <cfRule type="expression" dxfId="27" priority="144">
      <formula>J$60=J$4</formula>
    </cfRule>
  </conditionalFormatting>
  <conditionalFormatting sqref="J102:O102">
    <cfRule type="expression" dxfId="26" priority="147">
      <formula>J$102=J$4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>
      <formula1>"Real 2010,Real 2011,Real 2012,Real 2013,Real 2014,Real 2015,Nominal"</formula1>
    </dataValidation>
    <dataValidation type="list" allowBlank="1" showInputMessage="1" showErrorMessage="1" sqref="F87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7" t="s">
        <v>225</v>
      </c>
      <c r="S1" s="72" t="s">
        <v>81</v>
      </c>
      <c r="T1" s="76" t="s">
        <v>36</v>
      </c>
      <c r="V1" s="185" t="s">
        <v>24</v>
      </c>
      <c r="W1" s="76" t="str">
        <f ca="1"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9"/>
      <c r="O3" s="249"/>
      <c r="P3" s="249"/>
      <c r="Q3" s="249"/>
      <c r="R3" s="249"/>
      <c r="S3" s="249"/>
      <c r="T3" s="249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forecast'!C104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78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78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78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78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78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78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265.49246219894587</v>
      </c>
      <c r="Q13" s="178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267.15298378494663</v>
      </c>
      <c r="R13" s="178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271.14610883381715</v>
      </c>
      <c r="S13" s="178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274.48826211918816</v>
      </c>
      <c r="T13" s="178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278.58186317116247</v>
      </c>
      <c r="U13" s="111"/>
      <c r="V13" s="150"/>
    </row>
    <row r="14" spans="1:27">
      <c r="C14" s="111" t="str">
        <f ca="1">'Input|Step changes'!C30</f>
        <v>GSL payment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78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78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78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78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78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78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Q14" s="178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R14" s="178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S14" s="178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T14" s="178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U14" s="111"/>
      <c r="V14" s="150"/>
    </row>
    <row r="15" spans="1:27">
      <c r="C15" s="111">
        <f>'Input|Step changes'!C31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78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78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78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78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78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78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78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78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78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78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11"/>
      <c r="V15" s="150"/>
    </row>
    <row r="16" spans="1:27">
      <c r="C16" s="111">
        <f>'Input|Step changes'!C32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78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78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78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78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78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78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78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78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78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78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7" t="s">
        <v>225</v>
      </c>
      <c r="R1" s="39"/>
      <c r="S1" s="40"/>
      <c r="U1" s="179" t="s">
        <v>24</v>
      </c>
      <c r="V1" s="40" t="str">
        <f ca="1"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187</v>
      </c>
      <c r="D71" s="16" t="s">
        <v>97</v>
      </c>
      <c r="E71" s="16"/>
      <c r="F71" s="16"/>
      <c r="G71" s="181" t="s">
        <v>188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7" t="s">
        <v>225</v>
      </c>
      <c r="R1" s="179" t="s">
        <v>24</v>
      </c>
      <c r="S1" s="40" t="str">
        <f ca="1"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2020-12-22T03:33:53Z</dcterms:created>
  <dcterms:modified xsi:type="dcterms:W3CDTF">2020-12-22T03:34:01Z</dcterms:modified>
</cp:coreProperties>
</file>