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showInkAnnotation="0" codeName="ThisWorkbook" defaultThemeVersion="124226"/>
  <xr:revisionPtr revIDLastSave="0" documentId="13_ncr:1_{FEBA7E12-C16C-448A-BB80-76B882A961C3}" xr6:coauthVersionLast="45" xr6:coauthVersionMax="45" xr10:uidLastSave="{00000000-0000-0000-0000-000000000000}"/>
  <bookViews>
    <workbookView xWindow="3960" yWindow="0" windowWidth="24810" windowHeight="16230" tabRatio="869" activeTab="4" xr2:uid="{00000000-000D-0000-FFFF-FFFF00000000}"/>
  </bookViews>
  <sheets>
    <sheet name="Legend" sheetId="2" r:id="rId1"/>
    <sheet name="Menu" sheetId="4" r:id="rId2"/>
    <sheet name="Project List - AER" sheetId="21" r:id="rId3"/>
    <sheet name="Project List-RRP" sheetId="20" r:id="rId4"/>
    <sheet name="Inflation" sheetId="9" r:id="rId5"/>
    <sheet name="Historical Expenditure" sheetId="5" r:id="rId6"/>
    <sheet name="Forecast Expenditure" sheetId="6" r:id="rId7"/>
    <sheet name="Direct Capex" sheetId="18" r:id="rId8"/>
    <sheet name="VBRC" sheetId="19" r:id="rId9"/>
  </sheets>
  <externalReferences>
    <externalReference r:id="rId10"/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20" l="1"/>
  <c r="J36" i="20"/>
  <c r="I36" i="20"/>
  <c r="H36" i="20"/>
  <c r="E36" i="20"/>
  <c r="D36" i="20"/>
  <c r="J35" i="20"/>
  <c r="I35" i="20"/>
  <c r="F35" i="20"/>
  <c r="E35" i="20"/>
  <c r="D35" i="20"/>
  <c r="J34" i="20"/>
  <c r="G34" i="20"/>
  <c r="F34" i="20"/>
  <c r="E34" i="20"/>
  <c r="D34" i="20"/>
  <c r="J33" i="20"/>
  <c r="G33" i="20"/>
  <c r="F33" i="20"/>
  <c r="E33" i="20"/>
  <c r="D33" i="20"/>
  <c r="J31" i="20"/>
  <c r="I31" i="20"/>
  <c r="H31" i="20"/>
  <c r="E31" i="20"/>
  <c r="D31" i="20"/>
  <c r="J32" i="20"/>
  <c r="I32" i="20"/>
  <c r="F32" i="20"/>
  <c r="E32" i="20"/>
  <c r="D32" i="20"/>
  <c r="J30" i="20"/>
  <c r="I30" i="20"/>
  <c r="H30" i="20"/>
  <c r="E30" i="20"/>
  <c r="D30" i="20"/>
  <c r="J29" i="20"/>
  <c r="I29" i="20"/>
  <c r="F29" i="20"/>
  <c r="E29" i="20"/>
  <c r="D29" i="20"/>
  <c r="J28" i="20"/>
  <c r="G28" i="20"/>
  <c r="F28" i="20"/>
  <c r="E28" i="20"/>
  <c r="D28" i="20"/>
  <c r="J27" i="20"/>
  <c r="I27" i="20"/>
  <c r="F27" i="20"/>
  <c r="E27" i="20"/>
  <c r="D27" i="20"/>
  <c r="J26" i="20"/>
  <c r="I26" i="20"/>
  <c r="H26" i="20"/>
  <c r="D26" i="20"/>
  <c r="A2" i="21" l="1"/>
  <c r="J17" i="20" l="1"/>
  <c r="I17" i="20"/>
  <c r="H17" i="20"/>
  <c r="G17" i="20"/>
  <c r="F17" i="20"/>
  <c r="J16" i="20"/>
  <c r="I16" i="20"/>
  <c r="H16" i="20"/>
  <c r="G16" i="20"/>
  <c r="F16" i="20"/>
  <c r="R9" i="6" l="1"/>
  <c r="R10" i="6"/>
  <c r="R11" i="6"/>
  <c r="R12" i="6"/>
  <c r="R13" i="6"/>
  <c r="R14" i="6"/>
  <c r="R15" i="6"/>
  <c r="R16" i="6"/>
  <c r="R17" i="6"/>
  <c r="R18" i="6"/>
  <c r="R19" i="6"/>
  <c r="R8" i="6"/>
  <c r="Q9" i="6"/>
  <c r="Q10" i="6"/>
  <c r="Q11" i="6"/>
  <c r="Q12" i="6"/>
  <c r="Q13" i="6"/>
  <c r="Q14" i="6"/>
  <c r="Q16" i="6"/>
  <c r="Q17" i="6"/>
  <c r="Q18" i="6"/>
  <c r="Q19" i="6"/>
  <c r="Q8" i="6"/>
  <c r="P9" i="6"/>
  <c r="P10" i="6"/>
  <c r="P11" i="6"/>
  <c r="P12" i="6"/>
  <c r="P13" i="6"/>
  <c r="P14" i="6"/>
  <c r="P16" i="6"/>
  <c r="P17" i="6"/>
  <c r="P18" i="6"/>
  <c r="P19" i="6"/>
  <c r="P8" i="6"/>
  <c r="O9" i="6"/>
  <c r="O10" i="6"/>
  <c r="O11" i="6"/>
  <c r="O12" i="6"/>
  <c r="O13" i="6"/>
  <c r="O14" i="6"/>
  <c r="O16" i="6"/>
  <c r="O17" i="6"/>
  <c r="O18" i="6"/>
  <c r="O19" i="6"/>
  <c r="O8" i="6"/>
  <c r="N9" i="6"/>
  <c r="N10" i="6"/>
  <c r="N11" i="6"/>
  <c r="N12" i="6"/>
  <c r="N13" i="6"/>
  <c r="N14" i="6"/>
  <c r="N16" i="6"/>
  <c r="N17" i="6"/>
  <c r="N18" i="6"/>
  <c r="N19" i="6"/>
  <c r="N8" i="6"/>
  <c r="M9" i="6"/>
  <c r="M10" i="6"/>
  <c r="M11" i="6"/>
  <c r="M12" i="6"/>
  <c r="M13" i="6"/>
  <c r="M14" i="6"/>
  <c r="M16" i="6"/>
  <c r="M17" i="6"/>
  <c r="M18" i="6"/>
  <c r="M19" i="6"/>
  <c r="M8" i="6"/>
  <c r="J39" i="20"/>
  <c r="K37" i="20" l="1"/>
  <c r="K23" i="20" l="1"/>
  <c r="E22" i="20" l="1"/>
  <c r="D22" i="20"/>
  <c r="D39" i="20" s="1"/>
  <c r="K39" i="6"/>
  <c r="J14" i="6"/>
  <c r="I14" i="6"/>
  <c r="H52" i="6"/>
  <c r="G53" i="6"/>
  <c r="F52" i="6"/>
  <c r="E51" i="6"/>
  <c r="D18" i="6"/>
  <c r="F51" i="6"/>
  <c r="D9" i="6"/>
  <c r="J51" i="6"/>
  <c r="E13" i="6"/>
  <c r="E18" i="6"/>
  <c r="E30" i="6"/>
  <c r="I32" i="6"/>
  <c r="E36" i="6"/>
  <c r="E40" i="6"/>
  <c r="G51" i="6"/>
  <c r="K51" i="6"/>
  <c r="F9" i="6"/>
  <c r="J9" i="6"/>
  <c r="F13" i="6"/>
  <c r="F14" i="6"/>
  <c r="F16" i="6"/>
  <c r="J16" i="6"/>
  <c r="F17" i="6"/>
  <c r="J17" i="6"/>
  <c r="F18" i="6"/>
  <c r="F19" i="6"/>
  <c r="J19" i="6"/>
  <c r="F30" i="6"/>
  <c r="J30" i="6"/>
  <c r="F31" i="6"/>
  <c r="F32" i="6"/>
  <c r="J32" i="6"/>
  <c r="F33" i="6"/>
  <c r="J33" i="6"/>
  <c r="F34" i="6"/>
  <c r="F35" i="6"/>
  <c r="J35" i="6"/>
  <c r="F36" i="6"/>
  <c r="J36" i="6"/>
  <c r="F37" i="6"/>
  <c r="D40" i="6"/>
  <c r="F40" i="6"/>
  <c r="J40" i="6"/>
  <c r="F53" i="6"/>
  <c r="J53" i="6"/>
  <c r="G52" i="6"/>
  <c r="G9" i="6"/>
  <c r="G13" i="6"/>
  <c r="K13" i="6"/>
  <c r="G14" i="6"/>
  <c r="G16" i="6"/>
  <c r="G17" i="6"/>
  <c r="K17" i="6"/>
  <c r="G18" i="6"/>
  <c r="G19" i="6"/>
  <c r="G30" i="6"/>
  <c r="K30" i="6"/>
  <c r="G31" i="6"/>
  <c r="G32" i="6"/>
  <c r="G33" i="6"/>
  <c r="K33" i="6"/>
  <c r="G34" i="6"/>
  <c r="G35" i="6"/>
  <c r="G36" i="6"/>
  <c r="K36" i="6"/>
  <c r="G37" i="6"/>
  <c r="F39" i="6"/>
  <c r="G40" i="6"/>
  <c r="C7" i="9"/>
  <c r="K24" i="20"/>
  <c r="K22" i="20"/>
  <c r="K11" i="20"/>
  <c r="K12" i="20"/>
  <c r="K13" i="20"/>
  <c r="K14" i="20"/>
  <c r="K15" i="20"/>
  <c r="K20" i="20"/>
  <c r="K21" i="20"/>
  <c r="K25" i="20"/>
  <c r="K10" i="20"/>
  <c r="D8" i="20"/>
  <c r="D49" i="6"/>
  <c r="D28" i="6"/>
  <c r="D6" i="6"/>
  <c r="J12" i="5"/>
  <c r="J12" i="6" s="1"/>
  <c r="K12" i="5"/>
  <c r="K12" i="6" s="1"/>
  <c r="D12" i="5"/>
  <c r="D12" i="6" s="1"/>
  <c r="E12" i="5"/>
  <c r="F12" i="5"/>
  <c r="F12" i="6" s="1"/>
  <c r="G12" i="5"/>
  <c r="G12" i="6" s="1"/>
  <c r="H12" i="5"/>
  <c r="I12" i="5"/>
  <c r="D10" i="5"/>
  <c r="D10" i="6" s="1"/>
  <c r="E10" i="5"/>
  <c r="F10" i="5"/>
  <c r="F10" i="6" s="1"/>
  <c r="G10" i="5"/>
  <c r="G10" i="6" s="1"/>
  <c r="H10" i="5"/>
  <c r="D8" i="6"/>
  <c r="F8" i="6"/>
  <c r="G8" i="6"/>
  <c r="D15" i="5"/>
  <c r="D15" i="6" s="1"/>
  <c r="E15" i="5"/>
  <c r="F15" i="5"/>
  <c r="F15" i="6" s="1"/>
  <c r="G15" i="5"/>
  <c r="G15" i="6" s="1"/>
  <c r="H15" i="5"/>
  <c r="D11" i="5"/>
  <c r="D11" i="6" s="1"/>
  <c r="E11" i="5"/>
  <c r="F11" i="5"/>
  <c r="F11" i="6" s="1"/>
  <c r="G11" i="5"/>
  <c r="G11" i="6" s="1"/>
  <c r="H11" i="5"/>
  <c r="K11" i="5"/>
  <c r="K11" i="6" s="1"/>
  <c r="J11" i="5"/>
  <c r="J11" i="6" s="1"/>
  <c r="I11" i="5"/>
  <c r="K15" i="5"/>
  <c r="K15" i="6" s="1"/>
  <c r="J15" i="5"/>
  <c r="J15" i="6" s="1"/>
  <c r="I15" i="5"/>
  <c r="K8" i="6"/>
  <c r="K10" i="5"/>
  <c r="J10" i="5"/>
  <c r="J10" i="6" s="1"/>
  <c r="I10" i="5"/>
  <c r="B19" i="6"/>
  <c r="B18" i="6"/>
  <c r="B17" i="6"/>
  <c r="B16" i="6"/>
  <c r="B15" i="6"/>
  <c r="B14" i="6"/>
  <c r="B13" i="6"/>
  <c r="B12" i="6"/>
  <c r="B11" i="6"/>
  <c r="B10" i="6"/>
  <c r="B9" i="6"/>
  <c r="B8" i="6"/>
  <c r="A2" i="20"/>
  <c r="A2" i="19"/>
  <c r="A2" i="18"/>
  <c r="K53" i="5"/>
  <c r="K37" i="5"/>
  <c r="K40" i="5" s="1"/>
  <c r="D53" i="5"/>
  <c r="E53" i="5"/>
  <c r="D37" i="5"/>
  <c r="D40" i="5" s="1"/>
  <c r="E37" i="5"/>
  <c r="E40" i="5" s="1"/>
  <c r="F37" i="5"/>
  <c r="F40" i="5" s="1"/>
  <c r="G37" i="5"/>
  <c r="G40" i="5" s="1"/>
  <c r="H37" i="5"/>
  <c r="H40" i="5" s="1"/>
  <c r="G53" i="5"/>
  <c r="H53" i="5"/>
  <c r="I53" i="5"/>
  <c r="J53" i="5"/>
  <c r="F53" i="5"/>
  <c r="I37" i="5"/>
  <c r="I40" i="5" s="1"/>
  <c r="B10" i="9"/>
  <c r="D8" i="9"/>
  <c r="D7" i="9" s="1"/>
  <c r="A2" i="9"/>
  <c r="A2" i="6"/>
  <c r="A2" i="5"/>
  <c r="A2" i="4"/>
  <c r="J37" i="5"/>
  <c r="J40" i="5" s="1"/>
  <c r="E8" i="9" l="1"/>
  <c r="E7" i="9" s="1"/>
  <c r="F8" i="9"/>
  <c r="D52" i="6"/>
  <c r="D37" i="6"/>
  <c r="D34" i="6"/>
  <c r="D13" i="6"/>
  <c r="I51" i="6"/>
  <c r="I15" i="6"/>
  <c r="I19" i="6"/>
  <c r="I8" i="6"/>
  <c r="I10" i="6"/>
  <c r="I39" i="6"/>
  <c r="I36" i="6"/>
  <c r="D36" i="6"/>
  <c r="K10" i="6"/>
  <c r="E11" i="6"/>
  <c r="E39" i="6"/>
  <c r="E38" i="6" s="1"/>
  <c r="E33" i="6"/>
  <c r="E19" i="6"/>
  <c r="K53" i="6"/>
  <c r="H15" i="6"/>
  <c r="E10" i="6"/>
  <c r="E12" i="6"/>
  <c r="K40" i="6"/>
  <c r="K38" i="6" s="1"/>
  <c r="E52" i="6"/>
  <c r="K52" i="6"/>
  <c r="K54" i="6" s="1"/>
  <c r="E37" i="6"/>
  <c r="E32" i="6"/>
  <c r="E16" i="6"/>
  <c r="D35" i="6"/>
  <c r="D16" i="6"/>
  <c r="E8" i="6"/>
  <c r="K35" i="6"/>
  <c r="K32" i="6"/>
  <c r="K19" i="6"/>
  <c r="K16" i="6"/>
  <c r="K9" i="6"/>
  <c r="E53" i="6"/>
  <c r="E31" i="6"/>
  <c r="E14" i="6"/>
  <c r="E15" i="6"/>
  <c r="K37" i="6"/>
  <c r="K34" i="6"/>
  <c r="K31" i="6"/>
  <c r="K18" i="6"/>
  <c r="K14" i="6"/>
  <c r="E35" i="6"/>
  <c r="E9" i="6"/>
  <c r="J52" i="6"/>
  <c r="J54" i="6" s="1"/>
  <c r="I33" i="6"/>
  <c r="I16" i="6"/>
  <c r="D19" i="6"/>
  <c r="D30" i="6"/>
  <c r="F54" i="6"/>
  <c r="I12" i="6"/>
  <c r="I35" i="6"/>
  <c r="I13" i="6"/>
  <c r="I11" i="6"/>
  <c r="I52" i="6"/>
  <c r="I17" i="6"/>
  <c r="D33" i="6"/>
  <c r="D32" i="6"/>
  <c r="D53" i="6"/>
  <c r="J39" i="6"/>
  <c r="J38" i="6" s="1"/>
  <c r="J37" i="6"/>
  <c r="J34" i="6"/>
  <c r="J31" i="6"/>
  <c r="J18" i="6"/>
  <c r="G39" i="6"/>
  <c r="G38" i="6" s="1"/>
  <c r="G41" i="6" s="1"/>
  <c r="D39" i="6"/>
  <c r="D38" i="6" s="1"/>
  <c r="E34" i="6"/>
  <c r="I30" i="6"/>
  <c r="E17" i="6"/>
  <c r="I9" i="6"/>
  <c r="D31" i="6"/>
  <c r="D14" i="6"/>
  <c r="G20" i="5"/>
  <c r="G21" i="5" s="1"/>
  <c r="J20" i="5"/>
  <c r="J21" i="5" s="1"/>
  <c r="J8" i="6"/>
  <c r="K20" i="5"/>
  <c r="K21" i="5" s="1"/>
  <c r="I20" i="5"/>
  <c r="I21" i="5" s="1"/>
  <c r="E20" i="5"/>
  <c r="E21" i="5" s="1"/>
  <c r="H20" i="5"/>
  <c r="H21" i="5" s="1"/>
  <c r="G20" i="6"/>
  <c r="G21" i="6" s="1"/>
  <c r="F38" i="6"/>
  <c r="F41" i="6" s="1"/>
  <c r="G54" i="6"/>
  <c r="F20" i="5"/>
  <c r="F21" i="5" s="1"/>
  <c r="D20" i="5"/>
  <c r="D21" i="5" s="1"/>
  <c r="H39" i="6"/>
  <c r="H17" i="6"/>
  <c r="H40" i="6"/>
  <c r="H30" i="6"/>
  <c r="H34" i="6"/>
  <c r="H31" i="6"/>
  <c r="H8" i="6"/>
  <c r="H14" i="6"/>
  <c r="H36" i="6"/>
  <c r="H33" i="6"/>
  <c r="H16" i="6"/>
  <c r="H9" i="6"/>
  <c r="H35" i="6"/>
  <c r="H12" i="6"/>
  <c r="H10" i="6"/>
  <c r="H11" i="6"/>
  <c r="H18" i="6"/>
  <c r="H13" i="6"/>
  <c r="H37" i="6"/>
  <c r="H51" i="6"/>
  <c r="H32" i="6"/>
  <c r="H19" i="6"/>
  <c r="H53" i="6"/>
  <c r="F20" i="6"/>
  <c r="J13" i="6"/>
  <c r="I53" i="6"/>
  <c r="I40" i="6"/>
  <c r="I38" i="6" s="1"/>
  <c r="I37" i="6"/>
  <c r="I34" i="6"/>
  <c r="I31" i="6"/>
  <c r="I18" i="6"/>
  <c r="D17" i="6"/>
  <c r="D51" i="6"/>
  <c r="K20" i="6" l="1"/>
  <c r="K21" i="6" s="1"/>
  <c r="E54" i="6"/>
  <c r="E55" i="6" s="1"/>
  <c r="G8" i="9"/>
  <c r="F7" i="9"/>
  <c r="D54" i="6"/>
  <c r="I54" i="6"/>
  <c r="K41" i="6"/>
  <c r="E20" i="6"/>
  <c r="E21" i="6" s="1"/>
  <c r="J41" i="6"/>
  <c r="K17" i="20"/>
  <c r="K19" i="20"/>
  <c r="D20" i="6"/>
  <c r="D21" i="6" s="1"/>
  <c r="E41" i="6"/>
  <c r="D41" i="6"/>
  <c r="J20" i="6"/>
  <c r="J21" i="6" s="1"/>
  <c r="K16" i="20"/>
  <c r="I20" i="6"/>
  <c r="I21" i="6" s="1"/>
  <c r="G55" i="6"/>
  <c r="H54" i="6"/>
  <c r="K2" i="5"/>
  <c r="J7" i="4" s="1"/>
  <c r="I41" i="6"/>
  <c r="F21" i="6"/>
  <c r="F55" i="6"/>
  <c r="J55" i="6"/>
  <c r="H38" i="6"/>
  <c r="H41" i="6" s="1"/>
  <c r="H20" i="6"/>
  <c r="H21" i="6" s="1"/>
  <c r="L8" i="6"/>
  <c r="L16" i="6"/>
  <c r="F15" i="19"/>
  <c r="G16" i="19"/>
  <c r="P39" i="6"/>
  <c r="H15" i="19"/>
  <c r="J15" i="19"/>
  <c r="G18" i="19"/>
  <c r="L11" i="6"/>
  <c r="L51" i="6" s="1"/>
  <c r="L9" i="6"/>
  <c r="L17" i="6"/>
  <c r="M39" i="6"/>
  <c r="M52" i="6"/>
  <c r="I14" i="19"/>
  <c r="I17" i="19"/>
  <c r="F18" i="19"/>
  <c r="L10" i="6"/>
  <c r="L39" i="6" s="1"/>
  <c r="L18" i="6"/>
  <c r="F16" i="19"/>
  <c r="O39" i="6"/>
  <c r="G14" i="19"/>
  <c r="G17" i="19"/>
  <c r="H16" i="19"/>
  <c r="Q39" i="6"/>
  <c r="J16" i="19"/>
  <c r="L13" i="6"/>
  <c r="L52" i="6" s="1"/>
  <c r="L19" i="6"/>
  <c r="M51" i="6"/>
  <c r="I15" i="19"/>
  <c r="J18" i="19"/>
  <c r="N39" i="6"/>
  <c r="I16" i="19"/>
  <c r="R39" i="6"/>
  <c r="H18" i="19"/>
  <c r="L14" i="6"/>
  <c r="F14" i="19"/>
  <c r="H17" i="19"/>
  <c r="J17" i="19"/>
  <c r="L12" i="6"/>
  <c r="F17" i="19"/>
  <c r="H14" i="19"/>
  <c r="I18" i="19"/>
  <c r="J14" i="19"/>
  <c r="G15" i="19"/>
  <c r="K55" i="6" l="1"/>
  <c r="G7" i="9"/>
  <c r="H8" i="9"/>
  <c r="D55" i="6"/>
  <c r="L15" i="6"/>
  <c r="L20" i="6" s="1"/>
  <c r="J13" i="19"/>
  <c r="I55" i="6"/>
  <c r="H55" i="6"/>
  <c r="I26" i="19"/>
  <c r="Q51" i="6"/>
  <c r="R52" i="6"/>
  <c r="J25" i="19"/>
  <c r="J9" i="19" s="1"/>
  <c r="R51" i="6"/>
  <c r="J26" i="19"/>
  <c r="H25" i="19"/>
  <c r="H9" i="19" s="1"/>
  <c r="P52" i="6"/>
  <c r="M54" i="6"/>
  <c r="G8" i="19"/>
  <c r="H8" i="19"/>
  <c r="I12" i="19"/>
  <c r="G26" i="19"/>
  <c r="O51" i="6"/>
  <c r="N52" i="6"/>
  <c r="F25" i="19"/>
  <c r="F9" i="19" s="1"/>
  <c r="G12" i="19"/>
  <c r="I25" i="19"/>
  <c r="I9" i="19" s="1"/>
  <c r="Q52" i="6"/>
  <c r="F12" i="19"/>
  <c r="I8" i="19"/>
  <c r="P51" i="6"/>
  <c r="H26" i="19"/>
  <c r="G25" i="19"/>
  <c r="G9" i="19" s="1"/>
  <c r="O52" i="6"/>
  <c r="N51" i="6"/>
  <c r="F26" i="19"/>
  <c r="L54" i="6"/>
  <c r="J8" i="19"/>
  <c r="F8" i="19"/>
  <c r="J12" i="19"/>
  <c r="H12" i="19"/>
  <c r="R20" i="6" l="1"/>
  <c r="R21" i="6" s="1"/>
  <c r="R40" i="6"/>
  <c r="R38" i="6" s="1"/>
  <c r="R41" i="6" s="1"/>
  <c r="I8" i="9"/>
  <c r="H7" i="9"/>
  <c r="L40" i="6"/>
  <c r="L38" i="6" s="1"/>
  <c r="L41" i="6" s="1"/>
  <c r="L55" i="6" s="1"/>
  <c r="P54" i="6"/>
  <c r="R54" i="6"/>
  <c r="O54" i="6"/>
  <c r="Q54" i="6"/>
  <c r="F69" i="18"/>
  <c r="L21" i="6"/>
  <c r="N54" i="6"/>
  <c r="L69" i="18" l="1"/>
  <c r="J34" i="19" s="1"/>
  <c r="I7" i="9"/>
  <c r="J8" i="9"/>
  <c r="F92" i="18"/>
  <c r="R55" i="6"/>
  <c r="L92" i="18" l="1"/>
  <c r="K8" i="9"/>
  <c r="J7" i="9"/>
  <c r="K7" i="9" l="1"/>
  <c r="L8" i="9"/>
  <c r="L7" i="9" l="1"/>
  <c r="M8" i="9"/>
  <c r="M7" i="9" s="1"/>
  <c r="F36" i="20" l="1"/>
  <c r="G36" i="20"/>
  <c r="K36" i="20" l="1"/>
  <c r="G31" i="20" l="1"/>
  <c r="F31" i="20"/>
  <c r="K31" i="20" s="1"/>
  <c r="H32" i="20"/>
  <c r="G32" i="20"/>
  <c r="G30" i="20"/>
  <c r="F30" i="20"/>
  <c r="K30" i="20" s="1"/>
  <c r="K32" i="20" l="1"/>
  <c r="I34" i="20"/>
  <c r="H34" i="20"/>
  <c r="K34" i="20" s="1"/>
  <c r="I28" i="20"/>
  <c r="H28" i="20"/>
  <c r="H29" i="20"/>
  <c r="G29" i="20"/>
  <c r="K29" i="20" s="1"/>
  <c r="H33" i="20"/>
  <c r="I33" i="20"/>
  <c r="G26" i="20"/>
  <c r="K28" i="20" l="1"/>
  <c r="G35" i="20"/>
  <c r="H35" i="20"/>
  <c r="H27" i="20"/>
  <c r="G27" i="20"/>
  <c r="K33" i="20"/>
  <c r="I39" i="20"/>
  <c r="Q15" i="6"/>
  <c r="E26" i="20"/>
  <c r="F26" i="20"/>
  <c r="N15" i="6" l="1"/>
  <c r="F39" i="20"/>
  <c r="K26" i="20"/>
  <c r="K35" i="20"/>
  <c r="M15" i="6"/>
  <c r="E39" i="20"/>
  <c r="K27" i="20"/>
  <c r="G39" i="20"/>
  <c r="Q20" i="6"/>
  <c r="I13" i="19"/>
  <c r="Q40" i="6"/>
  <c r="Q38" i="6" s="1"/>
  <c r="Q41" i="6" s="1"/>
  <c r="H39" i="20"/>
  <c r="P15" i="6"/>
  <c r="O15" i="6"/>
  <c r="Q55" i="6" l="1"/>
  <c r="K39" i="20"/>
  <c r="O40" i="6"/>
  <c r="O38" i="6" s="1"/>
  <c r="O41" i="6" s="1"/>
  <c r="G13" i="19"/>
  <c r="O20" i="6"/>
  <c r="H13" i="19"/>
  <c r="P40" i="6"/>
  <c r="P38" i="6" s="1"/>
  <c r="P41" i="6" s="1"/>
  <c r="P20" i="6"/>
  <c r="Q21" i="6"/>
  <c r="K69" i="18"/>
  <c r="I34" i="19" s="1"/>
  <c r="K92" i="18"/>
  <c r="M40" i="6"/>
  <c r="M38" i="6" s="1"/>
  <c r="M41" i="6" s="1"/>
  <c r="M20" i="6"/>
  <c r="F13" i="19"/>
  <c r="N20" i="6"/>
  <c r="N40" i="6"/>
  <c r="N38" i="6" s="1"/>
  <c r="N41" i="6" s="1"/>
  <c r="N21" i="6" l="1"/>
  <c r="H69" i="18"/>
  <c r="F34" i="19" s="1"/>
  <c r="P55" i="6"/>
  <c r="O55" i="6"/>
  <c r="G69" i="18"/>
  <c r="M21" i="6"/>
  <c r="I69" i="18"/>
  <c r="G34" i="19" s="1"/>
  <c r="O21" i="6"/>
  <c r="N55" i="6"/>
  <c r="M55" i="6"/>
  <c r="J69" i="18"/>
  <c r="H34" i="19" s="1"/>
  <c r="P21" i="6"/>
  <c r="I92" i="18" l="1"/>
  <c r="J92" i="18"/>
  <c r="H92" i="18"/>
  <c r="G92" i="18"/>
  <c r="L2" i="18"/>
  <c r="G11" i="4" s="1"/>
  <c r="J2" i="19"/>
  <c r="G12" i="4" s="1"/>
  <c r="R2" i="6"/>
  <c r="D11" i="4" s="1"/>
</calcChain>
</file>

<file path=xl/sharedStrings.xml><?xml version="1.0" encoding="utf-8"?>
<sst xmlns="http://schemas.openxmlformats.org/spreadsheetml/2006/main" count="560" uniqueCount="256">
  <si>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</si>
  <si>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</si>
  <si>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</si>
  <si>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</si>
  <si>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</si>
  <si>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</si>
  <si>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</si>
  <si>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</si>
  <si>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</si>
  <si>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</si>
  <si>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</si>
  <si>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</si>
  <si>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</si>
  <si>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</si>
  <si>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</si>
  <si>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</si>
  <si>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</si>
  <si>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</si>
  <si>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</si>
  <si>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</si>
  <si>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</si>
  <si>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</si>
  <si>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</si>
  <si>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</si>
  <si>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</si>
  <si>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</si>
  <si>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</si>
  <si>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</si>
  <si>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</si>
  <si>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</si>
  <si>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</si>
  <si>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</si>
  <si>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Header 1A</t>
  </si>
  <si>
    <t>Control</t>
  </si>
  <si>
    <t>User Inputs</t>
  </si>
  <si>
    <t>Base Inputs</t>
  </si>
  <si>
    <t>Calculations</t>
  </si>
  <si>
    <t>Outputs/Export</t>
  </si>
  <si>
    <t>Legend</t>
  </si>
  <si>
    <t>Menu</t>
  </si>
  <si>
    <t>Sheet Check</t>
  </si>
  <si>
    <t>A user driven input for actual figures</t>
  </si>
  <si>
    <t>A user driven input for forcast figures</t>
  </si>
  <si>
    <t>User_Input_Actual</t>
  </si>
  <si>
    <t>User_Input_Forecast</t>
  </si>
  <si>
    <t>Function Code</t>
  </si>
  <si>
    <t>$ Nominal</t>
  </si>
  <si>
    <t>Totals</t>
  </si>
  <si>
    <t>Description</t>
  </si>
  <si>
    <t>Historical Expenditure</t>
  </si>
  <si>
    <t>Base Year</t>
  </si>
  <si>
    <t>Inflation</t>
  </si>
  <si>
    <t>Forecast Expenditure</t>
  </si>
  <si>
    <t>Direct Capex by Function Code</t>
  </si>
  <si>
    <t>Forecast</t>
  </si>
  <si>
    <t>Rural Projects &lt; 50KVA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</si>
  <si>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</si>
  <si>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</si>
  <si>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</si>
  <si>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</si>
  <si>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</si>
  <si>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</si>
  <si>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</si>
  <si>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</si>
  <si>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</si>
  <si>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New Connection Meter Acc.</t>
  </si>
  <si>
    <t>New Connection Meter IMRO</t>
  </si>
  <si>
    <t>New Conn. Service/Materials</t>
  </si>
  <si>
    <t>New Conn. Servicing Labour</t>
  </si>
  <si>
    <t>Recoverable Works</t>
  </si>
  <si>
    <t>CO Generation Projects</t>
  </si>
  <si>
    <t>Energy Efficient Public Lighting - New</t>
  </si>
  <si>
    <t>Public Lighting - New</t>
  </si>
  <si>
    <t>Docklands</t>
  </si>
  <si>
    <t>Major Generation Projects</t>
  </si>
  <si>
    <t>New Conn. Meter Install Acc.</t>
  </si>
  <si>
    <t>New Conn. Meter Install MRIM</t>
  </si>
  <si>
    <t>New Conn. Meter AMI</t>
  </si>
  <si>
    <t>New Conn. Meter Install AMI</t>
  </si>
  <si>
    <t>ACS services</t>
  </si>
  <si>
    <t>Consolidated line maintenance</t>
  </si>
  <si>
    <t>Replacement accumulation meter</t>
  </si>
  <si>
    <t>Replacement MRIM meter</t>
  </si>
  <si>
    <t>Replacement AMI meter &amp; transformers</t>
  </si>
  <si>
    <t>Rollout AMI meter</t>
  </si>
  <si>
    <t>Rollout AMI meter install</t>
  </si>
  <si>
    <t>Replacement Meter Install AMI</t>
  </si>
  <si>
    <t>Replacement Meter &amp; Install IMRO</t>
  </si>
  <si>
    <t>Maintenance Related Fault Capital</t>
  </si>
  <si>
    <t>Public Lighting - Replacement</t>
  </si>
  <si>
    <t>Fault Related Capital</t>
  </si>
  <si>
    <t xml:space="preserve">Conductor Clearance 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</si>
  <si>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</si>
  <si>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</si>
  <si>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</si>
  <si>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</si>
  <si>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</si>
  <si>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</si>
  <si>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</si>
  <si>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</si>
  <si>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Replacements Meter &amp; Install Acc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</si>
  <si>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</si>
  <si>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</si>
  <si>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</si>
  <si>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</si>
  <si>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</si>
  <si>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</si>
  <si>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</si>
  <si>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</si>
  <si>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</si>
  <si>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</si>
  <si>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</si>
  <si>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</si>
  <si>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</si>
  <si>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</si>
  <si>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</si>
  <si>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VBRC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</si>
  <si>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</si>
  <si>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</si>
  <si>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</si>
  <si>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</si>
  <si>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</si>
  <si>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Metering Communications</t>
  </si>
  <si>
    <t>Communications installation</t>
  </si>
  <si>
    <t>CBD Security Supply</t>
  </si>
  <si>
    <t>Computers</t>
  </si>
  <si>
    <t>IT Metering Data Services</t>
  </si>
  <si>
    <t>General Equipment</t>
  </si>
  <si>
    <t>General Equipment-AMI</t>
  </si>
  <si>
    <t>Office Furniture</t>
  </si>
  <si>
    <t>Office Furniture-AMI</t>
  </si>
  <si>
    <t>Property</t>
  </si>
  <si>
    <t>Property-AMI</t>
  </si>
  <si>
    <t>Motor Vehicles</t>
  </si>
  <si>
    <t>Motor Vehicles-AMI</t>
  </si>
  <si>
    <t>Intellectual Property</t>
  </si>
  <si>
    <t>Communications</t>
  </si>
  <si>
    <t>Testing &amp; Laboratory</t>
  </si>
  <si>
    <t>Function</t>
  </si>
  <si>
    <t>Code</t>
  </si>
  <si>
    <t>Armour rods, dampers &amp; spacers</t>
  </si>
  <si>
    <t>VBRC other</t>
  </si>
  <si>
    <t>SWER ACRs</t>
  </si>
  <si>
    <t>Other non-REFCL VBRC</t>
  </si>
  <si>
    <t>REFCL Fusesavers</t>
  </si>
  <si>
    <t>REFCL GFNs</t>
  </si>
  <si>
    <t>REFCL SCADA</t>
  </si>
  <si>
    <t>REFCL Protection &amp; Control / Comms</t>
  </si>
  <si>
    <t>REFCL balancing units</t>
  </si>
  <si>
    <t>REFCL other</t>
  </si>
  <si>
    <t>VBRC Augex</t>
  </si>
  <si>
    <t>VBRC Repex</t>
  </si>
  <si>
    <t>REFCL</t>
  </si>
  <si>
    <t>SWER ACR's</t>
  </si>
  <si>
    <t>Asset Group</t>
  </si>
  <si>
    <t>AUGMENTATION CAPEX (As incurred)</t>
  </si>
  <si>
    <t>AUGMENTATION CAPEX</t>
  </si>
  <si>
    <t>Subtransmission Substations, Switching Stations, Zone Substations</t>
  </si>
  <si>
    <t>As incurred</t>
  </si>
  <si>
    <t>Subtransmission Lines</t>
  </si>
  <si>
    <t>HV Feeders</t>
  </si>
  <si>
    <t>HV Feeders - Land Purchases and Easements</t>
  </si>
  <si>
    <t>Distribution Substations</t>
  </si>
  <si>
    <t>Distribution Substations - Land Purchases And Easements</t>
  </si>
  <si>
    <t>LV Feeders</t>
  </si>
  <si>
    <t>LV Feeders - Land Purchases And Easements</t>
  </si>
  <si>
    <t>Other Assets</t>
  </si>
  <si>
    <t>ASSET GROUP</t>
  </si>
  <si>
    <t>ASSET CATEGORY</t>
  </si>
  <si>
    <t>OTHER BY:</t>
  </si>
  <si>
    <t>DNSP defined</t>
  </si>
  <si>
    <t>VBRC ACR's</t>
  </si>
  <si>
    <t>BUSHFIRE MITIGATION RELATED REPLACEMENT EXPENDITURE</t>
  </si>
  <si>
    <t>Historical Expenditure by Bushfire Category</t>
  </si>
  <si>
    <t>Multi Circuit Rebuild - LBRA</t>
  </si>
  <si>
    <t>Armour rods &amp; dampers - HBRA</t>
  </si>
  <si>
    <t>Armour rods &amp; dampers - LBRA</t>
  </si>
  <si>
    <t>Line Replacement Projects</t>
  </si>
  <si>
    <t>Project List by Bushfire Category</t>
  </si>
  <si>
    <t>Source: Project List</t>
  </si>
  <si>
    <t>ARVDs</t>
  </si>
  <si>
    <t>VBRC Other</t>
  </si>
  <si>
    <t>End of Sheet</t>
  </si>
  <si>
    <t>2019/20</t>
  </si>
  <si>
    <t>2020/21</t>
  </si>
  <si>
    <t>2021/22</t>
  </si>
  <si>
    <t>2022/23</t>
  </si>
  <si>
    <t>2023/24</t>
  </si>
  <si>
    <t>2024/25</t>
  </si>
  <si>
    <t>2025/26</t>
  </si>
  <si>
    <t>$'000 2021</t>
  </si>
  <si>
    <t>REFCL Tranche 3</t>
  </si>
  <si>
    <t>2016/17</t>
  </si>
  <si>
    <t>2017/18</t>
  </si>
  <si>
    <t>2018/19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</si>
  <si>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</si>
  <si>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</si>
  <si>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</si>
  <si>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</si>
  <si>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</si>
  <si>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</si>
  <si>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</si>
  <si>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</si>
  <si>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Mitigating REFCL reliability impacts</t>
  </si>
  <si>
    <t>Direct Capex</t>
  </si>
  <si>
    <t>2021-2026 total</t>
  </si>
  <si>
    <t>SWER replacement program</t>
  </si>
  <si>
    <t>HV clearances</t>
  </si>
  <si>
    <t>Replace LV fuse switch disconnectors (FSDs) in ELCAs</t>
  </si>
  <si>
    <t>Replace LV fused overhead line connector boxes (FOLCBs) in ELCAs</t>
  </si>
  <si>
    <t>Bushfire category</t>
  </si>
  <si>
    <t>2011/12</t>
  </si>
  <si>
    <t>2012/13</t>
  </si>
  <si>
    <t>2013/14</t>
  </si>
  <si>
    <t>2014/15</t>
  </si>
  <si>
    <t>2015/16</t>
  </si>
  <si>
    <t>Inflation Rates and Conversion factor to June 2021</t>
  </si>
  <si>
    <t xml:space="preserve">Forecast expenditure by RIN category: augex table 2.3.4 </t>
  </si>
  <si>
    <t>Forecast expenditure by RIN category: repex table 2.2</t>
  </si>
  <si>
    <t xml:space="preserve">Forecast expenditure </t>
  </si>
  <si>
    <t>REFCL ongoing compliance: CLC new REFCL</t>
  </si>
  <si>
    <t>REFCL compliance: WPD station works</t>
  </si>
  <si>
    <t>REFCL compliance: WPD line hardening/distribution works</t>
  </si>
  <si>
    <t>REFCL compliance: WPD (TQY GFNs)</t>
  </si>
  <si>
    <t>REFCL ongoing compliance: CMN new REFCL</t>
  </si>
  <si>
    <t>REFCL ongoing compliance: EHK new transformer and REFCL</t>
  </si>
  <si>
    <t>REFCL ongoing compliance: GSB new REFCL</t>
  </si>
  <si>
    <t>REFCL ongoing compliance: BETS iso and feeder rearragement</t>
  </si>
  <si>
    <t>REFCL ongoing compliance: BGO feeder rearrangement</t>
  </si>
  <si>
    <t>REFCL ongoing compliance: WIN new transformer and REFCL</t>
  </si>
  <si>
    <t>REFCL compliance: tranche 1 and 2</t>
  </si>
  <si>
    <t>Check</t>
  </si>
  <si>
    <t>Financial year</t>
  </si>
  <si>
    <t>Powercor - Bushfire Safety</t>
  </si>
  <si>
    <t>Calendar year</t>
  </si>
  <si>
    <t>REFCL compliance: tranche 3</t>
  </si>
  <si>
    <t>REFCL compliance: GHP zone substation</t>
  </si>
  <si>
    <t>Non REFCL(AR&amp;D and Spacer)</t>
  </si>
  <si>
    <t>Bushfire mitigation research and development</t>
  </si>
  <si>
    <t>AER draft decision</t>
  </si>
  <si>
    <t>RRP change</t>
  </si>
  <si>
    <t>AER adjustments</t>
  </si>
  <si>
    <t>AER Draft decision</t>
  </si>
  <si>
    <t>Early fault detection</t>
  </si>
  <si>
    <t>Replace wood crossarms in ELCA's</t>
  </si>
  <si>
    <t>Technology developments and research partnerships (annual program)</t>
  </si>
  <si>
    <t>Cross arm and insulator replacement</t>
  </si>
  <si>
    <t>REFCL compliance: CRO zone substation</t>
  </si>
  <si>
    <t>REFCL ongoing compliance: BAW zone substation</t>
  </si>
  <si>
    <t>REFCL compliance: GHP adjustment for augex already accounted for</t>
  </si>
  <si>
    <t>REFCL compliance: removal of tranche two allowance for GL</t>
  </si>
  <si>
    <t>Project List-RRP</t>
  </si>
  <si>
    <t>Project List-AER</t>
  </si>
  <si>
    <t>REFCL compliance: tranche 3 placeholder</t>
  </si>
  <si>
    <t>New items relevant for PAL amended REFCL forecast</t>
  </si>
  <si>
    <t>$2019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</si>
</sst>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* \(#,##0\)_-;_-* &quot;-&quot;??_-;_-@_-"/>
    <numFmt numFmtId="166" formatCode="#,##0_);\(#,##0\);\-\-_)"/>
    <numFmt numFmtId="167" formatCode="_-* #,##0_-;\-* #,##0_-;_-* &quot;-&quot;??_-;_-@_-"/>
    <numFmt numFmtId="168" formatCode="0.000"/>
    <numFmt numFmtId="169" formatCode="_(* #,##0_);_(* \(#,##0\);_(* &quot;-&quot;_);_(@_)"/>
    <numFmt numFmtId="170" formatCode="_(* #,##0.00_);_(* \(#,##0.00\);_(* &quot;-&quot;??_);_(@_)"/>
  </numFmts>
  <fonts count="32" x14ac:knownFonts="1">
    <font>
      <sz val="10"/>
      <color theme="1"/>
      <name val="Verdana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1"/>
      <color theme="1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b/>
      <sz val="12"/>
      <color indexed="9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00B050"/>
      <name val="Verdana"/>
      <family val="2"/>
    </font>
    <font>
      <sz val="10"/>
      <color theme="1"/>
      <name val="Verdana"/>
      <family val="2"/>
    </font>
    <font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i/>
      <sz val="10"/>
      <color theme="1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</fills>
  <borders count="1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</borders>
  <cellStyleXfs count="25">
    <xf numFmtId="0" fontId="0" fillId="0" borderId="0"/>
    <xf numFmtId="0" fontId="5" fillId="0" borderId="0"/>
    <xf numFmtId="0" fontId="1" fillId="2" borderId="1" applyNumberFormat="0" applyAlignment="0">
      <alignment horizontal="right"/>
      <protection locked="0"/>
    </xf>
    <xf numFmtId="164" fontId="2" fillId="0" borderId="0" applyFont="0" applyFill="0" applyBorder="0" applyAlignment="0" applyProtection="0"/>
    <xf numFmtId="165" fontId="3" fillId="3" borderId="2" applyAlignment="0"/>
    <xf numFmtId="0" fontId="14" fillId="0" borderId="0" applyNumberFormat="0"/>
    <xf numFmtId="0" fontId="4" fillId="0" borderId="3" applyNumberFormat="0" applyAlignment="0"/>
    <xf numFmtId="0" fontId="2" fillId="0" borderId="4" applyNumberFormat="0" applyFont="0" applyFill="0" applyAlignment="0"/>
    <xf numFmtId="0" fontId="4" fillId="4" borderId="3" applyNumberFormat="0" applyAlignment="0"/>
    <xf numFmtId="0" fontId="2" fillId="0" borderId="8" applyNumberFormat="0" applyFont="0" applyFill="0" applyAlignment="0"/>
    <xf numFmtId="0" fontId="1" fillId="5" borderId="3" applyNumberFormat="0" applyProtection="0"/>
    <xf numFmtId="0" fontId="4" fillId="0" borderId="0"/>
    <xf numFmtId="0" fontId="5" fillId="1" borderId="0"/>
    <xf numFmtId="0" fontId="6" fillId="6" borderId="5" applyNumberFormat="0" applyAlignment="0"/>
    <xf numFmtId="0" fontId="7" fillId="7" borderId="3" applyNumberFormat="0">
      <alignment horizontal="centerContinuous" vertical="center" wrapText="1"/>
    </xf>
    <xf numFmtId="0" fontId="8" fillId="6" borderId="6" applyNumberFormat="0" applyAlignment="0"/>
    <xf numFmtId="0" fontId="17" fillId="0" borderId="0" applyNumberFormat="0"/>
    <xf numFmtId="0" fontId="12" fillId="10" borderId="0"/>
    <xf numFmtId="0" fontId="13" fillId="0" borderId="0"/>
    <xf numFmtId="166" fontId="11" fillId="13" borderId="0"/>
    <xf numFmtId="166" fontId="18" fillId="13" borderId="0"/>
    <xf numFmtId="0" fontId="21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1" fontId="1" fillId="16" borderId="1" applyAlignment="0">
      <alignment horizontal="right"/>
      <protection locked="0"/>
    </xf>
    <xf numFmtId="0" fontId="29" fillId="0" borderId="0"/>
  </cellStyleXfs>
  <cellXfs count="163">
    <xf numFmtId="0" fontId="0" fillId="0" borderId="0" xfId="0"/>
    <xf numFmtId="0" fontId="0" fillId="8" borderId="0" xfId="0" applyFill="1"/>
    <xf numFmtId="0" fontId="9" fillId="8" borderId="0" xfId="12" applyFont="1" applyFill="1"/>
    <xf numFmtId="0" fontId="5" fillId="8" borderId="0" xfId="12" applyFill="1"/>
    <xf numFmtId="0" fontId="10" fillId="8" borderId="7" xfId="12" applyFont="1" applyFill="1" applyBorder="1"/>
    <xf numFmtId="0" fontId="5" fillId="8" borderId="7" xfId="12" applyFill="1" applyBorder="1"/>
    <xf numFmtId="0" fontId="1" fillId="2" borderId="1" xfId="2" applyNumberFormat="1">
      <alignment horizontal="right"/>
      <protection locked="0"/>
    </xf>
    <xf numFmtId="0" fontId="15" fillId="8" borderId="0" xfId="16" applyFont="1" applyFill="1"/>
    <xf numFmtId="0" fontId="4" fillId="6" borderId="6" xfId="15" applyFont="1"/>
    <xf numFmtId="0" fontId="5" fillId="9" borderId="2" xfId="12" applyFill="1" applyBorder="1"/>
    <xf numFmtId="0" fontId="16" fillId="8" borderId="0" xfId="12" applyFont="1" applyFill="1"/>
    <xf numFmtId="0" fontId="4" fillId="8" borderId="3" xfId="6" applyFont="1" applyFill="1"/>
    <xf numFmtId="0" fontId="6" fillId="6" borderId="5" xfId="13"/>
    <xf numFmtId="0" fontId="5" fillId="0" borderId="4" xfId="7" applyFont="1"/>
    <xf numFmtId="0" fontId="5" fillId="0" borderId="8" xfId="9" applyFont="1"/>
    <xf numFmtId="0" fontId="17" fillId="0" borderId="0" xfId="16" applyFont="1"/>
    <xf numFmtId="0" fontId="4" fillId="4" borderId="3" xfId="8"/>
    <xf numFmtId="0" fontId="7" fillId="7" borderId="3" xfId="14">
      <alignment horizontal="centerContinuous" vertical="center" wrapText="1"/>
    </xf>
    <xf numFmtId="165" fontId="3" fillId="3" borderId="2" xfId="4"/>
    <xf numFmtId="0" fontId="1" fillId="5" borderId="3" xfId="10"/>
    <xf numFmtId="0" fontId="4" fillId="0" borderId="0" xfId="11"/>
    <xf numFmtId="0" fontId="14" fillId="0" borderId="0" xfId="5"/>
    <xf numFmtId="0" fontId="12" fillId="10" borderId="0" xfId="17"/>
    <xf numFmtId="0" fontId="13" fillId="0" borderId="0" xfId="18"/>
    <xf numFmtId="166" fontId="11" fillId="13" borderId="0" xfId="19"/>
    <xf numFmtId="0" fontId="4" fillId="8" borderId="0" xfId="11" applyFill="1"/>
    <xf numFmtId="166" fontId="18" fillId="13" borderId="0" xfId="20"/>
    <xf numFmtId="0" fontId="22" fillId="6" borderId="3" xfId="21" applyFont="1" applyFill="1" applyBorder="1" applyAlignment="1">
      <alignment horizontal="center" vertical="center"/>
    </xf>
    <xf numFmtId="0" fontId="23" fillId="8" borderId="0" xfId="0" applyFont="1" applyFill="1"/>
    <xf numFmtId="0" fontId="24" fillId="8" borderId="0" xfId="0" applyFont="1" applyFill="1"/>
    <xf numFmtId="166" fontId="18" fillId="13" borderId="0" xfId="20" applyAlignment="1">
      <alignment horizontal="right"/>
    </xf>
    <xf numFmtId="166" fontId="25" fillId="5" borderId="3" xfId="10" applyNumberFormat="1" applyFont="1" applyAlignment="1">
      <alignment horizontal="center"/>
    </xf>
    <xf numFmtId="0" fontId="26" fillId="8" borderId="0" xfId="0" applyFont="1" applyFill="1"/>
    <xf numFmtId="0" fontId="0" fillId="0" borderId="0" xfId="0"/>
    <xf numFmtId="166" fontId="11" fillId="13" borderId="0" xfId="19" applyFont="1"/>
    <xf numFmtId="0" fontId="28" fillId="6" borderId="3" xfId="21" applyFont="1" applyFill="1" applyBorder="1" applyAlignment="1">
      <alignment horizontal="center" vertical="center"/>
    </xf>
    <xf numFmtId="0" fontId="5" fillId="0" borderId="0" xfId="0" applyFont="1"/>
    <xf numFmtId="166" fontId="18" fillId="13" borderId="0" xfId="20" applyFont="1"/>
    <xf numFmtId="0" fontId="4" fillId="8" borderId="0" xfId="11" applyFont="1" applyFill="1"/>
    <xf numFmtId="0" fontId="12" fillId="8" borderId="0" xfId="18" applyFont="1" applyFill="1"/>
    <xf numFmtId="0" fontId="5" fillId="8" borderId="0" xfId="0" applyFont="1" applyFill="1"/>
    <xf numFmtId="0" fontId="17" fillId="8" borderId="0" xfId="16" applyFill="1"/>
    <xf numFmtId="0" fontId="4" fillId="8" borderId="3" xfId="11" applyFont="1" applyFill="1" applyBorder="1"/>
    <xf numFmtId="43" fontId="4" fillId="8" borderId="0" xfId="11" applyNumberFormat="1" applyFont="1" applyFill="1"/>
    <xf numFmtId="0" fontId="4" fillId="4" borderId="3" xfId="8" applyAlignment="1">
      <alignment horizontal="right"/>
    </xf>
    <xf numFmtId="167" fontId="4" fillId="4" borderId="3" xfId="8" applyNumberFormat="1"/>
    <xf numFmtId="0" fontId="7" fillId="7" borderId="3" xfId="14" applyAlignment="1">
      <alignment horizontal="left" vertical="center" wrapText="1"/>
    </xf>
    <xf numFmtId="167" fontId="6" fillId="6" borderId="5" xfId="13" applyNumberFormat="1" applyAlignment="1"/>
    <xf numFmtId="0" fontId="13" fillId="0" borderId="0" xfId="18" applyAlignment="1">
      <alignment horizontal="left"/>
    </xf>
    <xf numFmtId="0" fontId="1" fillId="2" borderId="1" xfId="2" applyAlignment="1">
      <alignment horizontal="center"/>
      <protection locked="0"/>
    </xf>
    <xf numFmtId="0" fontId="0" fillId="8" borderId="13" xfId="0" applyFill="1" applyBorder="1" applyAlignment="1">
      <alignment horizontal="center"/>
    </xf>
    <xf numFmtId="0" fontId="0" fillId="8" borderId="13" xfId="0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0" fontId="5" fillId="1" borderId="3" xfId="12" applyBorder="1"/>
    <xf numFmtId="167" fontId="6" fillId="6" borderId="5" xfId="13" applyNumberFormat="1"/>
    <xf numFmtId="0" fontId="21" fillId="8" borderId="0" xfId="21" applyFill="1"/>
    <xf numFmtId="41" fontId="6" fillId="6" borderId="5" xfId="13" applyNumberFormat="1"/>
    <xf numFmtId="167" fontId="1" fillId="2" borderId="1" xfId="2" applyNumberFormat="1" applyAlignment="1">
      <protection locked="0"/>
    </xf>
    <xf numFmtId="167" fontId="4" fillId="8" borderId="0" xfId="11" applyNumberFormat="1" applyFill="1"/>
    <xf numFmtId="0" fontId="7" fillId="7" borderId="3" xfId="14" applyAlignment="1">
      <alignment horizontal="center" vertical="center" wrapText="1"/>
    </xf>
    <xf numFmtId="0" fontId="7" fillId="7" borderId="12" xfId="14" applyBorder="1">
      <alignment horizontal="centerContinuous" vertical="center" wrapText="1"/>
    </xf>
    <xf numFmtId="0" fontId="5" fillId="8" borderId="12" xfId="0" applyFont="1" applyFill="1" applyBorder="1" applyAlignment="1">
      <alignment wrapText="1"/>
    </xf>
    <xf numFmtId="0" fontId="5" fillId="8" borderId="11" xfId="0" applyFont="1" applyFill="1" applyBorder="1"/>
    <xf numFmtId="41" fontId="1" fillId="16" borderId="1" xfId="23" applyAlignment="1">
      <protection locked="0"/>
    </xf>
    <xf numFmtId="0" fontId="5" fillId="8" borderId="14" xfId="0" applyFont="1" applyFill="1" applyBorder="1"/>
    <xf numFmtId="0" fontId="5" fillId="8" borderId="13" xfId="0" applyFont="1" applyFill="1" applyBorder="1"/>
    <xf numFmtId="0" fontId="5" fillId="8" borderId="0" xfId="0" applyFont="1" applyFill="1" applyBorder="1"/>
    <xf numFmtId="0" fontId="5" fillId="8" borderId="3" xfId="0" applyFont="1" applyFill="1" applyBorder="1"/>
    <xf numFmtId="167" fontId="4" fillId="0" borderId="3" xfId="6" applyNumberFormat="1" applyAlignment="1"/>
    <xf numFmtId="0" fontId="17" fillId="0" borderId="3" xfId="16" applyBorder="1"/>
    <xf numFmtId="0" fontId="5" fillId="8" borderId="12" xfId="0" applyFont="1" applyFill="1" applyBorder="1"/>
    <xf numFmtId="0" fontId="1" fillId="2" borderId="1" xfId="2" applyAlignment="1">
      <protection locked="0"/>
    </xf>
    <xf numFmtId="41" fontId="1" fillId="2" borderId="1" xfId="2" applyNumberFormat="1" applyAlignment="1">
      <protection locked="0"/>
    </xf>
    <xf numFmtId="41" fontId="6" fillId="6" borderId="16" xfId="13" applyNumberFormat="1" applyBorder="1"/>
    <xf numFmtId="0" fontId="23" fillId="8" borderId="0" xfId="0" applyFont="1" applyFill="1" applyAlignment="1"/>
    <xf numFmtId="167" fontId="5" fillId="8" borderId="0" xfId="0" applyNumberFormat="1" applyFont="1" applyFill="1"/>
    <xf numFmtId="3" fontId="0" fillId="8" borderId="0" xfId="0" applyNumberFormat="1" applyFill="1"/>
    <xf numFmtId="0" fontId="7" fillId="7" borderId="12" xfId="14" applyBorder="1" applyAlignment="1">
      <alignment horizontal="center" vertical="center" wrapText="1"/>
    </xf>
    <xf numFmtId="0" fontId="7" fillId="7" borderId="13" xfId="14" applyBorder="1" applyAlignment="1">
      <alignment horizontal="center" vertical="center" wrapText="1"/>
    </xf>
    <xf numFmtId="43" fontId="5" fillId="1" borderId="3" xfId="22" applyFont="1" applyFill="1" applyBorder="1"/>
    <xf numFmtId="0" fontId="22" fillId="6" borderId="3" xfId="21" applyFont="1" applyFill="1" applyBorder="1" applyAlignment="1">
      <alignment horizontal="center" vertical="center"/>
    </xf>
    <xf numFmtId="41" fontId="1" fillId="5" borderId="3" xfId="10" applyNumberFormat="1"/>
    <xf numFmtId="167" fontId="4" fillId="8" borderId="0" xfId="11" applyNumberFormat="1" applyFont="1" applyFill="1"/>
    <xf numFmtId="167" fontId="5" fillId="8" borderId="0" xfId="22" applyNumberFormat="1" applyFont="1" applyFill="1"/>
    <xf numFmtId="43" fontId="4" fillId="8" borderId="0" xfId="11" applyNumberFormat="1" applyFill="1"/>
    <xf numFmtId="0" fontId="30" fillId="8" borderId="0" xfId="11" applyFont="1" applyFill="1"/>
    <xf numFmtId="167" fontId="4" fillId="4" borderId="3" xfId="8" applyNumberFormat="1" applyAlignment="1">
      <alignment horizontal="center"/>
    </xf>
    <xf numFmtId="0" fontId="7" fillId="7" borderId="3" xfId="14" applyBorder="1" applyAlignment="1">
      <alignment horizontal="left" vertical="center" wrapText="1"/>
    </xf>
    <xf numFmtId="0" fontId="7" fillId="7" borderId="3" xfId="14" applyBorder="1">
      <alignment horizontal="centerContinuous" vertical="center" wrapText="1"/>
    </xf>
    <xf numFmtId="43" fontId="0" fillId="8" borderId="0" xfId="0" applyNumberFormat="1" applyFill="1"/>
    <xf numFmtId="43" fontId="0" fillId="17" borderId="3" xfId="22" applyFont="1" applyFill="1" applyBorder="1"/>
    <xf numFmtId="41" fontId="6" fillId="18" borderId="5" xfId="13" applyNumberFormat="1" applyFill="1"/>
    <xf numFmtId="41" fontId="6" fillId="18" borderId="16" xfId="13" applyNumberFormat="1" applyFill="1" applyBorder="1"/>
    <xf numFmtId="0" fontId="5" fillId="1" borderId="3" xfId="12" applyFill="1" applyBorder="1"/>
    <xf numFmtId="167" fontId="6" fillId="18" borderId="5" xfId="13" applyNumberFormat="1" applyFill="1"/>
    <xf numFmtId="41" fontId="1" fillId="19" borderId="3" xfId="10" applyNumberFormat="1" applyFill="1"/>
    <xf numFmtId="41" fontId="1" fillId="2" borderId="1" xfId="2" applyNumberFormat="1" applyFill="1" applyAlignment="1">
      <protection locked="0"/>
    </xf>
    <xf numFmtId="167" fontId="4" fillId="0" borderId="3" xfId="6" applyNumberFormat="1" applyFill="1" applyAlignment="1"/>
    <xf numFmtId="167" fontId="4" fillId="21" borderId="3" xfId="8" applyNumberFormat="1" applyFill="1"/>
    <xf numFmtId="167" fontId="1" fillId="19" borderId="3" xfId="10" applyNumberFormat="1" applyFill="1"/>
    <xf numFmtId="167" fontId="6" fillId="18" borderId="5" xfId="13" applyNumberFormat="1" applyFill="1" applyAlignment="1"/>
    <xf numFmtId="167" fontId="6" fillId="18" borderId="15" xfId="13" applyNumberFormat="1" applyFill="1" applyBorder="1" applyAlignment="1"/>
    <xf numFmtId="167" fontId="6" fillId="18" borderId="17" xfId="13" applyNumberFormat="1" applyFill="1" applyBorder="1" applyAlignment="1"/>
    <xf numFmtId="167" fontId="6" fillId="18" borderId="16" xfId="13" applyNumberFormat="1" applyFill="1" applyBorder="1" applyAlignment="1"/>
    <xf numFmtId="0" fontId="4" fillId="23" borderId="3" xfId="11" applyFont="1" applyFill="1" applyBorder="1" applyAlignment="1">
      <alignment horizontal="center"/>
    </xf>
    <xf numFmtId="166" fontId="25" fillId="19" borderId="3" xfId="10" applyNumberFormat="1" applyFont="1" applyFill="1" applyAlignment="1">
      <alignment horizontal="center"/>
    </xf>
    <xf numFmtId="166" fontId="18" fillId="13" borderId="0" xfId="20" applyFill="1"/>
    <xf numFmtId="167" fontId="1" fillId="20" borderId="3" xfId="10" applyNumberFormat="1" applyFill="1"/>
    <xf numFmtId="167" fontId="4" fillId="20" borderId="3" xfId="11" applyNumberFormat="1" applyFill="1" applyBorder="1"/>
    <xf numFmtId="0" fontId="5" fillId="23" borderId="0" xfId="0" applyFont="1" applyFill="1"/>
    <xf numFmtId="166" fontId="18" fillId="13" borderId="0" xfId="20" applyFont="1" applyFill="1"/>
    <xf numFmtId="0" fontId="1" fillId="2" borderId="1" xfId="2" applyFill="1" applyAlignment="1">
      <protection locked="0"/>
    </xf>
    <xf numFmtId="0" fontId="4" fillId="23" borderId="3" xfId="11" applyFont="1" applyFill="1" applyBorder="1"/>
    <xf numFmtId="10" fontId="1" fillId="0" borderId="1" xfId="2" applyNumberFormat="1" applyFill="1" applyAlignment="1">
      <alignment horizontal="center"/>
      <protection locked="0"/>
    </xf>
    <xf numFmtId="167" fontId="0" fillId="8" borderId="0" xfId="0" applyNumberFormat="1" applyFill="1"/>
    <xf numFmtId="41" fontId="0" fillId="8" borderId="0" xfId="0" applyNumberFormat="1" applyFill="1"/>
    <xf numFmtId="0" fontId="4" fillId="25" borderId="0" xfId="11" applyFill="1"/>
    <xf numFmtId="0" fontId="0" fillId="25" borderId="0" xfId="0" applyFill="1"/>
    <xf numFmtId="0" fontId="4" fillId="25" borderId="0" xfId="11" applyFont="1" applyFill="1"/>
    <xf numFmtId="0" fontId="23" fillId="25" borderId="0" xfId="0" applyFont="1" applyFill="1"/>
    <xf numFmtId="0" fontId="4" fillId="24" borderId="0" xfId="11" applyFill="1"/>
    <xf numFmtId="0" fontId="0" fillId="24" borderId="0" xfId="0" applyFill="1"/>
    <xf numFmtId="0" fontId="12" fillId="0" borderId="0" xfId="18" applyFont="1" applyFill="1"/>
    <xf numFmtId="167" fontId="4" fillId="0" borderId="3" xfId="6" applyNumberFormat="1" applyFont="1" applyFill="1" applyAlignment="1"/>
    <xf numFmtId="167" fontId="4" fillId="0" borderId="3" xfId="6" applyNumberFormat="1" applyFill="1"/>
    <xf numFmtId="0" fontId="4" fillId="0" borderId="3" xfId="11" applyFont="1" applyFill="1" applyBorder="1"/>
    <xf numFmtId="0" fontId="5" fillId="0" borderId="0" xfId="0" applyFont="1" applyFill="1"/>
    <xf numFmtId="167" fontId="6" fillId="18" borderId="5" xfId="13" applyNumberFormat="1" applyFont="1" applyFill="1" applyAlignment="1"/>
    <xf numFmtId="167" fontId="4" fillId="24" borderId="3" xfId="6" applyNumberFormat="1" applyFill="1"/>
    <xf numFmtId="167" fontId="4" fillId="26" borderId="3" xfId="6" applyNumberFormat="1" applyFill="1"/>
    <xf numFmtId="3" fontId="4" fillId="13" borderId="3" xfId="11" applyNumberFormat="1" applyFill="1" applyBorder="1" applyAlignment="1">
      <alignment wrapText="1"/>
    </xf>
    <xf numFmtId="169" fontId="1" fillId="2" borderId="1" xfId="2" applyNumberFormat="1" applyFill="1" applyAlignment="1">
      <protection locked="0"/>
    </xf>
    <xf numFmtId="169" fontId="1" fillId="2" borderId="1" xfId="2" applyNumberFormat="1" applyAlignment="1">
      <protection locked="0"/>
    </xf>
    <xf numFmtId="41" fontId="1" fillId="24" borderId="1" xfId="2" applyNumberFormat="1" applyFill="1" applyAlignment="1">
      <protection locked="0"/>
    </xf>
    <xf numFmtId="0" fontId="23" fillId="8" borderId="3" xfId="0" applyFont="1" applyFill="1" applyBorder="1"/>
    <xf numFmtId="0" fontId="23" fillId="8" borderId="3" xfId="0" applyFont="1" applyFill="1" applyBorder="1" applyAlignment="1"/>
    <xf numFmtId="43" fontId="4" fillId="8" borderId="0" xfId="11" applyNumberFormat="1" applyFont="1" applyFill="1" applyAlignment="1">
      <alignment horizontal="left"/>
    </xf>
    <xf numFmtId="170" fontId="4" fillId="8" borderId="0" xfId="11" applyNumberFormat="1" applyFill="1"/>
    <xf numFmtId="169" fontId="1" fillId="13" borderId="1" xfId="2" applyNumberFormat="1" applyFill="1" applyAlignment="1">
      <protection locked="0"/>
    </xf>
    <xf numFmtId="0" fontId="1" fillId="25" borderId="1" xfId="2" applyFill="1" applyAlignment="1">
      <protection locked="0"/>
    </xf>
    <xf numFmtId="170" fontId="0" fillId="8" borderId="0" xfId="0" applyNumberFormat="1" applyFill="1"/>
    <xf numFmtId="0" fontId="31" fillId="25" borderId="0" xfId="0" applyFont="1" applyFill="1"/>
    <xf numFmtId="169" fontId="0" fillId="8" borderId="0" xfId="0" applyNumberFormat="1" applyFill="1"/>
    <xf numFmtId="166" fontId="4" fillId="24" borderId="0" xfId="19" applyFont="1" applyFill="1"/>
    <xf numFmtId="166" fontId="4" fillId="26" borderId="0" xfId="19" applyFont="1" applyFill="1"/>
    <xf numFmtId="168" fontId="1" fillId="24" borderId="1" xfId="2" applyNumberFormat="1" applyFill="1" applyAlignment="1">
      <alignment horizontal="center"/>
      <protection locked="0"/>
    </xf>
    <xf numFmtId="0" fontId="19" fillId="12" borderId="3" xfId="0" applyFont="1" applyFill="1" applyBorder="1" applyAlignment="1">
      <alignment horizontal="center"/>
    </xf>
    <xf numFmtId="0" fontId="23" fillId="8" borderId="3" xfId="21" applyFont="1" applyFill="1" applyBorder="1" applyAlignment="1">
      <alignment horizontal="center"/>
    </xf>
    <xf numFmtId="0" fontId="19" fillId="13" borderId="3" xfId="0" applyFont="1" applyFill="1" applyBorder="1" applyAlignment="1">
      <alignment horizontal="center"/>
    </xf>
    <xf numFmtId="0" fontId="20" fillId="14" borderId="0" xfId="0" applyFont="1" applyFill="1" applyAlignment="1">
      <alignment horizontal="center"/>
    </xf>
    <xf numFmtId="0" fontId="19" fillId="11" borderId="3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15" borderId="3" xfId="0" applyFont="1" applyFill="1" applyBorder="1" applyAlignment="1">
      <alignment horizontal="center"/>
    </xf>
    <xf numFmtId="0" fontId="23" fillId="8" borderId="3" xfId="0" applyFont="1" applyFill="1" applyBorder="1" applyAlignment="1">
      <alignment horizontal="center"/>
    </xf>
    <xf numFmtId="0" fontId="23" fillId="8" borderId="4" xfId="0" applyFont="1" applyFill="1" applyBorder="1" applyAlignment="1">
      <alignment horizontal="center"/>
    </xf>
    <xf numFmtId="0" fontId="7" fillId="7" borderId="9" xfId="14" applyBorder="1" applyAlignment="1">
      <alignment horizontal="center" vertical="center" wrapText="1"/>
    </xf>
    <xf numFmtId="0" fontId="7" fillId="7" borderId="10" xfId="14" applyBorder="1" applyAlignment="1">
      <alignment horizontal="center" vertical="center" wrapText="1"/>
    </xf>
    <xf numFmtId="0" fontId="7" fillId="7" borderId="11" xfId="14" applyBorder="1" applyAlignment="1">
      <alignment horizontal="center" vertical="center" wrapText="1"/>
    </xf>
    <xf numFmtId="0" fontId="7" fillId="22" borderId="9" xfId="14" applyFill="1" applyBorder="1" applyAlignment="1">
      <alignment horizontal="center" vertical="center" wrapText="1"/>
    </xf>
    <xf numFmtId="0" fontId="7" fillId="7" borderId="12" xfId="14" applyBorder="1" applyAlignment="1">
      <alignment horizontal="center" vertical="center" wrapText="1"/>
    </xf>
    <xf numFmtId="0" fontId="7" fillId="7" borderId="13" xfId="14" applyBorder="1" applyAlignment="1">
      <alignment horizontal="center" vertical="center" wrapText="1"/>
    </xf>
  </cellXfs>
  <cellStyles count="25">
    <cellStyle name="Base_Input" xfId="15" xr:uid="{00000000-0005-0000-0000-000000000000}"/>
    <cellStyle name="Check_Cell" xfId="10" xr:uid="{00000000-0005-0000-0000-000001000000}"/>
    <cellStyle name="Comma" xfId="22" builtinId="3"/>
    <cellStyle name="Comma [0] 2" xfId="3" xr:uid="{00000000-0005-0000-0000-000003000000}"/>
    <cellStyle name="Empty_Cell" xfId="12" xr:uid="{00000000-0005-0000-0000-000004000000}"/>
    <cellStyle name="Explanatory Text" xfId="1" builtinId="53" customBuiltin="1"/>
    <cellStyle name="Flag" xfId="4" xr:uid="{00000000-0005-0000-0000-000006000000}"/>
    <cellStyle name="Header1" xfId="19" xr:uid="{00000000-0005-0000-0000-000007000000}"/>
    <cellStyle name="Header1A" xfId="20" xr:uid="{00000000-0005-0000-0000-000008000000}"/>
    <cellStyle name="Header2" xfId="17" xr:uid="{00000000-0005-0000-0000-000009000000}"/>
    <cellStyle name="Header3" xfId="5" xr:uid="{00000000-0005-0000-0000-00000A000000}"/>
    <cellStyle name="Header4" xfId="18" xr:uid="{00000000-0005-0000-0000-00000B000000}"/>
    <cellStyle name="Hyperlink" xfId="21" builtinId="8"/>
    <cellStyle name="Insheet" xfId="6" xr:uid="{00000000-0005-0000-0000-00000D000000}"/>
    <cellStyle name="Line_SubTotal" xfId="7" xr:uid="{00000000-0005-0000-0000-00000E000000}"/>
    <cellStyle name="Line_Summary" xfId="8" xr:uid="{00000000-0005-0000-0000-00000F000000}"/>
    <cellStyle name="Line_Total" xfId="9" xr:uid="{00000000-0005-0000-0000-000010000000}"/>
    <cellStyle name="Normal" xfId="0" builtinId="0" customBuiltin="1"/>
    <cellStyle name="Normal 10" xfId="11" xr:uid="{00000000-0005-0000-0000-000012000000}"/>
    <cellStyle name="Normal 119" xfId="24" xr:uid="{00000000-0005-0000-0000-000013000000}"/>
    <cellStyle name="Offsheet" xfId="13" xr:uid="{00000000-0005-0000-0000-000014000000}"/>
    <cellStyle name="Table_Heading" xfId="14" xr:uid="{00000000-0005-0000-0000-000015000000}"/>
    <cellStyle name="Unit" xfId="16" xr:uid="{00000000-0005-0000-0000-000016000000}"/>
    <cellStyle name="User_Input_Actual" xfId="2" xr:uid="{00000000-0005-0000-0000-000017000000}"/>
    <cellStyle name="User_Input_Forecast 2" xfId="23" xr:uid="{00000000-0005-0000-0000-000018000000}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CC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ing/PAL%20RRP%20MOD%206.17%20-%20FSD%20model%20-%20Dec2020%20-%20Publ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ing/PAL%20RRP%20MOD%206.18%20-%20FOLCB%20model%20-%20Dec2020%20-%20Publ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ing/PAL%20RRP%20MOD%206.10%20-%20REFCL%20cost%20model%20-%20Dec2020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 Costs"/>
      <sheetName val="Inflation"/>
      <sheetName val="Scenario Manager"/>
      <sheetName val="Base Case"/>
      <sheetName val="Scenario A"/>
      <sheetName val="Scenario B"/>
      <sheetName val="Scenario C"/>
      <sheetName val="Scenario D"/>
      <sheetName val="Scenario E"/>
      <sheetName val="Scenario F"/>
      <sheetName val="Annualised Cost"/>
      <sheetName val="Summary"/>
    </sheetNames>
    <sheetDataSet>
      <sheetData sheetId="0"/>
      <sheetData sheetId="1">
        <row r="7">
          <cell r="E7">
            <v>368946.45011453447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 Costs"/>
      <sheetName val="Inflation"/>
      <sheetName val="Scenario Manager"/>
      <sheetName val="Base Case"/>
      <sheetName val="Scenario A"/>
      <sheetName val="Scenario B"/>
      <sheetName val="Scenario C"/>
      <sheetName val="Scenario D"/>
      <sheetName val="Scenario E"/>
      <sheetName val="Scenario F"/>
      <sheetName val="Annualised Cost"/>
      <sheetName val="Summary"/>
    </sheetNames>
    <sheetDataSet>
      <sheetData sheetId="0"/>
      <sheetData sheetId="1">
        <row r="7">
          <cell r="E7">
            <v>496364.69301447901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_Summary"/>
      <sheetName val="Cost_Summary"/>
      <sheetName val="Project_inputs"/>
      <sheetName val="Asset_groups"/>
      <sheetName val="CLC_volumes"/>
      <sheetName val="CMN_volumes"/>
      <sheetName val="EHK_volumes"/>
      <sheetName val="GSB_volumes"/>
      <sheetName val="BETS_volumes"/>
      <sheetName val="BGO_volumes"/>
      <sheetName val="WIN_volumes"/>
      <sheetName val="WPD_volumes"/>
      <sheetName val="TQY_volumes"/>
      <sheetName val="GHP_volumes"/>
      <sheetName val="CLC_cost"/>
      <sheetName val="CMN_cost"/>
      <sheetName val="EHK_cost"/>
      <sheetName val="GSB_cost"/>
      <sheetName val="BETS_cost"/>
      <sheetName val="BGO_cost"/>
      <sheetName val="WIN_cost"/>
      <sheetName val="WPD_cost"/>
      <sheetName val="TQY_cost"/>
      <sheetName val="GHP_cost"/>
      <sheetName val="Tot_cost"/>
      <sheetName val="Total_CY"/>
      <sheetName val="Total_FY"/>
      <sheetName val="Labour_rates_CY"/>
      <sheetName val="Labour_rates_FY"/>
    </sheetNames>
    <sheetDataSet>
      <sheetData sheetId="0"/>
      <sheetData sheetId="1">
        <row r="79">
          <cell r="R79">
            <v>-19000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3">
          <cell r="AD73">
            <v>0</v>
          </cell>
          <cell r="AE73">
            <v>0</v>
          </cell>
          <cell r="AF73">
            <v>262671.71509885736</v>
          </cell>
          <cell r="AG73">
            <v>2795834.0084804632</v>
          </cell>
          <cell r="AH73">
            <v>0</v>
          </cell>
          <cell r="AI73">
            <v>0</v>
          </cell>
          <cell r="AJ73">
            <v>0</v>
          </cell>
        </row>
      </sheetData>
      <sheetData sheetId="15">
        <row r="73"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2502970.5157598895</v>
          </cell>
          <cell r="AI73">
            <v>0</v>
          </cell>
          <cell r="AJ73">
            <v>0</v>
          </cell>
        </row>
      </sheetData>
      <sheetData sheetId="16">
        <row r="73"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7420732.7642064095</v>
          </cell>
          <cell r="AJ73">
            <v>0</v>
          </cell>
        </row>
      </sheetData>
      <sheetData sheetId="17">
        <row r="73"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3046660.6326869153</v>
          </cell>
          <cell r="AI73">
            <v>0</v>
          </cell>
          <cell r="AJ73">
            <v>0</v>
          </cell>
        </row>
      </sheetData>
      <sheetData sheetId="18">
        <row r="73"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2545140.0525381202</v>
          </cell>
          <cell r="AJ73">
            <v>0</v>
          </cell>
        </row>
      </sheetData>
      <sheetData sheetId="19">
        <row r="73"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1232673.3381902571</v>
          </cell>
          <cell r="AJ73">
            <v>0</v>
          </cell>
        </row>
      </sheetData>
      <sheetData sheetId="20">
        <row r="73"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8069223.1339948922</v>
          </cell>
          <cell r="AI73">
            <v>0</v>
          </cell>
          <cell r="AJ73">
            <v>0</v>
          </cell>
        </row>
      </sheetData>
      <sheetData sheetId="21">
        <row r="15">
          <cell r="AD15">
            <v>0</v>
          </cell>
          <cell r="AE15">
            <v>0</v>
          </cell>
          <cell r="AG15">
            <v>788015.14529657201</v>
          </cell>
          <cell r="AH15">
            <v>0</v>
          </cell>
          <cell r="AI15">
            <v>0</v>
          </cell>
          <cell r="AJ15">
            <v>0</v>
          </cell>
        </row>
        <row r="18">
          <cell r="AD18">
            <v>0</v>
          </cell>
          <cell r="AE18">
            <v>0</v>
          </cell>
          <cell r="AF18">
            <v>0</v>
          </cell>
          <cell r="AG18">
            <v>914565.38900000753</v>
          </cell>
          <cell r="AI18">
            <v>0</v>
          </cell>
          <cell r="AJ18">
            <v>0</v>
          </cell>
        </row>
        <row r="19">
          <cell r="AD19">
            <v>0</v>
          </cell>
          <cell r="AE19">
            <v>0</v>
          </cell>
          <cell r="AF19">
            <v>0</v>
          </cell>
          <cell r="AG19">
            <v>1686861.5771559859</v>
          </cell>
          <cell r="AI19">
            <v>0</v>
          </cell>
          <cell r="AJ19">
            <v>0</v>
          </cell>
        </row>
        <row r="20"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</row>
        <row r="21"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</row>
        <row r="22"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</row>
        <row r="24"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</row>
        <row r="25"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</row>
        <row r="28"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I30">
            <v>0</v>
          </cell>
          <cell r="AJ30">
            <v>0</v>
          </cell>
        </row>
        <row r="31"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I32">
            <v>0</v>
          </cell>
          <cell r="AJ32">
            <v>0</v>
          </cell>
        </row>
        <row r="34">
          <cell r="AD34">
            <v>0</v>
          </cell>
          <cell r="AE34">
            <v>0</v>
          </cell>
          <cell r="AF34">
            <v>0</v>
          </cell>
          <cell r="AG34">
            <v>6732000</v>
          </cell>
          <cell r="AI34">
            <v>0</v>
          </cell>
          <cell r="AJ34">
            <v>0</v>
          </cell>
        </row>
        <row r="35"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AD37">
            <v>0</v>
          </cell>
          <cell r="AE37">
            <v>0</v>
          </cell>
          <cell r="AF37">
            <v>0</v>
          </cell>
          <cell r="AG37">
            <v>5538386.722734794</v>
          </cell>
          <cell r="AI37">
            <v>0</v>
          </cell>
          <cell r="AJ37">
            <v>0</v>
          </cell>
        </row>
        <row r="38"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AD39">
            <v>0</v>
          </cell>
          <cell r="AE39">
            <v>0</v>
          </cell>
          <cell r="AF39">
            <v>0</v>
          </cell>
          <cell r="AG39">
            <v>7344000</v>
          </cell>
          <cell r="AI39">
            <v>0</v>
          </cell>
          <cell r="AJ39">
            <v>0</v>
          </cell>
        </row>
        <row r="43">
          <cell r="AD43">
            <v>0</v>
          </cell>
          <cell r="AE43">
            <v>0</v>
          </cell>
          <cell r="AG43">
            <v>5363249.6176420581</v>
          </cell>
          <cell r="AH43">
            <v>0</v>
          </cell>
          <cell r="AI43">
            <v>0</v>
          </cell>
          <cell r="AJ43">
            <v>0</v>
          </cell>
        </row>
        <row r="44">
          <cell r="AD44">
            <v>0</v>
          </cell>
          <cell r="AE44">
            <v>0</v>
          </cell>
          <cell r="AG44">
            <v>483989.71520850225</v>
          </cell>
          <cell r="AH44">
            <v>0</v>
          </cell>
          <cell r="AI44">
            <v>0</v>
          </cell>
          <cell r="AJ44">
            <v>0</v>
          </cell>
        </row>
        <row r="45">
          <cell r="AD45">
            <v>0</v>
          </cell>
          <cell r="AE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D46">
            <v>0</v>
          </cell>
          <cell r="AE46">
            <v>0</v>
          </cell>
          <cell r="AG46">
            <v>223121.77512211719</v>
          </cell>
          <cell r="AH46">
            <v>0</v>
          </cell>
          <cell r="AI46">
            <v>0</v>
          </cell>
          <cell r="AJ46">
            <v>0</v>
          </cell>
        </row>
        <row r="47">
          <cell r="AD47">
            <v>0</v>
          </cell>
          <cell r="AE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</row>
        <row r="48">
          <cell r="AD48">
            <v>0</v>
          </cell>
          <cell r="AE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</row>
        <row r="49">
          <cell r="AD49">
            <v>0</v>
          </cell>
          <cell r="AE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D50">
            <v>0</v>
          </cell>
          <cell r="AE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AD51">
            <v>0</v>
          </cell>
          <cell r="AE51">
            <v>0</v>
          </cell>
          <cell r="AG51">
            <v>175852.35049267887</v>
          </cell>
          <cell r="AH51">
            <v>0</v>
          </cell>
          <cell r="AI51">
            <v>0</v>
          </cell>
          <cell r="AJ51">
            <v>0</v>
          </cell>
        </row>
        <row r="52">
          <cell r="AD52">
            <v>0</v>
          </cell>
          <cell r="AE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AD53">
            <v>0</v>
          </cell>
          <cell r="AE53">
            <v>0</v>
          </cell>
          <cell r="AG53">
            <v>53776.985400638048</v>
          </cell>
          <cell r="AH53">
            <v>0</v>
          </cell>
          <cell r="AI53">
            <v>0</v>
          </cell>
          <cell r="AJ53">
            <v>0</v>
          </cell>
        </row>
        <row r="54"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AD56">
            <v>0</v>
          </cell>
          <cell r="AE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AD57">
            <v>0</v>
          </cell>
          <cell r="AE57">
            <v>0</v>
          </cell>
          <cell r="AG57">
            <v>152939.76614594783</v>
          </cell>
          <cell r="AH57">
            <v>0</v>
          </cell>
          <cell r="AI57">
            <v>0</v>
          </cell>
          <cell r="AJ57">
            <v>0</v>
          </cell>
        </row>
        <row r="58"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60">
          <cell r="AD60">
            <v>0</v>
          </cell>
          <cell r="AE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AD61">
            <v>0</v>
          </cell>
          <cell r="AE61">
            <v>0</v>
          </cell>
          <cell r="AG61">
            <v>1230120</v>
          </cell>
          <cell r="AH61">
            <v>0</v>
          </cell>
          <cell r="AI61">
            <v>0</v>
          </cell>
          <cell r="AJ61">
            <v>0</v>
          </cell>
        </row>
        <row r="62"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</row>
        <row r="63"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</row>
        <row r="64"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7"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AD68">
            <v>0</v>
          </cell>
          <cell r="AE68">
            <v>0</v>
          </cell>
          <cell r="AG68">
            <v>8160</v>
          </cell>
          <cell r="AH68">
            <v>0</v>
          </cell>
          <cell r="AI68">
            <v>0</v>
          </cell>
          <cell r="AJ68">
            <v>0</v>
          </cell>
        </row>
        <row r="69">
          <cell r="AD69">
            <v>0</v>
          </cell>
          <cell r="AE69">
            <v>0</v>
          </cell>
          <cell r="AG69">
            <v>2000000</v>
          </cell>
          <cell r="AH69">
            <v>0</v>
          </cell>
          <cell r="AI69">
            <v>0</v>
          </cell>
          <cell r="AJ69">
            <v>0</v>
          </cell>
        </row>
        <row r="70">
          <cell r="AD70">
            <v>0</v>
          </cell>
          <cell r="AE70">
            <v>0</v>
          </cell>
          <cell r="AG70">
            <v>40800</v>
          </cell>
          <cell r="AH70">
            <v>0</v>
          </cell>
          <cell r="AI70">
            <v>0</v>
          </cell>
          <cell r="AJ70">
            <v>0</v>
          </cell>
        </row>
        <row r="71"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</sheetData>
      <sheetData sheetId="22">
        <row r="73">
          <cell r="AD73">
            <v>0</v>
          </cell>
          <cell r="AE73">
            <v>0</v>
          </cell>
          <cell r="AF73">
            <v>0</v>
          </cell>
          <cell r="AG73">
            <v>9944336.2204104252</v>
          </cell>
          <cell r="AH73">
            <v>0</v>
          </cell>
          <cell r="AI73">
            <v>0</v>
          </cell>
          <cell r="AJ73">
            <v>0</v>
          </cell>
        </row>
      </sheetData>
      <sheetData sheetId="23">
        <row r="73">
          <cell r="AD73">
            <v>0</v>
          </cell>
          <cell r="AE73">
            <v>0</v>
          </cell>
          <cell r="AF73">
            <v>2092376.1853260587</v>
          </cell>
          <cell r="AG73">
            <v>50244791.237798281</v>
          </cell>
          <cell r="AH73">
            <v>0</v>
          </cell>
          <cell r="AI73">
            <v>0</v>
          </cell>
          <cell r="AJ73">
            <v>0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N48"/>
  <sheetViews>
    <sheetView workbookViewId="0">
      <selection activeCell="D9" sqref="D9"/>
    </sheetView>
  </sheetViews>
  <sheetFormatPr defaultColWidth="0" defaultRowHeight="12.75" zeroHeight="1" x14ac:dyDescent="0.2"/>
  <cols>
    <col min="1" max="1" width="4.375" customWidth="1"/>
    <col min="2" max="2" width="11.875" customWidth="1"/>
    <col min="3" max="3" width="4" customWidth="1"/>
    <col min="4" max="4" width="11.625" customWidth="1"/>
    <col min="5" max="5" width="3.375" customWidth="1"/>
    <col min="6" max="14" width="9" customWidth="1"/>
    <col min="15" max="16384" width="9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2" t="s">
        <v>1</v>
      </c>
      <c r="C2" s="3"/>
      <c r="D2" s="3"/>
      <c r="E2" s="3"/>
      <c r="F2" s="3"/>
      <c r="G2" s="1"/>
      <c r="H2" s="27" t="s">
        <v>39</v>
      </c>
      <c r="I2" s="1"/>
      <c r="J2" s="1"/>
      <c r="K2" s="1"/>
      <c r="L2" s="1"/>
      <c r="M2" s="1"/>
      <c r="N2" s="1"/>
    </row>
    <row r="3" spans="1:14" x14ac:dyDescent="0.2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1"/>
      <c r="B6" s="4" t="s">
        <v>2</v>
      </c>
      <c r="C6" s="5"/>
      <c r="D6" s="4" t="s">
        <v>3</v>
      </c>
      <c r="E6" s="5"/>
      <c r="F6" s="4" t="s">
        <v>0</v>
      </c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</row>
    <row r="8" spans="1:14" ht="18" x14ac:dyDescent="0.25">
      <c r="A8" s="1"/>
      <c r="B8" s="3" t="s">
        <v>4</v>
      </c>
      <c r="C8" s="3"/>
      <c r="D8" s="24" t="s">
        <v>4</v>
      </c>
      <c r="E8" s="3"/>
      <c r="F8" s="3"/>
      <c r="G8" s="1"/>
      <c r="H8" s="1"/>
      <c r="I8" s="1"/>
      <c r="J8" s="1"/>
      <c r="K8" s="1"/>
      <c r="L8" s="1"/>
      <c r="M8" s="1"/>
      <c r="N8" s="1"/>
    </row>
    <row r="9" spans="1:14" x14ac:dyDescent="0.2">
      <c r="A9" s="1"/>
      <c r="B9" s="3"/>
      <c r="C9" s="3"/>
      <c r="D9" s="25"/>
      <c r="E9" s="3"/>
      <c r="F9" s="3"/>
      <c r="G9" s="1"/>
      <c r="H9" s="1"/>
      <c r="I9" s="1"/>
      <c r="J9" s="1"/>
      <c r="K9" s="1"/>
      <c r="L9" s="1"/>
      <c r="M9" s="1"/>
      <c r="N9" s="1"/>
    </row>
    <row r="10" spans="1:14" ht="15.75" x14ac:dyDescent="0.25">
      <c r="A10" s="1"/>
      <c r="B10" s="3" t="s">
        <v>32</v>
      </c>
      <c r="C10" s="3"/>
      <c r="D10" s="26" t="s">
        <v>32</v>
      </c>
      <c r="E10" s="3"/>
      <c r="F10" s="3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"/>
      <c r="B11" s="3"/>
      <c r="C11" s="3"/>
      <c r="D11" s="25"/>
      <c r="E11" s="3"/>
      <c r="F11" s="3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3" t="s">
        <v>5</v>
      </c>
      <c r="C12" s="3"/>
      <c r="D12" s="22" t="s">
        <v>5</v>
      </c>
      <c r="E12" s="3"/>
      <c r="F12" s="3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3"/>
      <c r="C13" s="3"/>
      <c r="D13" s="25"/>
      <c r="E13" s="3"/>
      <c r="F13" s="3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/>
      <c r="B14" s="3" t="s">
        <v>6</v>
      </c>
      <c r="C14" s="3"/>
      <c r="D14" s="21" t="s">
        <v>6</v>
      </c>
      <c r="E14" s="3"/>
      <c r="F14" s="3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3"/>
      <c r="C15" s="3"/>
      <c r="D15" s="25"/>
      <c r="E15" s="3"/>
      <c r="F15" s="3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3" t="s">
        <v>7</v>
      </c>
      <c r="C16" s="3"/>
      <c r="D16" s="23" t="s">
        <v>7</v>
      </c>
      <c r="E16" s="3"/>
      <c r="F16" s="3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3"/>
      <c r="C17" s="3"/>
      <c r="D17" s="25"/>
      <c r="E17" s="3"/>
      <c r="F17" s="3"/>
      <c r="G17" s="1"/>
      <c r="H17" s="1"/>
      <c r="I17" s="1"/>
      <c r="J17" s="1"/>
      <c r="K17" s="1"/>
      <c r="L17" s="1"/>
      <c r="M17" s="1"/>
      <c r="N17" s="1"/>
    </row>
    <row r="18" spans="1:14" ht="14.25" x14ac:dyDescent="0.2">
      <c r="A18" s="1"/>
      <c r="B18" s="3" t="s">
        <v>43</v>
      </c>
      <c r="C18" s="3"/>
      <c r="D18" s="6">
        <v>100</v>
      </c>
      <c r="E18" s="3"/>
      <c r="F18" s="7" t="s">
        <v>41</v>
      </c>
      <c r="G18" s="1"/>
      <c r="H18" s="1"/>
      <c r="I18" s="1"/>
      <c r="J18" s="1"/>
      <c r="K18" s="1"/>
      <c r="L18" s="1"/>
      <c r="M18" s="1"/>
      <c r="N18" s="1"/>
    </row>
    <row r="19" spans="1:14" ht="14.25" x14ac:dyDescent="0.2">
      <c r="A19" s="1"/>
      <c r="B19" s="3"/>
      <c r="C19" s="3"/>
      <c r="D19" s="20"/>
      <c r="E19" s="3"/>
      <c r="F19" s="7"/>
      <c r="G19" s="1"/>
      <c r="H19" s="1"/>
      <c r="I19" s="1"/>
      <c r="J19" s="1"/>
      <c r="K19" s="1"/>
      <c r="L19" s="1"/>
      <c r="M19" s="1"/>
      <c r="N19" s="1"/>
    </row>
    <row r="20" spans="1:14" ht="14.25" x14ac:dyDescent="0.2">
      <c r="A20" s="1"/>
      <c r="B20" s="3" t="s">
        <v>44</v>
      </c>
      <c r="C20" s="3"/>
      <c r="D20" s="64">
        <v>100</v>
      </c>
      <c r="E20" s="3"/>
      <c r="F20" s="7" t="s">
        <v>42</v>
      </c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3"/>
      <c r="C21" s="3"/>
      <c r="D21" s="20"/>
      <c r="E21" s="3"/>
      <c r="F21" s="3"/>
      <c r="G21" s="1"/>
      <c r="H21" s="1"/>
      <c r="I21" s="1"/>
      <c r="J21" s="1"/>
      <c r="K21" s="1"/>
      <c r="L21" s="1"/>
      <c r="M21" s="1"/>
      <c r="N21" s="1"/>
    </row>
    <row r="22" spans="1:14" ht="14.25" x14ac:dyDescent="0.2">
      <c r="A22" s="1"/>
      <c r="B22" s="3" t="s">
        <v>8</v>
      </c>
      <c r="C22" s="3"/>
      <c r="D22" s="8">
        <v>100</v>
      </c>
      <c r="E22" s="3"/>
      <c r="F22" s="7" t="s">
        <v>9</v>
      </c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3"/>
      <c r="C23" s="3"/>
      <c r="D23" s="20"/>
      <c r="E23" s="3"/>
      <c r="F23" s="3"/>
      <c r="G23" s="1"/>
      <c r="H23" s="1"/>
      <c r="I23" s="1"/>
      <c r="J23" s="1"/>
      <c r="K23" s="1"/>
      <c r="L23" s="1"/>
      <c r="M23" s="1"/>
      <c r="N23" s="1"/>
    </row>
    <row r="24" spans="1:14" ht="14.25" x14ac:dyDescent="0.2">
      <c r="A24" s="1"/>
      <c r="B24" s="3" t="s">
        <v>10</v>
      </c>
      <c r="C24" s="3"/>
      <c r="D24" s="9"/>
      <c r="E24" s="3"/>
      <c r="F24" s="7" t="s">
        <v>11</v>
      </c>
      <c r="G24" s="1"/>
      <c r="H24" s="1"/>
      <c r="I24" s="1"/>
      <c r="J24" s="1"/>
      <c r="K24" s="1"/>
      <c r="L24" s="1"/>
      <c r="M24" s="1"/>
      <c r="N24" s="1"/>
    </row>
    <row r="25" spans="1:14" ht="14.25" x14ac:dyDescent="0.2">
      <c r="A25" s="1"/>
      <c r="B25" s="3"/>
      <c r="C25" s="3"/>
      <c r="D25" s="20"/>
      <c r="E25" s="3"/>
      <c r="F25" s="10"/>
      <c r="G25" s="1"/>
      <c r="H25" s="1"/>
      <c r="I25" s="1"/>
      <c r="J25" s="1"/>
      <c r="K25" s="1"/>
      <c r="L25" s="1"/>
      <c r="M25" s="1"/>
      <c r="N25" s="1"/>
    </row>
    <row r="26" spans="1:14" ht="14.25" x14ac:dyDescent="0.2">
      <c r="A26" s="1"/>
      <c r="B26" s="3" t="s">
        <v>12</v>
      </c>
      <c r="C26" s="3"/>
      <c r="D26" s="11">
        <v>100</v>
      </c>
      <c r="E26" s="3"/>
      <c r="F26" s="7" t="s">
        <v>13</v>
      </c>
      <c r="G26" s="1"/>
      <c r="H26" s="1"/>
      <c r="I26" s="1"/>
      <c r="J26" s="1"/>
      <c r="K26" s="1"/>
      <c r="L26" s="1"/>
      <c r="M26" s="1"/>
      <c r="N26" s="1"/>
    </row>
    <row r="27" spans="1:14" ht="14.25" x14ac:dyDescent="0.2">
      <c r="A27" s="1"/>
      <c r="B27" s="3"/>
      <c r="C27" s="3"/>
      <c r="D27" s="20"/>
      <c r="E27" s="3"/>
      <c r="F27" s="10"/>
      <c r="G27" s="1"/>
      <c r="H27" s="1"/>
      <c r="I27" s="1"/>
      <c r="J27" s="1"/>
      <c r="K27" s="1"/>
      <c r="L27" s="1"/>
      <c r="M27" s="1"/>
      <c r="N27" s="1"/>
    </row>
    <row r="28" spans="1:14" ht="14.25" x14ac:dyDescent="0.2">
      <c r="A28" s="1"/>
      <c r="B28" s="3" t="s">
        <v>14</v>
      </c>
      <c r="C28" s="3"/>
      <c r="D28" s="12">
        <v>100</v>
      </c>
      <c r="E28" s="3"/>
      <c r="F28" s="7" t="s">
        <v>15</v>
      </c>
      <c r="G28" s="1"/>
      <c r="H28" s="1"/>
      <c r="I28" s="1"/>
      <c r="J28" s="1"/>
      <c r="K28" s="1"/>
      <c r="L28" s="1"/>
      <c r="M28" s="1"/>
      <c r="N28" s="1"/>
    </row>
    <row r="29" spans="1:14" ht="14.25" x14ac:dyDescent="0.2">
      <c r="A29" s="1"/>
      <c r="B29" s="3"/>
      <c r="C29" s="3"/>
      <c r="D29" s="20"/>
      <c r="E29" s="3"/>
      <c r="F29" s="10"/>
      <c r="G29" s="1"/>
      <c r="H29" s="1"/>
      <c r="I29" s="1"/>
      <c r="J29" s="1"/>
      <c r="K29" s="1"/>
      <c r="L29" s="1"/>
      <c r="M29" s="1"/>
      <c r="N29" s="1"/>
    </row>
    <row r="30" spans="1:14" ht="14.25" x14ac:dyDescent="0.2">
      <c r="A30" s="1"/>
      <c r="B30" s="3" t="s">
        <v>16</v>
      </c>
      <c r="C30" s="3"/>
      <c r="D30" s="13">
        <v>100</v>
      </c>
      <c r="E30" s="3"/>
      <c r="F30" s="7" t="s">
        <v>17</v>
      </c>
      <c r="G30" s="1"/>
      <c r="H30" s="1"/>
      <c r="I30" s="1"/>
      <c r="J30" s="1"/>
      <c r="K30" s="1"/>
      <c r="L30" s="1"/>
      <c r="M30" s="1"/>
      <c r="N30" s="1"/>
    </row>
    <row r="31" spans="1:14" ht="14.25" x14ac:dyDescent="0.2">
      <c r="A31" s="1"/>
      <c r="B31" s="3"/>
      <c r="C31" s="3"/>
      <c r="D31" s="25"/>
      <c r="E31" s="3"/>
      <c r="F31" s="10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25">
      <c r="A32" s="1"/>
      <c r="B32" s="3" t="s">
        <v>18</v>
      </c>
      <c r="C32" s="3"/>
      <c r="D32" s="14">
        <v>100</v>
      </c>
      <c r="E32" s="3"/>
      <c r="F32" s="7" t="s">
        <v>19</v>
      </c>
      <c r="G32" s="1"/>
      <c r="H32" s="1"/>
      <c r="I32" s="1"/>
      <c r="J32" s="1"/>
      <c r="K32" s="1"/>
      <c r="L32" s="1"/>
      <c r="M32" s="1"/>
      <c r="N32" s="1"/>
    </row>
    <row r="33" spans="1:14" ht="15" thickTop="1" x14ac:dyDescent="0.2">
      <c r="A33" s="1"/>
      <c r="B33" s="3"/>
      <c r="C33" s="3"/>
      <c r="D33" s="25"/>
      <c r="E33" s="3"/>
      <c r="F33" s="10"/>
      <c r="G33" s="1"/>
      <c r="H33" s="1"/>
      <c r="I33" s="1"/>
      <c r="J33" s="1"/>
      <c r="K33" s="1"/>
      <c r="L33" s="1"/>
      <c r="M33" s="1"/>
      <c r="N33" s="1"/>
    </row>
    <row r="34" spans="1:14" ht="14.25" x14ac:dyDescent="0.2">
      <c r="A34" s="1"/>
      <c r="B34" s="3" t="s">
        <v>20</v>
      </c>
      <c r="C34" s="3"/>
      <c r="D34" s="15" t="s">
        <v>21</v>
      </c>
      <c r="E34" s="3"/>
      <c r="F34" s="7" t="s">
        <v>22</v>
      </c>
      <c r="G34" s="1"/>
      <c r="H34" s="1"/>
      <c r="I34" s="1"/>
      <c r="J34" s="1"/>
      <c r="K34" s="1"/>
      <c r="L34" s="1"/>
      <c r="M34" s="1"/>
      <c r="N34" s="1"/>
    </row>
    <row r="35" spans="1:14" ht="14.25" x14ac:dyDescent="0.2">
      <c r="A35" s="1"/>
      <c r="B35" s="3"/>
      <c r="C35" s="3"/>
      <c r="D35" s="25"/>
      <c r="E35" s="3"/>
      <c r="F35" s="10"/>
      <c r="G35" s="1"/>
      <c r="H35" s="1"/>
      <c r="I35" s="1"/>
      <c r="J35" s="1"/>
      <c r="K35" s="1"/>
      <c r="L35" s="1"/>
      <c r="M35" s="1"/>
      <c r="N35" s="1"/>
    </row>
    <row r="36" spans="1:14" ht="14.25" x14ac:dyDescent="0.2">
      <c r="A36" s="1"/>
      <c r="B36" s="3" t="s">
        <v>23</v>
      </c>
      <c r="C36" s="3"/>
      <c r="D36" s="16">
        <v>100</v>
      </c>
      <c r="E36" s="3"/>
      <c r="F36" s="7" t="s">
        <v>24</v>
      </c>
      <c r="G36" s="1"/>
      <c r="H36" s="1"/>
      <c r="I36" s="1"/>
      <c r="J36" s="1"/>
      <c r="K36" s="1"/>
      <c r="L36" s="1"/>
      <c r="M36" s="1"/>
      <c r="N36" s="1"/>
    </row>
    <row r="37" spans="1:14" ht="14.25" x14ac:dyDescent="0.2">
      <c r="A37" s="1"/>
      <c r="B37" s="3"/>
      <c r="C37" s="3"/>
      <c r="D37" s="20"/>
      <c r="E37" s="3"/>
      <c r="F37" s="10"/>
      <c r="G37" s="1"/>
      <c r="H37" s="1"/>
      <c r="I37" s="1"/>
      <c r="J37" s="1"/>
      <c r="K37" s="1"/>
      <c r="L37" s="1"/>
      <c r="M37" s="1"/>
      <c r="N37" s="1"/>
    </row>
    <row r="38" spans="1:14" ht="14.25" x14ac:dyDescent="0.2">
      <c r="A38" s="1"/>
      <c r="B38" s="3" t="s">
        <v>25</v>
      </c>
      <c r="C38" s="3"/>
      <c r="D38" s="17" t="s">
        <v>26</v>
      </c>
      <c r="E38" s="3"/>
      <c r="F38" s="7" t="s">
        <v>27</v>
      </c>
      <c r="G38" s="1"/>
      <c r="H38" s="1"/>
      <c r="I38" s="1"/>
      <c r="J38" s="1"/>
      <c r="K38" s="1"/>
      <c r="L38" s="1"/>
      <c r="M38" s="1"/>
      <c r="N38" s="1"/>
    </row>
    <row r="39" spans="1:14" ht="14.25" x14ac:dyDescent="0.2">
      <c r="A39" s="1"/>
      <c r="B39" s="3"/>
      <c r="C39" s="3"/>
      <c r="D39" s="20"/>
      <c r="E39" s="3"/>
      <c r="F39" s="10"/>
      <c r="G39" s="1"/>
      <c r="H39" s="1"/>
      <c r="I39" s="1"/>
      <c r="J39" s="1"/>
      <c r="K39" s="1"/>
      <c r="L39" s="1"/>
      <c r="M39" s="1"/>
      <c r="N39" s="1"/>
    </row>
    <row r="40" spans="1:14" ht="14.25" x14ac:dyDescent="0.2">
      <c r="A40" s="1"/>
      <c r="B40" s="3" t="s">
        <v>28</v>
      </c>
      <c r="C40" s="3"/>
      <c r="D40" s="18">
        <v>1</v>
      </c>
      <c r="E40" s="3"/>
      <c r="F40" s="7" t="s">
        <v>29</v>
      </c>
      <c r="G40" s="1"/>
      <c r="H40" s="1"/>
      <c r="I40" s="1"/>
      <c r="J40" s="1"/>
      <c r="K40" s="1"/>
      <c r="L40" s="1"/>
      <c r="M40" s="1"/>
      <c r="N40" s="1"/>
    </row>
    <row r="41" spans="1:14" ht="14.25" x14ac:dyDescent="0.2">
      <c r="A41" s="1"/>
      <c r="B41" s="3"/>
      <c r="C41" s="3"/>
      <c r="D41" s="20"/>
      <c r="E41" s="3"/>
      <c r="F41" s="7"/>
      <c r="G41" s="1"/>
      <c r="H41" s="1"/>
      <c r="I41" s="1"/>
      <c r="J41" s="1"/>
      <c r="K41" s="1"/>
      <c r="L41" s="1"/>
      <c r="M41" s="1"/>
      <c r="N41" s="1"/>
    </row>
    <row r="42" spans="1:14" ht="14.25" x14ac:dyDescent="0.2">
      <c r="A42" s="1"/>
      <c r="B42" s="3" t="s">
        <v>30</v>
      </c>
      <c r="C42" s="3"/>
      <c r="D42" s="19">
        <v>100</v>
      </c>
      <c r="E42" s="3"/>
      <c r="F42" s="7" t="s">
        <v>31</v>
      </c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x14ac:dyDescent="0.2">
      <c r="A44" s="1"/>
      <c r="B44" s="1"/>
      <c r="C44" s="1"/>
      <c r="D44" s="129">
        <v>100</v>
      </c>
      <c r="E44" s="1"/>
      <c r="F44" s="7" t="s">
        <v>239</v>
      </c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33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x14ac:dyDescent="0.2">
      <c r="A46" s="1"/>
      <c r="B46" s="1"/>
      <c r="C46" s="1"/>
      <c r="D46" s="130">
        <v>100</v>
      </c>
      <c r="E46" s="1"/>
      <c r="F46" s="7" t="s">
        <v>240</v>
      </c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x14ac:dyDescent="0.2">
      <c r="A48" s="1"/>
      <c r="B48" s="1"/>
      <c r="C48" s="1"/>
      <c r="D48" s="131">
        <v>100</v>
      </c>
      <c r="E48" s="1"/>
      <c r="F48" s="7" t="s">
        <v>241</v>
      </c>
      <c r="G48" s="1"/>
      <c r="H48" s="1"/>
      <c r="I48" s="1"/>
      <c r="J48" s="1"/>
      <c r="K48" s="1"/>
      <c r="L48" s="1"/>
      <c r="M48" s="1"/>
      <c r="N48" s="1"/>
    </row>
  </sheetData>
  <hyperlinks>
    <hyperlink ref="H2" location="Menu!A1" display="Menu" xr:uid="{00000000-0004-0000-0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N48"/>
  <sheetViews>
    <sheetView workbookViewId="0">
      <selection activeCell="E12" sqref="E12:F12"/>
    </sheetView>
  </sheetViews>
  <sheetFormatPr defaultColWidth="0" defaultRowHeight="12.75" zeroHeight="1" x14ac:dyDescent="0.2"/>
  <cols>
    <col min="1" max="1" width="9" customWidth="1"/>
    <col min="2" max="3" width="10.125" customWidth="1"/>
    <col min="4" max="4" width="7.125" customWidth="1"/>
    <col min="5" max="5" width="11.5" customWidth="1"/>
    <col min="6" max="6" width="11.875" customWidth="1"/>
    <col min="7" max="7" width="7.125" customWidth="1"/>
    <col min="8" max="8" width="9.625" customWidth="1"/>
    <col min="9" max="9" width="14.125" customWidth="1"/>
    <col min="10" max="11" width="9" customWidth="1"/>
    <col min="12" max="14" width="0" hidden="1" customWidth="1"/>
    <col min="15" max="16384" width="9" hidden="1"/>
  </cols>
  <sheetData>
    <row r="1" spans="1:14" ht="18" x14ac:dyDescent="0.25">
      <c r="A1" s="24" t="s">
        <v>233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x14ac:dyDescent="0.25">
      <c r="A2" s="26" t="str">
        <f ca="1">RIGHT(CELL("filename", $A$1), LEN(CELL("filename", $A$1)) - SEARCH("]", CELL("filename", $A$1)))</f>
        <v>Menu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x14ac:dyDescent="0.25">
      <c r="A5" s="1"/>
      <c r="B5" s="151" t="s">
        <v>33</v>
      </c>
      <c r="C5" s="151"/>
      <c r="D5" s="1"/>
      <c r="E5" s="154" t="s">
        <v>34</v>
      </c>
      <c r="F5" s="154"/>
      <c r="G5" s="1"/>
      <c r="H5" s="147" t="s">
        <v>35</v>
      </c>
      <c r="I5" s="147"/>
      <c r="J5" s="1"/>
      <c r="K5" s="1"/>
      <c r="L5" s="1"/>
      <c r="M5" s="1"/>
      <c r="N5" s="1"/>
    </row>
    <row r="6" spans="1:14" x14ac:dyDescent="0.2">
      <c r="A6" s="1"/>
      <c r="B6" s="148" t="s">
        <v>38</v>
      </c>
      <c r="C6" s="148"/>
      <c r="D6" s="28"/>
      <c r="E6" s="148" t="s">
        <v>251</v>
      </c>
      <c r="F6" s="148"/>
      <c r="G6" s="28"/>
      <c r="H6" s="148" t="s">
        <v>51</v>
      </c>
      <c r="I6" s="148"/>
      <c r="J6" s="1"/>
      <c r="K6" s="1"/>
      <c r="L6" s="1"/>
      <c r="M6" s="1"/>
      <c r="N6" s="1"/>
    </row>
    <row r="7" spans="1:14" x14ac:dyDescent="0.2">
      <c r="A7" s="1"/>
      <c r="B7" s="148" t="s">
        <v>39</v>
      </c>
      <c r="C7" s="148"/>
      <c r="D7" s="28"/>
      <c r="E7" s="148"/>
      <c r="F7" s="148"/>
      <c r="G7" s="28"/>
      <c r="H7" s="148" t="s">
        <v>49</v>
      </c>
      <c r="I7" s="148"/>
      <c r="J7" s="32" t="str">
        <f>'Historical Expenditure'!K2</f>
        <v>OK</v>
      </c>
      <c r="K7" s="1"/>
      <c r="L7" s="1"/>
      <c r="M7" s="1"/>
      <c r="N7" s="1"/>
    </row>
    <row r="8" spans="1:14" x14ac:dyDescent="0.2">
      <c r="A8" s="1"/>
      <c r="B8" s="152"/>
      <c r="C8" s="152"/>
      <c r="D8" s="28"/>
      <c r="E8" s="28"/>
      <c r="F8" s="28"/>
      <c r="G8" s="28"/>
      <c r="H8" s="28"/>
      <c r="I8" s="28"/>
      <c r="J8" s="1"/>
      <c r="K8" s="1"/>
      <c r="L8" s="1"/>
      <c r="M8" s="1"/>
      <c r="N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" x14ac:dyDescent="0.25">
      <c r="A10" s="1"/>
      <c r="B10" s="149" t="s">
        <v>36</v>
      </c>
      <c r="C10" s="149"/>
      <c r="D10" s="1"/>
      <c r="E10" s="150" t="s">
        <v>37</v>
      </c>
      <c r="F10" s="150"/>
      <c r="G10" s="1"/>
      <c r="H10" s="153" t="s">
        <v>242</v>
      </c>
      <c r="I10" s="153"/>
      <c r="J10" s="1"/>
      <c r="K10" s="1"/>
      <c r="L10" s="1"/>
      <c r="M10" s="1"/>
      <c r="N10" s="1"/>
    </row>
    <row r="11" spans="1:14" x14ac:dyDescent="0.2">
      <c r="A11" s="1"/>
      <c r="B11" s="148" t="s">
        <v>52</v>
      </c>
      <c r="C11" s="148"/>
      <c r="D11" s="32" t="str">
        <f ca="1">'Forecast Expenditure'!R2</f>
        <v>OK</v>
      </c>
      <c r="E11" s="148" t="s">
        <v>204</v>
      </c>
      <c r="F11" s="148"/>
      <c r="G11" s="32" t="str">
        <f ca="1">'Direct Capex'!L2</f>
        <v>OK</v>
      </c>
      <c r="H11" s="135" t="s">
        <v>252</v>
      </c>
      <c r="I11" s="136"/>
      <c r="J11" s="75"/>
      <c r="K11" s="1"/>
      <c r="L11" s="1"/>
      <c r="M11" s="1"/>
      <c r="N11" s="1"/>
    </row>
    <row r="12" spans="1:14" x14ac:dyDescent="0.2">
      <c r="A12" s="1"/>
      <c r="B12" s="148"/>
      <c r="C12" s="148"/>
      <c r="D12" s="32"/>
      <c r="E12" s="148" t="s">
        <v>116</v>
      </c>
      <c r="F12" s="148"/>
      <c r="G12" s="32" t="str">
        <f ca="1">VBRC!J2</f>
        <v>OK</v>
      </c>
      <c r="H12" s="28"/>
      <c r="I12" s="28"/>
      <c r="J12" s="28"/>
      <c r="K12" s="1"/>
      <c r="L12" s="1"/>
      <c r="M12" s="1"/>
      <c r="N12" s="1"/>
    </row>
    <row r="13" spans="1:14" x14ac:dyDescent="0.2">
      <c r="A13" s="1"/>
      <c r="B13" s="155"/>
      <c r="C13" s="155"/>
      <c r="D13" s="28"/>
      <c r="E13" s="29"/>
      <c r="F13" s="28"/>
      <c r="G13" s="28"/>
      <c r="H13" s="29"/>
      <c r="I13" s="28"/>
      <c r="J13" s="28"/>
      <c r="K13" s="1"/>
      <c r="L13" s="1"/>
      <c r="M13" s="1"/>
      <c r="N13" s="1"/>
    </row>
    <row r="14" spans="1:14" x14ac:dyDescent="0.2">
      <c r="A14" s="1"/>
      <c r="B14" s="155"/>
      <c r="C14" s="155"/>
      <c r="D14" s="28"/>
      <c r="E14" s="29"/>
      <c r="F14" s="28"/>
      <c r="G14" s="28"/>
      <c r="H14" s="28"/>
      <c r="I14" s="28"/>
      <c r="J14" s="28"/>
      <c r="K14" s="1"/>
      <c r="L14" s="1"/>
      <c r="M14" s="1"/>
      <c r="N14" s="1"/>
    </row>
    <row r="15" spans="1:14" x14ac:dyDescent="0.2">
      <c r="A15" s="1"/>
      <c r="B15" s="156"/>
      <c r="C15" s="156"/>
      <c r="D15" s="75"/>
      <c r="E15" s="28"/>
      <c r="F15" s="28"/>
      <c r="G15" s="28"/>
      <c r="H15" s="28"/>
      <c r="I15" s="28"/>
      <c r="J15" s="28"/>
      <c r="K15" s="1"/>
      <c r="L15" s="1"/>
      <c r="M15" s="1"/>
      <c r="N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idden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idden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idden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idden="1" x14ac:dyDescent="0.2"/>
  </sheetData>
  <mergeCells count="20">
    <mergeCell ref="B13:C13"/>
    <mergeCell ref="B14:C14"/>
    <mergeCell ref="B15:C15"/>
    <mergeCell ref="B12:C12"/>
    <mergeCell ref="E12:F12"/>
    <mergeCell ref="B11:C11"/>
    <mergeCell ref="E11:F11"/>
    <mergeCell ref="E5:F5"/>
    <mergeCell ref="E6:F6"/>
    <mergeCell ref="E7:F7"/>
    <mergeCell ref="H5:I5"/>
    <mergeCell ref="H6:I6"/>
    <mergeCell ref="H7:I7"/>
    <mergeCell ref="B10:C10"/>
    <mergeCell ref="E10:F10"/>
    <mergeCell ref="B5:C5"/>
    <mergeCell ref="B6:C6"/>
    <mergeCell ref="B7:C7"/>
    <mergeCell ref="B8:C8"/>
    <mergeCell ref="H10:I10"/>
  </mergeCells>
  <conditionalFormatting sqref="D12">
    <cfRule type="expression" dxfId="15" priority="23">
      <formula>D12="Check!"</formula>
    </cfRule>
  </conditionalFormatting>
  <conditionalFormatting sqref="J7">
    <cfRule type="expression" dxfId="14" priority="21">
      <formula>J7="Check!"</formula>
    </cfRule>
  </conditionalFormatting>
  <conditionalFormatting sqref="G17">
    <cfRule type="expression" dxfId="13" priority="11">
      <formula>G17="Check!"</formula>
    </cfRule>
  </conditionalFormatting>
  <conditionalFormatting sqref="G18">
    <cfRule type="expression" dxfId="12" priority="10">
      <formula>G18="Check!"</formula>
    </cfRule>
  </conditionalFormatting>
  <conditionalFormatting sqref="G19">
    <cfRule type="expression" dxfId="11" priority="9">
      <formula>G19="Check!"</formula>
    </cfRule>
  </conditionalFormatting>
  <conditionalFormatting sqref="G20">
    <cfRule type="expression" dxfId="10" priority="8">
      <formula>G20="Check!"</formula>
    </cfRule>
  </conditionalFormatting>
  <conditionalFormatting sqref="G21">
    <cfRule type="expression" dxfId="9" priority="7">
      <formula>G21="Check!"</formula>
    </cfRule>
  </conditionalFormatting>
  <conditionalFormatting sqref="G11">
    <cfRule type="expression" dxfId="8" priority="5">
      <formula>G11="Check!"</formula>
    </cfRule>
  </conditionalFormatting>
  <conditionalFormatting sqref="G12">
    <cfRule type="expression" dxfId="7" priority="4">
      <formula>G12="Check!"</formula>
    </cfRule>
  </conditionalFormatting>
  <conditionalFormatting sqref="D11">
    <cfRule type="expression" dxfId="4" priority="1">
      <formula>D11="Check!"</formula>
    </cfRule>
  </conditionalFormatting>
  <hyperlinks>
    <hyperlink ref="B6:C6" location="Legend!A1" display="Legend" xr:uid="{00000000-0004-0000-0100-000000000000}"/>
    <hyperlink ref="E6:F6" location="'User Input'!A1" display="User Input 1" xr:uid="{00000000-0004-0000-0100-000001000000}"/>
    <hyperlink ref="H6:I6" location="Inflation!A1" display="Inflation" xr:uid="{00000000-0004-0000-0100-000002000000}"/>
    <hyperlink ref="H7:I7" location="'Historical Expenditure'!A1" display="Historical Expenditure" xr:uid="{00000000-0004-0000-0100-000003000000}"/>
    <hyperlink ref="E21:F21" location="'Reset RIN 2.2 Repex'!A1" display="Reset RIN 2.2 Repex" xr:uid="{00000000-0004-0000-0100-000004000000}"/>
    <hyperlink ref="E20:F20" location="'Reset RIN 2.3 Augex (b)'!A1" display="Reset RIN 2.3 Augex (b)" xr:uid="{00000000-0004-0000-0100-000005000000}"/>
    <hyperlink ref="E11:F11" location="'Regulation Direct Capex'!A1" display="Regulation Direct Capex" xr:uid="{00000000-0004-0000-0100-000006000000}"/>
    <hyperlink ref="E12:F12" location="'Regulation VBRC'!A1" display="Regulation VBRC" xr:uid="{00000000-0004-0000-0100-000007000000}"/>
    <hyperlink ref="B11:C11" location="'Forecast Expenditure'!A1" display="Forecast Expenditure" xr:uid="{00000000-0004-0000-0100-00000A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V137"/>
  <sheetViews>
    <sheetView zoomScale="115" zoomScaleNormal="115" workbookViewId="0"/>
  </sheetViews>
  <sheetFormatPr defaultColWidth="0" defaultRowHeight="12.75" customHeight="1" zeroHeight="1" x14ac:dyDescent="0.2"/>
  <cols>
    <col min="1" max="1" width="3.625" style="33" customWidth="1"/>
    <col min="2" max="2" width="52.375" style="33" bestFit="1" customWidth="1"/>
    <col min="3" max="3" width="15.625" style="33" customWidth="1"/>
    <col min="4" max="4" width="11.75" style="33" bestFit="1" customWidth="1"/>
    <col min="5" max="5" width="11.375" style="33" customWidth="1"/>
    <col min="6" max="6" width="11.375" style="33" bestFit="1" customWidth="1"/>
    <col min="7" max="10" width="10.75" style="33" customWidth="1"/>
    <col min="11" max="11" width="13.75" style="33" bestFit="1" customWidth="1"/>
    <col min="12" max="12" width="3.625" style="33" customWidth="1"/>
    <col min="13" max="13" width="9" style="33" hidden="1" customWidth="1"/>
    <col min="14" max="22" width="0" style="33" hidden="1" customWidth="1"/>
    <col min="23" max="16384" width="9" style="33" hidden="1"/>
  </cols>
  <sheetData>
    <row r="1" spans="1:13" ht="18" x14ac:dyDescent="0.25">
      <c r="A1" s="24" t="s">
        <v>233</v>
      </c>
      <c r="B1" s="24"/>
      <c r="C1" s="24"/>
      <c r="D1" s="24"/>
      <c r="E1" s="24"/>
      <c r="F1" s="24"/>
      <c r="G1" s="24"/>
      <c r="H1" s="24"/>
      <c r="I1" s="24"/>
      <c r="J1" s="81" t="s">
        <v>39</v>
      </c>
      <c r="K1" s="26"/>
      <c r="L1" s="24"/>
      <c r="M1" s="24"/>
    </row>
    <row r="2" spans="1:13" ht="15.75" x14ac:dyDescent="0.25">
      <c r="A2" s="26" t="str">
        <f ca="1">RIGHT(CELL("filename", $A$1), LEN(CELL("filename", $A$1)) - SEARCH("]", CELL("filename", $A$1)))</f>
        <v>Project List - AER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59"/>
      <c r="L3" s="25"/>
      <c r="M3" s="25"/>
    </row>
    <row r="4" spans="1:13" x14ac:dyDescent="0.2">
      <c r="A4" s="25"/>
      <c r="C4" s="38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x14ac:dyDescent="0.2">
      <c r="A5" s="25"/>
      <c r="B5" s="38"/>
      <c r="C5" s="38"/>
      <c r="D5" s="138"/>
      <c r="E5" s="138"/>
      <c r="F5" s="138"/>
      <c r="G5" s="138"/>
      <c r="H5" s="138"/>
      <c r="I5" s="138"/>
      <c r="J5" s="138"/>
      <c r="K5" s="59"/>
      <c r="L5" s="25"/>
      <c r="M5" s="25"/>
    </row>
    <row r="6" spans="1:13" x14ac:dyDescent="0.2">
      <c r="A6" s="25"/>
      <c r="B6" s="39" t="s">
        <v>178</v>
      </c>
      <c r="C6" s="38"/>
      <c r="D6" s="59"/>
      <c r="E6" s="59"/>
      <c r="F6" s="59"/>
      <c r="G6" s="59"/>
      <c r="H6" s="59"/>
      <c r="I6" s="59"/>
      <c r="J6" s="59"/>
      <c r="K6" s="59"/>
      <c r="L6" s="25"/>
      <c r="M6" s="25"/>
    </row>
    <row r="7" spans="1:13" x14ac:dyDescent="0.2">
      <c r="A7" s="25"/>
      <c r="B7" s="38"/>
      <c r="C7" s="38"/>
      <c r="D7" s="59"/>
      <c r="E7" s="25"/>
      <c r="F7" s="25"/>
      <c r="G7" s="25"/>
      <c r="H7" s="25"/>
      <c r="I7" s="25"/>
      <c r="J7" s="25"/>
      <c r="K7" s="25"/>
      <c r="L7" s="25"/>
      <c r="M7" s="25"/>
    </row>
    <row r="8" spans="1:13" ht="12.75" customHeight="1" x14ac:dyDescent="0.2">
      <c r="A8" s="25"/>
      <c r="B8" s="38"/>
      <c r="C8" s="38"/>
      <c r="D8" s="157" t="s">
        <v>255</v>
      </c>
      <c r="E8" s="158"/>
      <c r="F8" s="158"/>
      <c r="G8" s="158"/>
      <c r="H8" s="158"/>
      <c r="I8" s="158"/>
      <c r="J8" s="158"/>
      <c r="K8" s="159"/>
      <c r="L8" s="25"/>
      <c r="M8" s="25"/>
    </row>
    <row r="9" spans="1:13" x14ac:dyDescent="0.2">
      <c r="A9" s="25"/>
      <c r="B9" s="88" t="s">
        <v>48</v>
      </c>
      <c r="C9" s="88" t="s">
        <v>210</v>
      </c>
      <c r="D9" s="89" t="s">
        <v>183</v>
      </c>
      <c r="E9" s="89" t="s">
        <v>184</v>
      </c>
      <c r="F9" s="89" t="s">
        <v>185</v>
      </c>
      <c r="G9" s="89" t="s">
        <v>186</v>
      </c>
      <c r="H9" s="89" t="s">
        <v>187</v>
      </c>
      <c r="I9" s="89" t="s">
        <v>188</v>
      </c>
      <c r="J9" s="89" t="s">
        <v>189</v>
      </c>
      <c r="K9" s="89" t="s">
        <v>205</v>
      </c>
      <c r="L9" s="25"/>
      <c r="M9" s="25"/>
    </row>
    <row r="10" spans="1:13" x14ac:dyDescent="0.2">
      <c r="A10" s="25"/>
      <c r="B10" s="72" t="s">
        <v>180</v>
      </c>
      <c r="C10" s="112" t="s">
        <v>176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87">
        <v>0</v>
      </c>
      <c r="L10" s="25"/>
      <c r="M10" s="25"/>
    </row>
    <row r="11" spans="1:13" x14ac:dyDescent="0.2">
      <c r="A11" s="25"/>
      <c r="B11" s="72" t="s">
        <v>142</v>
      </c>
      <c r="C11" s="112" t="s">
        <v>153</v>
      </c>
      <c r="D11" s="97">
        <v>5727000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87">
        <v>0</v>
      </c>
      <c r="L11" s="25"/>
      <c r="M11" s="25"/>
    </row>
    <row r="12" spans="1:13" x14ac:dyDescent="0.2">
      <c r="A12" s="25"/>
      <c r="B12" s="72" t="s">
        <v>207</v>
      </c>
      <c r="C12" s="112" t="s">
        <v>174</v>
      </c>
      <c r="D12" s="97">
        <v>1203726</v>
      </c>
      <c r="E12" s="97">
        <v>601863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87">
        <v>0</v>
      </c>
      <c r="L12" s="25"/>
      <c r="M12" s="25"/>
    </row>
    <row r="13" spans="1:13" x14ac:dyDescent="0.2">
      <c r="A13" s="25"/>
      <c r="B13" s="72" t="s">
        <v>206</v>
      </c>
      <c r="C13" s="112" t="s">
        <v>177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87">
        <v>0</v>
      </c>
      <c r="L13" s="25"/>
      <c r="M13" s="25"/>
    </row>
    <row r="14" spans="1:13" x14ac:dyDescent="0.2">
      <c r="A14" s="25"/>
      <c r="B14" s="72" t="s">
        <v>243</v>
      </c>
      <c r="C14" s="112" t="s">
        <v>181</v>
      </c>
      <c r="D14" s="97">
        <v>255509.8765758019</v>
      </c>
      <c r="E14" s="97">
        <v>511019.7531516038</v>
      </c>
      <c r="F14" s="131"/>
      <c r="G14" s="131"/>
      <c r="H14" s="131"/>
      <c r="I14" s="131"/>
      <c r="J14" s="131"/>
      <c r="K14" s="87">
        <v>0</v>
      </c>
      <c r="L14" s="25"/>
      <c r="M14" s="25"/>
    </row>
    <row r="15" spans="1:13" x14ac:dyDescent="0.2">
      <c r="A15" s="25"/>
      <c r="B15" s="72" t="s">
        <v>244</v>
      </c>
      <c r="C15" s="112" t="s">
        <v>181</v>
      </c>
      <c r="D15" s="97">
        <v>302447.98723565292</v>
      </c>
      <c r="E15" s="97">
        <v>604895.97447130585</v>
      </c>
      <c r="F15" s="131"/>
      <c r="G15" s="131"/>
      <c r="H15" s="131"/>
      <c r="I15" s="131"/>
      <c r="J15" s="131"/>
      <c r="K15" s="87">
        <v>0</v>
      </c>
      <c r="L15" s="25"/>
      <c r="M15" s="25"/>
    </row>
    <row r="16" spans="1:13" x14ac:dyDescent="0.2">
      <c r="A16" s="25"/>
      <c r="B16" s="72" t="s">
        <v>208</v>
      </c>
      <c r="C16" s="112" t="s">
        <v>181</v>
      </c>
      <c r="D16" s="97">
        <v>0</v>
      </c>
      <c r="E16" s="97">
        <v>355000</v>
      </c>
      <c r="F16" s="131"/>
      <c r="G16" s="131"/>
      <c r="H16" s="131"/>
      <c r="I16" s="131"/>
      <c r="J16" s="131"/>
      <c r="K16" s="87">
        <v>0</v>
      </c>
      <c r="L16" s="25"/>
      <c r="M16" s="25"/>
    </row>
    <row r="17" spans="1:13" x14ac:dyDescent="0.2">
      <c r="A17" s="25"/>
      <c r="B17" s="72" t="s">
        <v>209</v>
      </c>
      <c r="C17" s="112" t="s">
        <v>181</v>
      </c>
      <c r="D17" s="97">
        <v>0</v>
      </c>
      <c r="E17" s="97">
        <v>477750</v>
      </c>
      <c r="F17" s="131"/>
      <c r="G17" s="131"/>
      <c r="H17" s="131"/>
      <c r="I17" s="131"/>
      <c r="J17" s="131"/>
      <c r="K17" s="87">
        <v>0</v>
      </c>
      <c r="L17" s="25"/>
      <c r="M17" s="25"/>
    </row>
    <row r="18" spans="1:13" x14ac:dyDescent="0.2">
      <c r="A18" s="25"/>
      <c r="B18" s="72" t="s">
        <v>245</v>
      </c>
      <c r="C18" s="112" t="s">
        <v>181</v>
      </c>
      <c r="D18" s="97">
        <v>400000</v>
      </c>
      <c r="E18" s="97">
        <v>400000</v>
      </c>
      <c r="F18" s="131"/>
      <c r="G18" s="131"/>
      <c r="H18" s="131"/>
      <c r="I18" s="131"/>
      <c r="J18" s="131"/>
      <c r="K18" s="87">
        <v>0</v>
      </c>
      <c r="L18" s="25"/>
      <c r="M18" s="25"/>
    </row>
    <row r="19" spans="1:13" x14ac:dyDescent="0.2">
      <c r="A19" s="25"/>
      <c r="B19" s="72" t="s">
        <v>203</v>
      </c>
      <c r="C19" s="112" t="s">
        <v>181</v>
      </c>
      <c r="D19" s="97">
        <v>0</v>
      </c>
      <c r="E19" s="97">
        <v>0</v>
      </c>
      <c r="F19" s="97">
        <v>8365230.6958237765</v>
      </c>
      <c r="G19" s="97">
        <v>4067948.8975655045</v>
      </c>
      <c r="H19" s="97">
        <v>0</v>
      </c>
      <c r="I19" s="97">
        <v>0</v>
      </c>
      <c r="J19" s="97">
        <v>0</v>
      </c>
      <c r="K19" s="87">
        <v>12433179.59338928</v>
      </c>
      <c r="L19" s="25"/>
      <c r="M19" s="25"/>
    </row>
    <row r="20" spans="1:13" x14ac:dyDescent="0.2">
      <c r="A20" s="25"/>
      <c r="B20" s="72" t="s">
        <v>246</v>
      </c>
      <c r="C20" s="112" t="s">
        <v>181</v>
      </c>
      <c r="D20" s="97">
        <v>1233500</v>
      </c>
      <c r="E20" s="97">
        <v>1180000</v>
      </c>
      <c r="F20" s="131"/>
      <c r="G20" s="131"/>
      <c r="H20" s="131"/>
      <c r="I20" s="131"/>
      <c r="J20" s="131"/>
      <c r="K20" s="87">
        <v>0</v>
      </c>
      <c r="L20" s="25"/>
      <c r="M20" s="25"/>
    </row>
    <row r="21" spans="1:13" x14ac:dyDescent="0.2">
      <c r="A21" s="25"/>
      <c r="B21" s="72" t="s">
        <v>230</v>
      </c>
      <c r="C21" s="112" t="s">
        <v>145</v>
      </c>
      <c r="D21" s="97">
        <v>54405282.525413796</v>
      </c>
      <c r="E21" s="97">
        <v>24441680.316608001</v>
      </c>
      <c r="F21" s="97">
        <v>158552.10541648965</v>
      </c>
      <c r="G21" s="97">
        <v>79276.052708244824</v>
      </c>
      <c r="H21" s="97">
        <v>0</v>
      </c>
      <c r="I21" s="97">
        <v>0</v>
      </c>
      <c r="J21" s="97">
        <v>0</v>
      </c>
      <c r="K21" s="87">
        <v>237828.15812473447</v>
      </c>
      <c r="L21" s="25"/>
      <c r="M21" s="25"/>
    </row>
    <row r="22" spans="1:13" x14ac:dyDescent="0.2">
      <c r="A22" s="25"/>
      <c r="B22" s="72" t="s">
        <v>253</v>
      </c>
      <c r="C22" s="112" t="s">
        <v>145</v>
      </c>
      <c r="D22" s="97">
        <v>10908077.555071566</v>
      </c>
      <c r="E22" s="97">
        <v>91367946.096493036</v>
      </c>
      <c r="F22" s="97">
        <v>33544293.565910529</v>
      </c>
      <c r="G22" s="97">
        <v>504170.22855536762</v>
      </c>
      <c r="H22" s="97">
        <v>0</v>
      </c>
      <c r="I22" s="97">
        <v>0</v>
      </c>
      <c r="J22" s="97">
        <v>0</v>
      </c>
      <c r="K22" s="87">
        <v>34048463.794465899</v>
      </c>
      <c r="L22" s="25"/>
      <c r="M22" s="25"/>
    </row>
    <row r="23" spans="1:13" x14ac:dyDescent="0.2">
      <c r="A23" s="25"/>
      <c r="B23" s="72" t="s">
        <v>247</v>
      </c>
      <c r="C23" s="112" t="s">
        <v>145</v>
      </c>
      <c r="D23" s="97">
        <v>0</v>
      </c>
      <c r="E23" s="97">
        <v>0</v>
      </c>
      <c r="F23" s="131">
        <v>0</v>
      </c>
      <c r="G23" s="131">
        <v>0</v>
      </c>
      <c r="H23" s="97">
        <v>0</v>
      </c>
      <c r="I23" s="97">
        <v>0</v>
      </c>
      <c r="J23" s="97">
        <v>0</v>
      </c>
      <c r="K23" s="131">
        <v>0</v>
      </c>
      <c r="L23" s="25"/>
      <c r="M23" s="25"/>
    </row>
    <row r="24" spans="1:13" x14ac:dyDescent="0.2">
      <c r="A24" s="25"/>
      <c r="B24" s="72" t="s">
        <v>248</v>
      </c>
      <c r="C24" s="112" t="s">
        <v>145</v>
      </c>
      <c r="D24" s="97">
        <v>0</v>
      </c>
      <c r="E24" s="97">
        <v>0</v>
      </c>
      <c r="F24" s="131">
        <v>974660.17391624826</v>
      </c>
      <c r="G24" s="131">
        <v>12450612.635507796</v>
      </c>
      <c r="H24" s="131">
        <v>11475952.461591547</v>
      </c>
      <c r="I24" s="97">
        <v>0</v>
      </c>
      <c r="J24" s="97">
        <v>0</v>
      </c>
      <c r="K24" s="131">
        <v>24901225.271015592</v>
      </c>
      <c r="L24" s="25"/>
      <c r="M24" s="25"/>
    </row>
    <row r="25" spans="1:13" x14ac:dyDescent="0.2">
      <c r="A25" s="25"/>
      <c r="B25" s="72" t="s">
        <v>220</v>
      </c>
      <c r="C25" s="112" t="s">
        <v>145</v>
      </c>
      <c r="D25" s="97">
        <v>0</v>
      </c>
      <c r="E25" s="97">
        <v>125989.13034306241</v>
      </c>
      <c r="F25" s="131">
        <v>1387517.4832141378</v>
      </c>
      <c r="G25" s="131">
        <v>1261528.3528710755</v>
      </c>
      <c r="H25" s="97">
        <v>0</v>
      </c>
      <c r="I25" s="97">
        <v>0</v>
      </c>
      <c r="J25" s="97">
        <v>0</v>
      </c>
      <c r="K25" s="131">
        <v>2649045.8360852133</v>
      </c>
      <c r="L25" s="25"/>
      <c r="M25" s="25"/>
    </row>
    <row r="26" spans="1:13" x14ac:dyDescent="0.2">
      <c r="A26" s="25"/>
      <c r="B26" s="72" t="s">
        <v>224</v>
      </c>
      <c r="C26" s="112" t="s">
        <v>145</v>
      </c>
      <c r="D26" s="97">
        <v>0</v>
      </c>
      <c r="E26" s="97">
        <v>0</v>
      </c>
      <c r="F26" s="97">
        <v>0</v>
      </c>
      <c r="G26" s="131">
        <v>1119983.3089708802</v>
      </c>
      <c r="H26" s="131">
        <v>1119983.3089708802</v>
      </c>
      <c r="I26" s="97">
        <v>0</v>
      </c>
      <c r="J26" s="97">
        <v>0</v>
      </c>
      <c r="K26" s="131">
        <v>2239966.6179417605</v>
      </c>
      <c r="L26" s="25"/>
      <c r="M26" s="25"/>
    </row>
    <row r="27" spans="1:13" x14ac:dyDescent="0.2">
      <c r="A27" s="25"/>
      <c r="B27" s="72" t="s">
        <v>225</v>
      </c>
      <c r="C27" s="112" t="s">
        <v>145</v>
      </c>
      <c r="D27" s="97">
        <v>0</v>
      </c>
      <c r="E27" s="97">
        <v>0</v>
      </c>
      <c r="F27" s="97">
        <v>0</v>
      </c>
      <c r="G27" s="97">
        <v>0</v>
      </c>
      <c r="H27" s="131">
        <v>3353517.6922969972</v>
      </c>
      <c r="I27" s="139">
        <v>3353517.6922969972</v>
      </c>
      <c r="J27" s="139">
        <v>0</v>
      </c>
      <c r="K27" s="131">
        <v>6707035.3845939944</v>
      </c>
      <c r="L27" s="25"/>
      <c r="M27" s="25"/>
    </row>
    <row r="28" spans="1:13" x14ac:dyDescent="0.2">
      <c r="A28" s="25"/>
      <c r="B28" s="72" t="s">
        <v>226</v>
      </c>
      <c r="C28" s="112" t="s">
        <v>145</v>
      </c>
      <c r="D28" s="97">
        <v>0</v>
      </c>
      <c r="E28" s="97">
        <v>0</v>
      </c>
      <c r="F28" s="97">
        <v>0</v>
      </c>
      <c r="G28" s="131">
        <v>1380761.4631089233</v>
      </c>
      <c r="H28" s="131">
        <v>1380761.4631089233</v>
      </c>
      <c r="I28" s="133">
        <v>0</v>
      </c>
      <c r="J28" s="133">
        <v>0</v>
      </c>
      <c r="K28" s="131">
        <v>2761522.9262178466</v>
      </c>
      <c r="L28" s="25"/>
      <c r="M28" s="25"/>
    </row>
    <row r="29" spans="1:13" x14ac:dyDescent="0.2">
      <c r="A29" s="25"/>
      <c r="B29" s="72" t="s">
        <v>221</v>
      </c>
      <c r="C29" s="112" t="s">
        <v>145</v>
      </c>
      <c r="D29" s="97">
        <v>0</v>
      </c>
      <c r="E29" s="97">
        <v>0</v>
      </c>
      <c r="F29" s="131">
        <v>4807438.8503324213</v>
      </c>
      <c r="G29" s="131">
        <v>4807438.8503324213</v>
      </c>
      <c r="H29" s="97">
        <v>0</v>
      </c>
      <c r="I29" s="97">
        <v>0</v>
      </c>
      <c r="J29" s="97">
        <v>0</v>
      </c>
      <c r="K29" s="131">
        <v>9614877.7006648425</v>
      </c>
      <c r="L29" s="25"/>
      <c r="M29" s="25"/>
    </row>
    <row r="30" spans="1:13" x14ac:dyDescent="0.2">
      <c r="A30" s="25"/>
      <c r="B30" s="72" t="s">
        <v>223</v>
      </c>
      <c r="C30" s="112" t="s">
        <v>145</v>
      </c>
      <c r="D30" s="97">
        <v>0</v>
      </c>
      <c r="E30" s="97">
        <v>0</v>
      </c>
      <c r="F30" s="131">
        <v>4610791.5096897846</v>
      </c>
      <c r="G30" s="131">
        <v>4610791.5096897846</v>
      </c>
      <c r="H30" s="97">
        <v>0</v>
      </c>
      <c r="I30" s="97">
        <v>0</v>
      </c>
      <c r="J30" s="97">
        <v>0</v>
      </c>
      <c r="K30" s="131">
        <v>9221583.0193795692</v>
      </c>
      <c r="L30" s="25"/>
      <c r="M30" s="25"/>
    </row>
    <row r="31" spans="1:13" x14ac:dyDescent="0.2">
      <c r="A31" s="25"/>
      <c r="B31" s="72" t="s">
        <v>222</v>
      </c>
      <c r="C31" s="112" t="s">
        <v>145</v>
      </c>
      <c r="D31" s="97">
        <v>0</v>
      </c>
      <c r="E31" s="97">
        <v>0</v>
      </c>
      <c r="F31" s="131">
        <v>7827367.9235172309</v>
      </c>
      <c r="G31" s="131">
        <v>7827367.9235172309</v>
      </c>
      <c r="H31" s="97">
        <v>0</v>
      </c>
      <c r="I31" s="97">
        <v>0</v>
      </c>
      <c r="J31" s="97">
        <v>0</v>
      </c>
      <c r="K31" s="131">
        <v>15654735.847034462</v>
      </c>
      <c r="L31" s="25"/>
      <c r="M31" s="25"/>
    </row>
    <row r="32" spans="1:13" x14ac:dyDescent="0.2">
      <c r="A32" s="25"/>
      <c r="B32" s="72" t="s">
        <v>227</v>
      </c>
      <c r="C32" s="112" t="s">
        <v>145</v>
      </c>
      <c r="D32" s="97">
        <v>0</v>
      </c>
      <c r="E32" s="97">
        <v>0</v>
      </c>
      <c r="F32" s="97">
        <v>0</v>
      </c>
      <c r="G32" s="97">
        <v>0</v>
      </c>
      <c r="H32" s="97">
        <v>1220763.2698476594</v>
      </c>
      <c r="I32" s="97">
        <v>1220763.2698476594</v>
      </c>
      <c r="J32" s="97">
        <v>0</v>
      </c>
      <c r="K32" s="87">
        <v>2441526.5396953188</v>
      </c>
      <c r="L32" s="25"/>
      <c r="M32" s="25"/>
    </row>
    <row r="33" spans="1:13" x14ac:dyDescent="0.2">
      <c r="A33" s="25"/>
      <c r="B33" s="72" t="s">
        <v>228</v>
      </c>
      <c r="C33" s="112" t="s">
        <v>145</v>
      </c>
      <c r="D33" s="97">
        <v>0</v>
      </c>
      <c r="E33" s="97">
        <v>0</v>
      </c>
      <c r="F33" s="97">
        <v>0</v>
      </c>
      <c r="G33" s="97">
        <v>0</v>
      </c>
      <c r="H33" s="97">
        <v>591245.39472101594</v>
      </c>
      <c r="I33" s="97">
        <v>591245.39472101594</v>
      </c>
      <c r="J33" s="97">
        <v>0</v>
      </c>
      <c r="K33" s="87">
        <v>1182490.7894420319</v>
      </c>
      <c r="L33" s="25"/>
      <c r="M33" s="25"/>
    </row>
    <row r="34" spans="1:13" x14ac:dyDescent="0.2">
      <c r="A34" s="25"/>
      <c r="B34" s="72" t="s">
        <v>229</v>
      </c>
      <c r="C34" s="112" t="s">
        <v>145</v>
      </c>
      <c r="D34" s="97">
        <v>0</v>
      </c>
      <c r="E34" s="97">
        <v>0</v>
      </c>
      <c r="F34" s="97">
        <v>0</v>
      </c>
      <c r="G34" s="131">
        <v>3665637.3294743653</v>
      </c>
      <c r="H34" s="131">
        <v>3665637.3294743653</v>
      </c>
      <c r="I34" s="97">
        <v>0</v>
      </c>
      <c r="J34" s="97">
        <v>0</v>
      </c>
      <c r="K34" s="131">
        <v>7331274.6589487307</v>
      </c>
      <c r="L34" s="25"/>
      <c r="M34" s="25"/>
    </row>
    <row r="35" spans="1:13" x14ac:dyDescent="0.2">
      <c r="A35" s="25"/>
      <c r="B35" s="140" t="s">
        <v>236</v>
      </c>
      <c r="C35" s="140" t="s">
        <v>145</v>
      </c>
      <c r="D35" s="97"/>
      <c r="E35" s="97"/>
      <c r="F35" s="97">
        <v>2007194.8427378375</v>
      </c>
      <c r="G35" s="97">
        <v>42222905.338737108</v>
      </c>
      <c r="H35" s="97">
        <v>0</v>
      </c>
      <c r="I35" s="97">
        <v>0</v>
      </c>
      <c r="J35" s="97">
        <v>0</v>
      </c>
      <c r="K35" s="87">
        <v>44230100.181474946</v>
      </c>
      <c r="L35" s="25"/>
      <c r="M35" s="25"/>
    </row>
    <row r="36" spans="1:13" x14ac:dyDescent="0.2">
      <c r="A36" s="25"/>
      <c r="B36" s="140" t="s">
        <v>249</v>
      </c>
      <c r="C36" s="140" t="s">
        <v>145</v>
      </c>
      <c r="D36" s="97"/>
      <c r="E36" s="97"/>
      <c r="F36" s="97">
        <v>-1954500</v>
      </c>
      <c r="G36" s="97">
        <v>-977250</v>
      </c>
      <c r="H36" s="97">
        <v>-293175</v>
      </c>
      <c r="I36" s="97">
        <v>-488625</v>
      </c>
      <c r="J36" s="97">
        <v>-195450</v>
      </c>
      <c r="K36" s="87">
        <v>-3909000</v>
      </c>
      <c r="L36" s="25"/>
      <c r="M36" s="25"/>
    </row>
    <row r="37" spans="1:13" x14ac:dyDescent="0.2">
      <c r="A37" s="25"/>
      <c r="B37" s="140" t="s">
        <v>250</v>
      </c>
      <c r="C37" s="140" t="s">
        <v>145</v>
      </c>
      <c r="D37" s="97"/>
      <c r="E37" s="97"/>
      <c r="F37" s="97">
        <v>-18330057.859578099</v>
      </c>
      <c r="G37" s="97">
        <v>0</v>
      </c>
      <c r="H37" s="97">
        <v>0</v>
      </c>
      <c r="I37" s="97">
        <v>0</v>
      </c>
      <c r="J37" s="97">
        <v>0</v>
      </c>
      <c r="K37" s="87">
        <v>-18330057.859578099</v>
      </c>
      <c r="L37" s="25"/>
      <c r="M37" s="25"/>
    </row>
    <row r="38" spans="1:13" x14ac:dyDescent="0.2">
      <c r="A38" s="1"/>
      <c r="B38" s="1"/>
      <c r="C38" s="1"/>
      <c r="D38" s="99">
        <v>74435543.944296822</v>
      </c>
      <c r="E38" s="45">
        <v>120066144.27106701</v>
      </c>
      <c r="F38" s="45">
        <v>43398489.290980369</v>
      </c>
      <c r="G38" s="45">
        <v>83021171.891038701</v>
      </c>
      <c r="H38" s="45">
        <v>22514685.920011394</v>
      </c>
      <c r="I38" s="45">
        <v>4676901.3568656724</v>
      </c>
      <c r="J38" s="45">
        <v>-195450</v>
      </c>
      <c r="K38" s="87">
        <v>153415798.45889613</v>
      </c>
      <c r="L38" s="1"/>
      <c r="M38" s="1"/>
    </row>
    <row r="39" spans="1:13" x14ac:dyDescent="0.2">
      <c r="A39" s="1"/>
      <c r="B39" s="1"/>
      <c r="C39" s="1"/>
      <c r="D39" s="141"/>
      <c r="E39" s="1"/>
      <c r="F39" s="1"/>
      <c r="G39" s="77"/>
      <c r="H39" s="77"/>
      <c r="I39" s="1"/>
      <c r="J39" s="1"/>
      <c r="K39" s="1"/>
      <c r="L39" s="1"/>
      <c r="M39" s="1"/>
    </row>
    <row r="40" spans="1:13" x14ac:dyDescent="0.2">
      <c r="A40" s="1"/>
      <c r="B40" s="142" t="s">
        <v>254</v>
      </c>
      <c r="C40" s="1"/>
      <c r="D40" s="143"/>
      <c r="E40" s="77"/>
      <c r="F40" s="1"/>
      <c r="G40" s="1"/>
      <c r="H40" s="1"/>
      <c r="I40" s="1"/>
      <c r="J40" s="1"/>
      <c r="K40" s="115"/>
      <c r="L40" s="1"/>
      <c r="M40" s="1"/>
    </row>
    <row r="41" spans="1:13" x14ac:dyDescent="0.2">
      <c r="A41" s="1"/>
      <c r="B41" s="1"/>
      <c r="C41" s="1"/>
      <c r="D41" s="143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x14ac:dyDescent="0.25">
      <c r="A42" s="26"/>
      <c r="B42" s="26" t="s">
        <v>182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1"/>
    </row>
    <row r="43" spans="1:13" ht="12.75" hidden="1" customHeight="1" x14ac:dyDescent="0.2"/>
    <row r="44" spans="1:13" ht="12.75" hidden="1" customHeight="1" x14ac:dyDescent="0.2"/>
    <row r="45" spans="1:13" ht="12.75" hidden="1" customHeight="1" x14ac:dyDescent="0.2"/>
    <row r="46" spans="1:13" ht="12.75" hidden="1" customHeight="1" x14ac:dyDescent="0.2"/>
    <row r="47" spans="1:13" ht="12.75" hidden="1" customHeight="1" x14ac:dyDescent="0.2"/>
    <row r="48" spans="1:13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</sheetData>
  <mergeCells count="1">
    <mergeCell ref="D8:K8"/>
  </mergeCells>
  <hyperlinks>
    <hyperlink ref="J1" location="Menu!A1" display="Menu" xr:uid="{00000000-0004-0000-0200-000000000000}"/>
  </hyperlinks>
  <pageMargins left="0.25" right="0.25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99"/>
    <pageSetUpPr fitToPage="1"/>
  </sheetPr>
  <dimension ref="A1:V138"/>
  <sheetViews>
    <sheetView zoomScaleNormal="100" workbookViewId="0"/>
  </sheetViews>
  <sheetFormatPr defaultColWidth="0" defaultRowHeight="12.75" customHeight="1" zeroHeight="1" x14ac:dyDescent="0.2"/>
  <cols>
    <col min="1" max="1" width="3.625" style="33" customWidth="1"/>
    <col min="2" max="2" width="52.375" style="33" bestFit="1" customWidth="1"/>
    <col min="3" max="3" width="26.125" style="33" customWidth="1"/>
    <col min="4" max="11" width="11.5" style="33" customWidth="1"/>
    <col min="12" max="12" width="3.625" style="33" customWidth="1"/>
    <col min="13" max="13" width="9" style="33" hidden="1" customWidth="1"/>
    <col min="14" max="22" width="0" style="33" hidden="1" customWidth="1"/>
    <col min="23" max="16384" width="9" style="33" hidden="1"/>
  </cols>
  <sheetData>
    <row r="1" spans="1:13" ht="18" x14ac:dyDescent="0.25">
      <c r="A1" s="24" t="s">
        <v>233</v>
      </c>
      <c r="B1" s="24"/>
      <c r="C1" s="24"/>
      <c r="D1" s="24"/>
      <c r="E1" s="24"/>
      <c r="F1" s="24"/>
      <c r="G1" s="144" t="s">
        <v>239</v>
      </c>
      <c r="H1" s="144"/>
      <c r="I1" s="24"/>
      <c r="J1" s="81" t="s">
        <v>39</v>
      </c>
      <c r="K1" s="26"/>
      <c r="L1" s="24"/>
      <c r="M1" s="24"/>
    </row>
    <row r="2" spans="1:13" ht="15.75" x14ac:dyDescent="0.25">
      <c r="A2" s="26" t="str">
        <f ca="1">RIGHT(CELL("filename", $A$1), LEN(CELL("filename", $A$1)) - SEARCH("]", CELL("filename", $A$1)))</f>
        <v>Project List-RRP</v>
      </c>
      <c r="B2" s="26"/>
      <c r="C2" s="26"/>
      <c r="D2" s="26"/>
      <c r="E2" s="26"/>
      <c r="F2" s="26"/>
      <c r="G2" s="145" t="s">
        <v>240</v>
      </c>
      <c r="H2" s="145"/>
      <c r="I2" s="26"/>
      <c r="J2" s="26"/>
      <c r="K2" s="26"/>
      <c r="L2" s="26"/>
      <c r="M2" s="26"/>
    </row>
    <row r="3" spans="1:13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59"/>
      <c r="L3" s="25"/>
      <c r="M3" s="25"/>
    </row>
    <row r="4" spans="1:13" x14ac:dyDescent="0.2">
      <c r="A4" s="25"/>
      <c r="C4" s="38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x14ac:dyDescent="0.2">
      <c r="A5" s="25"/>
      <c r="B5" s="38"/>
      <c r="C5" s="38"/>
      <c r="D5" s="59"/>
      <c r="E5" s="59"/>
      <c r="F5" s="59"/>
      <c r="G5" s="59"/>
      <c r="H5" s="85"/>
      <c r="I5" s="85"/>
      <c r="J5" s="85"/>
      <c r="K5" s="59"/>
      <c r="L5" s="25"/>
      <c r="M5" s="25"/>
    </row>
    <row r="6" spans="1:13" x14ac:dyDescent="0.2">
      <c r="A6" s="25"/>
      <c r="B6" s="123" t="s">
        <v>178</v>
      </c>
      <c r="C6" s="38"/>
      <c r="D6" s="59"/>
      <c r="E6" s="59"/>
      <c r="F6" s="59"/>
      <c r="G6" s="59"/>
      <c r="H6" s="59"/>
      <c r="I6" s="59"/>
      <c r="J6" s="59"/>
      <c r="K6" s="59"/>
      <c r="L6" s="25"/>
      <c r="M6" s="25"/>
    </row>
    <row r="7" spans="1:13" x14ac:dyDescent="0.2">
      <c r="A7" s="25"/>
      <c r="B7" s="38"/>
      <c r="C7" s="38"/>
      <c r="D7" s="59"/>
      <c r="E7" s="25"/>
      <c r="F7" s="25"/>
      <c r="G7" s="25"/>
      <c r="H7" s="25"/>
      <c r="I7" s="25"/>
      <c r="J7" s="25"/>
      <c r="K7" s="25"/>
      <c r="L7" s="25"/>
      <c r="M7" s="25"/>
    </row>
    <row r="8" spans="1:13" ht="12.75" customHeight="1" x14ac:dyDescent="0.2">
      <c r="A8" s="25"/>
      <c r="B8" s="38"/>
      <c r="C8" s="38"/>
      <c r="D8" s="157" t="str">
        <f>"$2019"</f>
        <v>$2019</v>
      </c>
      <c r="E8" s="158"/>
      <c r="F8" s="158"/>
      <c r="G8" s="158"/>
      <c r="H8" s="158"/>
      <c r="I8" s="158"/>
      <c r="J8" s="158"/>
      <c r="K8" s="159"/>
      <c r="L8" s="25"/>
      <c r="M8" s="25"/>
    </row>
    <row r="9" spans="1:13" ht="25.5" x14ac:dyDescent="0.2">
      <c r="A9" s="25"/>
      <c r="B9" s="88" t="s">
        <v>48</v>
      </c>
      <c r="C9" s="88" t="s">
        <v>210</v>
      </c>
      <c r="D9" s="89" t="s">
        <v>183</v>
      </c>
      <c r="E9" s="89" t="s">
        <v>184</v>
      </c>
      <c r="F9" s="89" t="s">
        <v>185</v>
      </c>
      <c r="G9" s="89" t="s">
        <v>186</v>
      </c>
      <c r="H9" s="89" t="s">
        <v>187</v>
      </c>
      <c r="I9" s="89" t="s">
        <v>188</v>
      </c>
      <c r="J9" s="89" t="s">
        <v>189</v>
      </c>
      <c r="K9" s="89" t="s">
        <v>205</v>
      </c>
      <c r="L9" s="25"/>
      <c r="M9" s="25"/>
    </row>
    <row r="10" spans="1:13" x14ac:dyDescent="0.2">
      <c r="A10" s="25"/>
      <c r="B10" s="72" t="s">
        <v>180</v>
      </c>
      <c r="C10" s="112" t="s">
        <v>176</v>
      </c>
      <c r="D10" s="97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87">
        <f>SUM(F10:J10)</f>
        <v>0</v>
      </c>
      <c r="L10" s="25"/>
      <c r="M10" s="25"/>
    </row>
    <row r="11" spans="1:13" x14ac:dyDescent="0.2">
      <c r="A11" s="25"/>
      <c r="B11" s="72" t="s">
        <v>142</v>
      </c>
      <c r="C11" s="112" t="s">
        <v>153</v>
      </c>
      <c r="D11" s="97">
        <v>5727000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87">
        <f t="shared" ref="K11:K37" si="0">SUM(F11:J11)</f>
        <v>0</v>
      </c>
      <c r="L11" s="25"/>
      <c r="M11" s="25"/>
    </row>
    <row r="12" spans="1:13" x14ac:dyDescent="0.2">
      <c r="A12" s="25"/>
      <c r="B12" s="72" t="s">
        <v>207</v>
      </c>
      <c r="C12" s="112" t="s">
        <v>174</v>
      </c>
      <c r="D12" s="97">
        <v>1203726</v>
      </c>
      <c r="E12" s="73">
        <v>601863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87">
        <f t="shared" si="0"/>
        <v>0</v>
      </c>
      <c r="L12" s="25"/>
      <c r="M12" s="25"/>
    </row>
    <row r="13" spans="1:13" x14ac:dyDescent="0.2">
      <c r="A13" s="25"/>
      <c r="B13" s="72" t="s">
        <v>206</v>
      </c>
      <c r="C13" s="112" t="s">
        <v>177</v>
      </c>
      <c r="D13" s="97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87">
        <f t="shared" si="0"/>
        <v>0</v>
      </c>
      <c r="L13" s="25"/>
      <c r="M13" s="25"/>
    </row>
    <row r="14" spans="1:13" x14ac:dyDescent="0.2">
      <c r="A14" s="25"/>
      <c r="B14" s="72" t="s">
        <v>243</v>
      </c>
      <c r="C14" s="112" t="s">
        <v>181</v>
      </c>
      <c r="D14" s="132">
        <v>255509.8765758019</v>
      </c>
      <c r="E14" s="133">
        <v>511019.7531516038</v>
      </c>
      <c r="F14" s="134"/>
      <c r="G14" s="134"/>
      <c r="H14" s="134"/>
      <c r="I14" s="134"/>
      <c r="J14" s="134"/>
      <c r="K14" s="87">
        <f t="shared" si="0"/>
        <v>0</v>
      </c>
      <c r="L14" s="25"/>
      <c r="M14" s="25"/>
    </row>
    <row r="15" spans="1:13" x14ac:dyDescent="0.2">
      <c r="A15" s="25"/>
      <c r="B15" s="72" t="s">
        <v>244</v>
      </c>
      <c r="C15" s="112" t="s">
        <v>181</v>
      </c>
      <c r="D15" s="132">
        <v>302447.98723565292</v>
      </c>
      <c r="E15" s="133">
        <v>604895.97447130585</v>
      </c>
      <c r="F15" s="134"/>
      <c r="G15" s="134"/>
      <c r="H15" s="134"/>
      <c r="I15" s="134"/>
      <c r="J15" s="134"/>
      <c r="K15" s="87">
        <f t="shared" si="0"/>
        <v>0</v>
      </c>
      <c r="L15" s="25"/>
      <c r="M15" s="25"/>
    </row>
    <row r="16" spans="1:13" x14ac:dyDescent="0.2">
      <c r="A16" s="25"/>
      <c r="B16" s="72" t="s">
        <v>208</v>
      </c>
      <c r="C16" s="72" t="s">
        <v>181</v>
      </c>
      <c r="D16" s="132">
        <v>0</v>
      </c>
      <c r="E16" s="132">
        <v>355000</v>
      </c>
      <c r="F16" s="130">
        <f>'[1]Capex Costs'!$E$7/Inflation!$K$10</f>
        <v>355116.00000000006</v>
      </c>
      <c r="G16" s="130">
        <f>'[1]Capex Costs'!$E$7/Inflation!$K$10</f>
        <v>355116.00000000006</v>
      </c>
      <c r="H16" s="130">
        <f>'[1]Capex Costs'!$E$7/Inflation!$K$10</f>
        <v>355116.00000000006</v>
      </c>
      <c r="I16" s="130">
        <f>'[1]Capex Costs'!$E$7/Inflation!$K$10</f>
        <v>355116.00000000006</v>
      </c>
      <c r="J16" s="130">
        <f>'[1]Capex Costs'!$E$7/Inflation!$K$10</f>
        <v>355116.00000000006</v>
      </c>
      <c r="K16" s="87">
        <f t="shared" si="0"/>
        <v>1775580.0000000002</v>
      </c>
      <c r="L16" s="25"/>
      <c r="M16" s="25"/>
    </row>
    <row r="17" spans="1:13" x14ac:dyDescent="0.2">
      <c r="A17" s="25"/>
      <c r="B17" s="72" t="s">
        <v>209</v>
      </c>
      <c r="C17" s="72" t="s">
        <v>181</v>
      </c>
      <c r="D17" s="132">
        <v>0</v>
      </c>
      <c r="E17" s="132">
        <v>477750</v>
      </c>
      <c r="F17" s="130">
        <f>'[2]Capex Costs'!$E$7/Inflation!$K$10</f>
        <v>477757.8</v>
      </c>
      <c r="G17" s="130">
        <f>'[2]Capex Costs'!$E$7/Inflation!$K$10</f>
        <v>477757.8</v>
      </c>
      <c r="H17" s="130">
        <f>'[2]Capex Costs'!$E$7/Inflation!$K$10</f>
        <v>477757.8</v>
      </c>
      <c r="I17" s="130">
        <f>'[2]Capex Costs'!$E$7/Inflation!$K$10</f>
        <v>477757.8</v>
      </c>
      <c r="J17" s="130">
        <f>'[2]Capex Costs'!$E$7/Inflation!$K$10</f>
        <v>477757.8</v>
      </c>
      <c r="K17" s="87">
        <f t="shared" si="0"/>
        <v>2388789</v>
      </c>
      <c r="L17" s="25"/>
      <c r="M17" s="25"/>
    </row>
    <row r="18" spans="1:13" x14ac:dyDescent="0.2">
      <c r="A18" s="25"/>
      <c r="B18" s="72" t="s">
        <v>245</v>
      </c>
      <c r="C18" s="72" t="s">
        <v>181</v>
      </c>
      <c r="D18" s="132">
        <v>400000</v>
      </c>
      <c r="E18" s="132">
        <v>400000</v>
      </c>
      <c r="F18" s="134"/>
      <c r="G18" s="134"/>
      <c r="H18" s="134"/>
      <c r="I18" s="134"/>
      <c r="J18" s="134"/>
      <c r="K18" s="87"/>
      <c r="L18" s="25"/>
      <c r="M18" s="25"/>
    </row>
    <row r="19" spans="1:13" x14ac:dyDescent="0.2">
      <c r="A19" s="25"/>
      <c r="B19" s="72" t="s">
        <v>238</v>
      </c>
      <c r="C19" s="72" t="s">
        <v>181</v>
      </c>
      <c r="D19" s="132">
        <v>400000</v>
      </c>
      <c r="E19" s="132">
        <v>400000</v>
      </c>
      <c r="F19" s="130">
        <v>800000</v>
      </c>
      <c r="G19" s="130">
        <v>800000</v>
      </c>
      <c r="H19" s="130">
        <v>800000</v>
      </c>
      <c r="I19" s="130">
        <v>800000</v>
      </c>
      <c r="J19" s="130">
        <v>800000</v>
      </c>
      <c r="K19" s="87">
        <f t="shared" si="0"/>
        <v>4000000</v>
      </c>
      <c r="L19" s="25"/>
      <c r="M19" s="25"/>
    </row>
    <row r="20" spans="1:13" x14ac:dyDescent="0.2">
      <c r="A20" s="25"/>
      <c r="B20" s="72" t="s">
        <v>203</v>
      </c>
      <c r="C20" s="112" t="s">
        <v>181</v>
      </c>
      <c r="D20" s="97">
        <v>0</v>
      </c>
      <c r="E20" s="73">
        <v>0</v>
      </c>
      <c r="F20" s="73">
        <v>8365230.6958237765</v>
      </c>
      <c r="G20" s="73">
        <v>4067948.8975655045</v>
      </c>
      <c r="H20" s="73">
        <v>0</v>
      </c>
      <c r="I20" s="73">
        <v>0</v>
      </c>
      <c r="J20" s="73">
        <v>0</v>
      </c>
      <c r="K20" s="87">
        <f t="shared" si="0"/>
        <v>12433179.59338928</v>
      </c>
      <c r="L20" s="25"/>
      <c r="M20" s="25"/>
    </row>
    <row r="21" spans="1:13" x14ac:dyDescent="0.2">
      <c r="A21" s="25"/>
      <c r="B21" s="72" t="s">
        <v>246</v>
      </c>
      <c r="C21" s="112" t="s">
        <v>181</v>
      </c>
      <c r="D21" s="97">
        <v>1233500</v>
      </c>
      <c r="E21" s="73">
        <v>1180000</v>
      </c>
      <c r="F21" s="134"/>
      <c r="G21" s="134"/>
      <c r="H21" s="134"/>
      <c r="I21" s="134"/>
      <c r="J21" s="134"/>
      <c r="K21" s="87">
        <f t="shared" si="0"/>
        <v>0</v>
      </c>
      <c r="L21" s="25"/>
      <c r="M21" s="25"/>
    </row>
    <row r="22" spans="1:13" x14ac:dyDescent="0.2">
      <c r="A22" s="25"/>
      <c r="B22" s="72" t="s">
        <v>230</v>
      </c>
      <c r="C22" s="112" t="s">
        <v>145</v>
      </c>
      <c r="D22" s="97">
        <f>54405282.5254138</f>
        <v>54405282.525413796</v>
      </c>
      <c r="E22" s="73">
        <f>24441680.316608</f>
        <v>24441680.316608001</v>
      </c>
      <c r="F22" s="73">
        <v>158552.10541648965</v>
      </c>
      <c r="G22" s="73">
        <v>79276.052708244824</v>
      </c>
      <c r="H22" s="73"/>
      <c r="I22" s="73"/>
      <c r="J22" s="73"/>
      <c r="K22" s="87">
        <f>SUM(F22:J22)</f>
        <v>237828.15812473447</v>
      </c>
      <c r="L22" s="1"/>
      <c r="M22" s="25"/>
    </row>
    <row r="23" spans="1:13" s="118" customFormat="1" x14ac:dyDescent="0.2">
      <c r="A23" s="25"/>
      <c r="B23" s="72" t="s">
        <v>235</v>
      </c>
      <c r="C23" s="112" t="s">
        <v>145</v>
      </c>
      <c r="D23" s="97">
        <v>10908077.555071566</v>
      </c>
      <c r="E23" s="73">
        <v>91367946.096493036</v>
      </c>
      <c r="F23" s="73">
        <v>33544293.565910529</v>
      </c>
      <c r="G23" s="73">
        <v>504170.22855536762</v>
      </c>
      <c r="H23" s="73">
        <v>0</v>
      </c>
      <c r="I23" s="73">
        <v>0</v>
      </c>
      <c r="J23" s="73">
        <v>0</v>
      </c>
      <c r="K23" s="87">
        <f>SUM(F23:J23)</f>
        <v>34048463.794465899</v>
      </c>
      <c r="L23" s="1"/>
      <c r="M23" s="117"/>
    </row>
    <row r="24" spans="1:13" s="120" customFormat="1" x14ac:dyDescent="0.2">
      <c r="A24" s="25"/>
      <c r="B24" s="72" t="s">
        <v>247</v>
      </c>
      <c r="C24" s="72" t="s">
        <v>145</v>
      </c>
      <c r="D24" s="73">
        <v>0</v>
      </c>
      <c r="E24" s="73">
        <v>0</v>
      </c>
      <c r="F24" s="134"/>
      <c r="G24" s="134"/>
      <c r="H24" s="134"/>
      <c r="I24" s="134"/>
      <c r="J24" s="134"/>
      <c r="K24" s="87">
        <f>SUM(F24:J24)</f>
        <v>0</v>
      </c>
      <c r="L24" s="1"/>
      <c r="M24" s="119"/>
    </row>
    <row r="25" spans="1:13" s="118" customFormat="1" x14ac:dyDescent="0.2">
      <c r="A25" s="25"/>
      <c r="B25" s="72" t="s">
        <v>248</v>
      </c>
      <c r="C25" s="72" t="s">
        <v>145</v>
      </c>
      <c r="D25" s="73"/>
      <c r="E25" s="73"/>
      <c r="F25" s="73"/>
      <c r="G25" s="73"/>
      <c r="H25" s="73"/>
      <c r="I25" s="73"/>
      <c r="J25" s="73"/>
      <c r="K25" s="87">
        <f t="shared" si="0"/>
        <v>0</v>
      </c>
      <c r="L25" s="1"/>
      <c r="M25" s="117"/>
    </row>
    <row r="26" spans="1:13" s="118" customFormat="1" x14ac:dyDescent="0.2">
      <c r="A26" s="25"/>
      <c r="B26" s="72" t="s">
        <v>220</v>
      </c>
      <c r="C26" s="72" t="s">
        <v>145</v>
      </c>
      <c r="D26" s="73">
        <f>AVERAGE([3]CLC_cost!AD73:AE73)/Inflation!$K$10</f>
        <v>0</v>
      </c>
      <c r="E26" s="130">
        <f ca="1">AVERAGE([3]CLC_cost!AE73:AF73)/Inflation!$K$10</f>
        <v>126412.55763551682</v>
      </c>
      <c r="F26" s="130">
        <f ca="1">AVERAGE([3]CLC_cost!AF73:AG73)/Inflation!$K$10</f>
        <v>1471926.7771751448</v>
      </c>
      <c r="G26" s="130">
        <f ca="1">AVERAGE([3]CLC_cost!AG73:AH73)/Inflation!$K$10</f>
        <v>1345514.2195396279</v>
      </c>
      <c r="H26" s="130">
        <f>AVERAGE([3]CLC_cost!AH73:AI73)/Inflation!$K$10</f>
        <v>0</v>
      </c>
      <c r="I26" s="130">
        <f>AVERAGE([3]CLC_cost!AI73:AJ73)/Inflation!$K$10</f>
        <v>0</v>
      </c>
      <c r="J26" s="73">
        <f>AVERAGE([3]CLC_cost!AJ73:AK73)/Inflation!$K$10</f>
        <v>0</v>
      </c>
      <c r="K26" s="87">
        <f t="shared" ca="1" si="0"/>
        <v>2817440.9967147727</v>
      </c>
      <c r="L26" s="1"/>
      <c r="M26" s="117"/>
    </row>
    <row r="27" spans="1:13" s="118" customFormat="1" x14ac:dyDescent="0.2">
      <c r="A27" s="25"/>
      <c r="B27" s="72" t="s">
        <v>224</v>
      </c>
      <c r="C27" s="72" t="s">
        <v>145</v>
      </c>
      <c r="D27" s="73">
        <f>AVERAGE([3]CMN_cost!AD73:AE73)/Inflation!$K$10</f>
        <v>0</v>
      </c>
      <c r="E27" s="130">
        <f>AVERAGE([3]CMN_cost!AE73:AF73)/Inflation!$K$10</f>
        <v>0</v>
      </c>
      <c r="F27" s="130">
        <f>AVERAGE([3]CMN_cost!AF73:AG73)/Inflation!$K$10</f>
        <v>0</v>
      </c>
      <c r="G27" s="130">
        <f ca="1">AVERAGE([3]CMN_cost!AG73:AH73)/Inflation!$K$10</f>
        <v>1204571.6626337767</v>
      </c>
      <c r="H27" s="130">
        <f ca="1">AVERAGE([3]CMN_cost!AH73:AI73)/Inflation!$K$10</f>
        <v>1204571.6626337767</v>
      </c>
      <c r="I27" s="130">
        <f>AVERAGE([3]CMN_cost!AI73:AJ73)/Inflation!$K$10</f>
        <v>0</v>
      </c>
      <c r="J27" s="73">
        <f>AVERAGE([3]CMN_cost!AJ73:AK73)/Inflation!$K$10</f>
        <v>0</v>
      </c>
      <c r="K27" s="87">
        <f t="shared" ca="1" si="0"/>
        <v>2409143.3252675533</v>
      </c>
      <c r="L27" s="1"/>
      <c r="M27" s="117"/>
    </row>
    <row r="28" spans="1:13" s="118" customFormat="1" x14ac:dyDescent="0.2">
      <c r="A28" s="25"/>
      <c r="B28" s="72" t="s">
        <v>225</v>
      </c>
      <c r="C28" s="72" t="s">
        <v>145</v>
      </c>
      <c r="D28" s="73">
        <f>AVERAGE([3]EHK_cost!AD73:AE73)/Inflation!$K$10</f>
        <v>0</v>
      </c>
      <c r="E28" s="130">
        <f>AVERAGE([3]EHK_cost!AE73:AF73)/Inflation!$K$10</f>
        <v>0</v>
      </c>
      <c r="F28" s="130">
        <f>AVERAGE([3]EHK_cost!AF73:AG73)/Inflation!$K$10</f>
        <v>0</v>
      </c>
      <c r="G28" s="130">
        <f>AVERAGE([3]EHK_cost!AG73:AH73)/Inflation!$K$10</f>
        <v>0</v>
      </c>
      <c r="H28" s="130">
        <f ca="1">AVERAGE([3]EHK_cost!AH73:AI73)/Inflation!$K$10</f>
        <v>3571278.3460524618</v>
      </c>
      <c r="I28" s="130">
        <f ca="1">AVERAGE([3]EHK_cost!AI73:AJ73)/Inflation!$K$10</f>
        <v>3571278.3460524618</v>
      </c>
      <c r="J28" s="73">
        <f>AVERAGE([3]EHK_cost!AJ73:AK73)/Inflation!$K$10</f>
        <v>0</v>
      </c>
      <c r="K28" s="87">
        <f t="shared" ca="1" si="0"/>
        <v>7142556.6921049235</v>
      </c>
      <c r="L28" s="1"/>
      <c r="M28" s="117"/>
    </row>
    <row r="29" spans="1:13" s="118" customFormat="1" x14ac:dyDescent="0.2">
      <c r="A29" s="25"/>
      <c r="B29" s="72" t="s">
        <v>226</v>
      </c>
      <c r="C29" s="72" t="s">
        <v>145</v>
      </c>
      <c r="D29" s="73">
        <f>AVERAGE([3]GSB_cost!AD73:AE73)/Inflation!$K$10</f>
        <v>0</v>
      </c>
      <c r="E29" s="130">
        <f>AVERAGE([3]GSB_cost!AE73:AF73)/Inflation!$K$10</f>
        <v>0</v>
      </c>
      <c r="F29" s="130">
        <f>AVERAGE([3]GSB_cost!AF73:AG73)/Inflation!$K$10</f>
        <v>0</v>
      </c>
      <c r="G29" s="130">
        <f ca="1">AVERAGE([3]GSB_cost!AG73:AH73)/Inflation!$K$10</f>
        <v>1466226.246249801</v>
      </c>
      <c r="H29" s="130">
        <f ca="1">AVERAGE([3]GSB_cost!AH73:AI73)/Inflation!$K$10</f>
        <v>1466226.246249801</v>
      </c>
      <c r="I29" s="130">
        <f>AVERAGE([3]GSB_cost!AI73:AJ73)/Inflation!$K$10</f>
        <v>0</v>
      </c>
      <c r="J29" s="73">
        <f>AVERAGE([3]GSB_cost!AJ73:AK73)/Inflation!$K$10</f>
        <v>0</v>
      </c>
      <c r="K29" s="87">
        <f t="shared" ca="1" si="0"/>
        <v>2932452.492499602</v>
      </c>
      <c r="L29" s="1"/>
      <c r="M29" s="117"/>
    </row>
    <row r="30" spans="1:13" s="118" customFormat="1" x14ac:dyDescent="0.2">
      <c r="A30" s="25"/>
      <c r="B30" s="72" t="s">
        <v>221</v>
      </c>
      <c r="C30" s="72" t="s">
        <v>145</v>
      </c>
      <c r="D30" s="73">
        <f>(SUM([3]WPD_cost!$AD$43:$AD$71,[3]WPD_cost!$AD$15)/2)/Inflation!$K$10</f>
        <v>0</v>
      </c>
      <c r="E30" s="130">
        <f>(SUM([3]WPD_cost!$AE$43:$AE$71,[3]WPD_cost!$AE$15)/2)/Inflation!$K$10</f>
        <v>0</v>
      </c>
      <c r="F30" s="130">
        <f ca="1">(SUM([3]WPD_cost!$AG$43:$AG$71,[3]WPD_cost!$AG$15)/2)/Inflation!$K$10</f>
        <v>5062834.0819053818</v>
      </c>
      <c r="G30" s="130">
        <f ca="1">(SUM([3]WPD_cost!$AG$43:$AG$71,[3]WPD_cost!$AG$15)/2)/Inflation!$K$10</f>
        <v>5062834.0819053818</v>
      </c>
      <c r="H30" s="130">
        <f>(SUM([3]WPD_cost!$AH$43:$AH$71,[3]WPD_cost!$AH$15)/2)/Inflation!$K$10</f>
        <v>0</v>
      </c>
      <c r="I30" s="130">
        <f>(SUM([3]WPD_cost!$AI$43:$AI$71,[3]WPD_cost!$AI$15)/2)/Inflation!$K$10</f>
        <v>0</v>
      </c>
      <c r="J30" s="73">
        <f>(SUM([3]WPD_cost!$AJ$43:$AJ$71,[3]WPD_cost!$AJ$15)/2)/Inflation!$K$10</f>
        <v>0</v>
      </c>
      <c r="K30" s="87">
        <f t="shared" ca="1" si="0"/>
        <v>10125668.163810764</v>
      </c>
      <c r="L30" s="1"/>
      <c r="M30" s="117"/>
    </row>
    <row r="31" spans="1:13" s="118" customFormat="1" x14ac:dyDescent="0.2">
      <c r="A31" s="25"/>
      <c r="B31" s="72" t="s">
        <v>223</v>
      </c>
      <c r="C31" s="72" t="s">
        <v>145</v>
      </c>
      <c r="D31" s="73">
        <f>AVERAGE([3]TQY_cost!AD73:AE73)/Inflation!$K$10</f>
        <v>0</v>
      </c>
      <c r="E31" s="130">
        <f>AVERAGE([3]TQY_cost!AE73:AF73)/Inflation!$K$10</f>
        <v>0</v>
      </c>
      <c r="F31" s="130">
        <f ca="1">AVERAGE([3]TQY_cost!AF73:AG73)/Inflation!$K$10</f>
        <v>4785779.7522526579</v>
      </c>
      <c r="G31" s="130">
        <f ca="1">AVERAGE([3]TQY_cost!AG73:AH73)/Inflation!$K$10</f>
        <v>4785779.7522526579</v>
      </c>
      <c r="H31" s="130">
        <f>AVERAGE([3]TQY_cost!AH73:AI73)/Inflation!$K$10</f>
        <v>0</v>
      </c>
      <c r="I31" s="130">
        <f>AVERAGE([3]TQY_cost!AI73:AJ73)/Inflation!$K$10</f>
        <v>0</v>
      </c>
      <c r="J31" s="73">
        <f>AVERAGE([3]TQY_cost!AJ73:AK73)/Inflation!$K$10</f>
        <v>0</v>
      </c>
      <c r="K31" s="87">
        <f t="shared" ref="K31" ca="1" si="1">SUM(F31:J31)</f>
        <v>9571559.5045053158</v>
      </c>
      <c r="L31" s="1"/>
      <c r="M31" s="117"/>
    </row>
    <row r="32" spans="1:13" s="118" customFormat="1" x14ac:dyDescent="0.2">
      <c r="A32" s="25"/>
      <c r="B32" s="72" t="s">
        <v>222</v>
      </c>
      <c r="C32" s="72" t="s">
        <v>145</v>
      </c>
      <c r="D32" s="73">
        <f>(SUM([3]WPD_cost!$AD$18:$AD$39)/2)/Inflation!$K$10</f>
        <v>0</v>
      </c>
      <c r="E32" s="130">
        <f>(SUM([3]WPD_cost!$AE$18:$AE$39)/2)/Inflation!$K$10</f>
        <v>0</v>
      </c>
      <c r="F32" s="130">
        <f>(SUM([3]WPD_cost!$AF$18:$AF$39)/2)/Inflation!$K$10</f>
        <v>0</v>
      </c>
      <c r="G32" s="130">
        <f ca="1">(SUM([3]WPD_cost!$AG$18:$AG$39)/2)/Inflation!$K$10</f>
        <v>10691512.130683256</v>
      </c>
      <c r="H32" s="130">
        <f ca="1">(SUM([3]WPD_cost!$AG$18:$AG$39)/2)/Inflation!$K$10</f>
        <v>10691512.130683256</v>
      </c>
      <c r="I32" s="130">
        <f>(SUM([3]WPD_cost!$AI$18:$AI$39)/2)/Inflation!$K$10</f>
        <v>0</v>
      </c>
      <c r="J32" s="73">
        <f>(SUM([3]WPD_cost!$AJ$18:$AJ$39)/2)/Inflation!$K$10</f>
        <v>0</v>
      </c>
      <c r="K32" s="87">
        <f ca="1">SUM(F32:J32)</f>
        <v>21383024.261366513</v>
      </c>
      <c r="L32" s="1"/>
      <c r="M32" s="117"/>
    </row>
    <row r="33" spans="1:13" x14ac:dyDescent="0.2">
      <c r="A33" s="25"/>
      <c r="B33" s="72" t="s">
        <v>227</v>
      </c>
      <c r="C33" s="72" t="s">
        <v>145</v>
      </c>
      <c r="D33" s="73">
        <f>AVERAGE([3]BETS_cost!AD73:AE73)/Inflation!$K$10</f>
        <v>0</v>
      </c>
      <c r="E33" s="130">
        <f>AVERAGE([3]BETS_cost!AE73:AF73)/Inflation!$K$10</f>
        <v>0</v>
      </c>
      <c r="F33" s="130">
        <f>AVERAGE([3]BETS_cost!AF73:AG73)/Inflation!$K$10</f>
        <v>0</v>
      </c>
      <c r="G33" s="130">
        <f>AVERAGE([3]BETS_cost!AG73:AH73)/Inflation!$K$10</f>
        <v>0</v>
      </c>
      <c r="H33" s="130">
        <f ca="1">AVERAGE([3]BETS_cost!AH73:AI73)/Inflation!$K$10</f>
        <v>1224866.0403380333</v>
      </c>
      <c r="I33" s="130">
        <f ca="1">AVERAGE([3]BETS_cost!AI73:AJ73)/Inflation!$K$10</f>
        <v>1224866.0403380333</v>
      </c>
      <c r="J33" s="73">
        <f>AVERAGE([3]BETS_cost!AJ73:AK73)/Inflation!$K$10</f>
        <v>0</v>
      </c>
      <c r="K33" s="87">
        <f t="shared" ca="1" si="0"/>
        <v>2449732.0806760667</v>
      </c>
      <c r="L33" s="1"/>
      <c r="M33" s="25"/>
    </row>
    <row r="34" spans="1:13" s="118" customFormat="1" x14ac:dyDescent="0.2">
      <c r="A34" s="25"/>
      <c r="B34" s="72" t="s">
        <v>228</v>
      </c>
      <c r="C34" s="72" t="s">
        <v>145</v>
      </c>
      <c r="D34" s="73">
        <f>AVERAGE([3]BGO_cost!AD73:AE73)/Inflation!$K$10</f>
        <v>0</v>
      </c>
      <c r="E34" s="130">
        <f>AVERAGE([3]BGO_cost!AE73:AF73)/Inflation!$K$10</f>
        <v>0</v>
      </c>
      <c r="F34" s="130">
        <f>AVERAGE([3]BGO_cost!AF73:AG73)/Inflation!$K$10</f>
        <v>0</v>
      </c>
      <c r="G34" s="130">
        <f>AVERAGE([3]BGO_cost!AG73:AH73)/Inflation!$K$10</f>
        <v>0</v>
      </c>
      <c r="H34" s="130">
        <f ca="1">AVERAGE([3]BGO_cost!AH73:AI73)/Inflation!$K$10</f>
        <v>593232.46643094171</v>
      </c>
      <c r="I34" s="130">
        <f ca="1">AVERAGE([3]BGO_cost!AI73:AJ73)/Inflation!$K$10</f>
        <v>593232.46643094171</v>
      </c>
      <c r="J34" s="73">
        <f>AVERAGE([3]BGO_cost!AJ73:AK73)/Inflation!$K$10</f>
        <v>0</v>
      </c>
      <c r="K34" s="87">
        <f t="shared" ca="1" si="0"/>
        <v>1186464.9328618834</v>
      </c>
      <c r="L34" s="1"/>
      <c r="M34" s="117"/>
    </row>
    <row r="35" spans="1:13" s="118" customFormat="1" x14ac:dyDescent="0.2">
      <c r="A35" s="25"/>
      <c r="B35" s="72" t="s">
        <v>229</v>
      </c>
      <c r="C35" s="72" t="s">
        <v>145</v>
      </c>
      <c r="D35" s="73">
        <f>AVERAGE([3]WIN_cost!AD73:AE73)/Inflation!$K$10</f>
        <v>0</v>
      </c>
      <c r="E35" s="130">
        <f>AVERAGE([3]WIN_cost!AE73:AF73)/Inflation!$K$10</f>
        <v>0</v>
      </c>
      <c r="F35" s="130">
        <f>AVERAGE([3]WIN_cost!AF73:AG73)/Inflation!$K$10</f>
        <v>0</v>
      </c>
      <c r="G35" s="130">
        <f ca="1">AVERAGE([3]WIN_cost!AG73:AH73)/Inflation!$K$10</f>
        <v>3883368.7674216288</v>
      </c>
      <c r="H35" s="130">
        <f ca="1">AVERAGE([3]WIN_cost!AH73:AI73)/Inflation!$K$10</f>
        <v>3883368.7674216288</v>
      </c>
      <c r="I35" s="130">
        <f>AVERAGE([3]WIN_cost!AI73:AJ73)/Inflation!$K$10</f>
        <v>0</v>
      </c>
      <c r="J35" s="73">
        <f>AVERAGE([3]WIN_cost!AJ73:AK73)/Inflation!$K$10</f>
        <v>0</v>
      </c>
      <c r="K35" s="87">
        <f t="shared" ca="1" si="0"/>
        <v>7766737.5348432576</v>
      </c>
      <c r="L35" s="1"/>
      <c r="M35" s="117"/>
    </row>
    <row r="36" spans="1:13" s="118" customFormat="1" x14ac:dyDescent="0.2">
      <c r="A36" s="25"/>
      <c r="B36" s="72" t="s">
        <v>236</v>
      </c>
      <c r="C36" s="72" t="s">
        <v>145</v>
      </c>
      <c r="D36" s="73">
        <f>[3]GHP_cost!AD73/Inflation!$K$10</f>
        <v>0</v>
      </c>
      <c r="E36" s="130">
        <f>[3]GHP_cost!AE73/Inflation!$K$10</f>
        <v>0</v>
      </c>
      <c r="F36" s="130">
        <f ca="1">[3]GHP_cost!AF73/Inflation!$K$10</f>
        <v>2013940.6713293572</v>
      </c>
      <c r="G36" s="130">
        <f ca="1">([3]GHP_cost!AG73)/Inflation!$K$10</f>
        <v>48361298.176640376</v>
      </c>
      <c r="H36" s="130">
        <f>[3]GHP_cost!AH73/Inflation!$K$10</f>
        <v>0</v>
      </c>
      <c r="I36" s="130">
        <f>[3]GHP_cost!AI73/Inflation!$K$10</f>
        <v>0</v>
      </c>
      <c r="J36" s="73">
        <f>[3]GHP_cost!AJ73/Inflation!$K$10</f>
        <v>0</v>
      </c>
      <c r="K36" s="87">
        <f t="shared" ca="1" si="0"/>
        <v>50375238.847969733</v>
      </c>
      <c r="L36" s="1"/>
      <c r="M36" s="117"/>
    </row>
    <row r="37" spans="1:13" s="118" customFormat="1" x14ac:dyDescent="0.2">
      <c r="A37" s="25"/>
      <c r="B37" s="72" t="s">
        <v>249</v>
      </c>
      <c r="C37" s="72" t="s">
        <v>145</v>
      </c>
      <c r="D37" s="73"/>
      <c r="E37" s="73"/>
      <c r="F37" s="134">
        <v>-1238569.72452606</v>
      </c>
      <c r="G37" s="134">
        <v>-619284.86226303002</v>
      </c>
      <c r="H37" s="134">
        <v>-185785.458678909</v>
      </c>
      <c r="I37" s="134">
        <v>-309642.43113151501</v>
      </c>
      <c r="J37" s="134"/>
      <c r="K37" s="87">
        <f t="shared" si="0"/>
        <v>-2353282.4765995145</v>
      </c>
      <c r="L37" s="1"/>
      <c r="M37" s="117"/>
    </row>
    <row r="38" spans="1:13" s="118" customFormat="1" x14ac:dyDescent="0.2">
      <c r="A38" s="25"/>
      <c r="B38" s="72" t="s">
        <v>250</v>
      </c>
      <c r="C38" s="72" t="s">
        <v>145</v>
      </c>
      <c r="D38" s="73"/>
      <c r="E38" s="73"/>
      <c r="F38" s="134"/>
      <c r="G38" s="134">
        <f>([3]Cost_Summary!$R$79*1000)/Inflation!$K$10</f>
        <v>-18287759.640743043</v>
      </c>
      <c r="H38" s="134"/>
      <c r="I38" s="134"/>
      <c r="J38" s="134"/>
      <c r="K38" s="87"/>
      <c r="L38" s="1"/>
      <c r="M38" s="117"/>
    </row>
    <row r="39" spans="1:13" x14ac:dyDescent="0.2">
      <c r="A39" s="1"/>
      <c r="B39" s="1"/>
      <c r="C39" s="1"/>
      <c r="D39" s="45">
        <f t="shared" ref="D39:F39" si="2">SUM(D10:D38)</f>
        <v>74835543.944296822</v>
      </c>
      <c r="E39" s="45">
        <f t="shared" ca="1" si="2"/>
        <v>120466567.69835946</v>
      </c>
      <c r="F39" s="45">
        <f t="shared" ca="1" si="2"/>
        <v>55796861.725287274</v>
      </c>
      <c r="G39" s="45">
        <f ca="1">SUM(G10:G38)</f>
        <v>64178329.513149559</v>
      </c>
      <c r="H39" s="45">
        <f t="shared" ref="H39:J39" ca="1" si="3">SUM(H10:H38)</f>
        <v>24082144.001130991</v>
      </c>
      <c r="I39" s="45">
        <f t="shared" ca="1" si="3"/>
        <v>6712608.2216899218</v>
      </c>
      <c r="J39" s="45">
        <f t="shared" si="3"/>
        <v>1632873.8</v>
      </c>
      <c r="K39" s="45">
        <f ca="1">SUM(K10:K36)</f>
        <v>173043859.3786003</v>
      </c>
      <c r="L39" s="1"/>
      <c r="M39" s="1"/>
    </row>
    <row r="40" spans="1:13" x14ac:dyDescent="0.2">
      <c r="A40" s="1"/>
      <c r="B40" s="1"/>
      <c r="C40" s="1"/>
      <c r="D40" s="90"/>
      <c r="E40" s="1"/>
      <c r="F40" s="1"/>
      <c r="G40" s="77"/>
      <c r="H40" s="77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15"/>
      <c r="E41" s="77"/>
      <c r="F41" s="77"/>
      <c r="G41" s="77"/>
      <c r="H41" s="77"/>
      <c r="I41" s="77"/>
      <c r="J41" s="1"/>
      <c r="K41" s="115"/>
      <c r="L41" s="1"/>
      <c r="M41" s="1"/>
    </row>
    <row r="42" spans="1:13" x14ac:dyDescent="0.2">
      <c r="A42" s="1"/>
      <c r="B42" s="1"/>
      <c r="C42" s="1"/>
      <c r="D42" s="116"/>
      <c r="E42" s="1"/>
      <c r="F42" s="90"/>
      <c r="G42" s="90"/>
      <c r="H42" s="1"/>
      <c r="I42" s="1"/>
      <c r="J42" s="1"/>
      <c r="K42" s="1"/>
      <c r="L42" s="1"/>
      <c r="M42" s="1"/>
    </row>
    <row r="43" spans="1:13" ht="15.75" x14ac:dyDescent="0.25">
      <c r="A43" s="26"/>
      <c r="B43" s="26" t="s">
        <v>182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idden="1" x14ac:dyDescent="0.2"/>
    <row r="69" spans="1:13" hidden="1" x14ac:dyDescent="0.2"/>
    <row r="70" spans="1:13" hidden="1" x14ac:dyDescent="0.2"/>
    <row r="71" spans="1:13" hidden="1" x14ac:dyDescent="0.2"/>
    <row r="72" spans="1:13" hidden="1" x14ac:dyDescent="0.2"/>
    <row r="73" spans="1:13" hidden="1" x14ac:dyDescent="0.2"/>
    <row r="74" spans="1:13" hidden="1" x14ac:dyDescent="0.2"/>
    <row r="75" spans="1:13" hidden="1" x14ac:dyDescent="0.2"/>
    <row r="76" spans="1:13" hidden="1" x14ac:dyDescent="0.2"/>
    <row r="77" spans="1:13" hidden="1" x14ac:dyDescent="0.2"/>
    <row r="78" spans="1:13" hidden="1" x14ac:dyDescent="0.2"/>
    <row r="79" spans="1:13" hidden="1" x14ac:dyDescent="0.2"/>
    <row r="80" spans="1:13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customHeight="1" x14ac:dyDescent="0.2"/>
  </sheetData>
  <mergeCells count="1">
    <mergeCell ref="D8:K8"/>
  </mergeCells>
  <hyperlinks>
    <hyperlink ref="J1" location="Menu!A1" display="Menu" xr:uid="{00000000-0004-0000-0300-000000000000}"/>
  </hyperlinks>
  <pageMargins left="0.25" right="0.25" top="0.75" bottom="0.75" header="0.3" footer="0.3"/>
  <pageSetup paperSize="9" scale="53" fitToHeight="0" orientation="landscape" r:id="rId1"/>
  <ignoredErrors>
    <ignoredError sqref="D22:E2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79998168889431442"/>
  </sheetPr>
  <dimension ref="A1:BN35"/>
  <sheetViews>
    <sheetView tabSelected="1" zoomScale="115" zoomScaleNormal="115" workbookViewId="0"/>
  </sheetViews>
  <sheetFormatPr defaultColWidth="0" defaultRowHeight="12.75" customHeight="1" zeroHeight="1" x14ac:dyDescent="0.2"/>
  <cols>
    <col min="1" max="1" width="3.625" style="36" customWidth="1"/>
    <col min="2" max="2" width="21.375" style="36" customWidth="1"/>
    <col min="3" max="13" width="8.625" style="36" customWidth="1"/>
    <col min="14" max="14" width="9" style="36" customWidth="1"/>
    <col min="15" max="66" width="0" style="36" hidden="1" customWidth="1"/>
    <col min="67" max="16384" width="9" style="36" hidden="1"/>
  </cols>
  <sheetData>
    <row r="1" spans="1:14" ht="18" x14ac:dyDescent="0.25">
      <c r="A1" s="24" t="s">
        <v>233</v>
      </c>
      <c r="B1" s="34"/>
      <c r="C1" s="34"/>
      <c r="D1" s="34"/>
      <c r="E1" s="34"/>
      <c r="F1" s="34"/>
      <c r="G1" s="34"/>
      <c r="H1" s="34"/>
      <c r="I1" s="144" t="s">
        <v>239</v>
      </c>
      <c r="J1" s="144"/>
      <c r="K1" s="34"/>
      <c r="L1" s="34"/>
      <c r="M1" s="35" t="s">
        <v>39</v>
      </c>
      <c r="N1" s="34"/>
    </row>
    <row r="2" spans="1:14" ht="15.75" x14ac:dyDescent="0.25">
      <c r="A2" s="37" t="str">
        <f ca="1">RIGHT(CELL("filename", $A$1), LEN(CELL("filename", $A$1)) - SEARCH("]", CELL("filename", $A$1)))</f>
        <v>Inflation</v>
      </c>
      <c r="B2" s="37"/>
      <c r="C2" s="37"/>
      <c r="D2" s="37"/>
      <c r="E2" s="37"/>
      <c r="F2" s="37"/>
      <c r="G2" s="37"/>
      <c r="H2" s="37"/>
      <c r="I2" s="145" t="s">
        <v>240</v>
      </c>
      <c r="J2" s="145"/>
      <c r="K2" s="37"/>
      <c r="L2" s="37"/>
      <c r="M2" s="37"/>
      <c r="N2" s="37"/>
    </row>
    <row r="3" spans="1:14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38"/>
      <c r="B4" s="48" t="s">
        <v>50</v>
      </c>
      <c r="C4" s="49">
        <v>2021</v>
      </c>
      <c r="D4" s="25"/>
      <c r="G4" s="25"/>
      <c r="H4" s="25"/>
      <c r="I4" s="25"/>
      <c r="J4" s="25"/>
      <c r="K4" s="25"/>
      <c r="L4" s="25"/>
      <c r="M4" s="25"/>
      <c r="N4" s="25"/>
    </row>
    <row r="5" spans="1:14" x14ac:dyDescent="0.2">
      <c r="A5" s="38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8"/>
      <c r="B6" s="39" t="s">
        <v>216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2">
      <c r="A7" s="38"/>
      <c r="B7" s="46" t="s">
        <v>232</v>
      </c>
      <c r="C7" s="17" t="str">
        <f>"FY"&amp;RIGHT(C8,2)&amp;"/"&amp;RIGHT(C8+1,2)</f>
        <v>FY11/12</v>
      </c>
      <c r="D7" s="17" t="str">
        <f t="shared" ref="D7:M7" si="0">"FY"&amp;RIGHT(D8,2)&amp;"/"&amp;RIGHT(D8+1,2)</f>
        <v>FY12/13</v>
      </c>
      <c r="E7" s="17" t="str">
        <f t="shared" si="0"/>
        <v>FY13/14</v>
      </c>
      <c r="F7" s="17" t="str">
        <f t="shared" si="0"/>
        <v>FY14/15</v>
      </c>
      <c r="G7" s="17" t="str">
        <f t="shared" si="0"/>
        <v>FY15/16</v>
      </c>
      <c r="H7" s="17" t="str">
        <f t="shared" si="0"/>
        <v>FY16/17</v>
      </c>
      <c r="I7" s="17" t="str">
        <f t="shared" si="0"/>
        <v>FY17/18</v>
      </c>
      <c r="J7" s="17" t="str">
        <f t="shared" si="0"/>
        <v>FY18/19</v>
      </c>
      <c r="K7" s="17" t="str">
        <f t="shared" si="0"/>
        <v>FY19/20</v>
      </c>
      <c r="L7" s="17" t="str">
        <f t="shared" si="0"/>
        <v>FY20/21</v>
      </c>
      <c r="M7" s="17" t="str">
        <f t="shared" si="0"/>
        <v>FY21/22</v>
      </c>
      <c r="N7" s="25"/>
    </row>
    <row r="8" spans="1:14" x14ac:dyDescent="0.2">
      <c r="A8" s="38"/>
      <c r="B8" s="46" t="s">
        <v>234</v>
      </c>
      <c r="C8" s="17">
        <v>2011</v>
      </c>
      <c r="D8" s="17">
        <f>C8+1</f>
        <v>2012</v>
      </c>
      <c r="E8" s="17">
        <f t="shared" ref="E8:M8" si="1">D8+1</f>
        <v>2013</v>
      </c>
      <c r="F8" s="17">
        <f t="shared" si="1"/>
        <v>2014</v>
      </c>
      <c r="G8" s="17">
        <f t="shared" si="1"/>
        <v>2015</v>
      </c>
      <c r="H8" s="17">
        <f t="shared" si="1"/>
        <v>2016</v>
      </c>
      <c r="I8" s="17">
        <f t="shared" si="1"/>
        <v>2017</v>
      </c>
      <c r="J8" s="17">
        <f t="shared" si="1"/>
        <v>2018</v>
      </c>
      <c r="K8" s="17">
        <f t="shared" si="1"/>
        <v>2019</v>
      </c>
      <c r="L8" s="17">
        <f>K8+1</f>
        <v>2020</v>
      </c>
      <c r="M8" s="17">
        <f t="shared" si="1"/>
        <v>2021</v>
      </c>
      <c r="N8" s="40"/>
    </row>
    <row r="9" spans="1:14" x14ac:dyDescent="0.2">
      <c r="A9" s="38"/>
      <c r="B9" s="8" t="s">
        <v>51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40"/>
    </row>
    <row r="10" spans="1:14" x14ac:dyDescent="0.2">
      <c r="A10" s="38"/>
      <c r="B10" s="8" t="str">
        <f>"Conversion Factor to" &amp; " " &amp;C4</f>
        <v>Conversion Factor to 2021</v>
      </c>
      <c r="C10" s="146">
        <v>1.2110027534934977</v>
      </c>
      <c r="D10" s="146">
        <v>1.1698259597570968</v>
      </c>
      <c r="E10" s="146">
        <v>1.1468431314711027</v>
      </c>
      <c r="F10" s="146">
        <v>1.122582988305368</v>
      </c>
      <c r="G10" s="146">
        <v>1.0972615675165249</v>
      </c>
      <c r="H10" s="146">
        <v>1.0809302325581396</v>
      </c>
      <c r="I10" s="146">
        <v>1.0699815837937385</v>
      </c>
      <c r="J10" s="146">
        <v>1.0496838301716351</v>
      </c>
      <c r="K10" s="146">
        <v>1.0389462882960341</v>
      </c>
      <c r="L10" s="146">
        <v>1.0121951219512195</v>
      </c>
      <c r="M10" s="146">
        <v>1</v>
      </c>
      <c r="N10" s="40"/>
    </row>
    <row r="11" spans="1:14" x14ac:dyDescent="0.2">
      <c r="A11" s="38"/>
      <c r="B11" s="38"/>
      <c r="C11" s="38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0"/>
    </row>
    <row r="12" spans="1:14" x14ac:dyDescent="0.2">
      <c r="A12" s="38"/>
      <c r="B12" s="38"/>
      <c r="C12" s="38"/>
      <c r="D12" s="43"/>
      <c r="E12" s="137"/>
      <c r="F12" s="137"/>
      <c r="G12" s="43"/>
      <c r="H12" s="43"/>
      <c r="I12" s="43"/>
      <c r="J12" s="43"/>
      <c r="K12" s="43"/>
      <c r="L12" s="43"/>
      <c r="M12" s="43"/>
    </row>
    <row r="13" spans="1:14" s="33" customFormat="1" ht="15.75" x14ac:dyDescent="0.25">
      <c r="A13" s="26"/>
      <c r="B13" s="26" t="s">
        <v>182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idden="1" x14ac:dyDescent="0.2">
      <c r="A14" s="38"/>
      <c r="B14" s="38"/>
      <c r="C14" s="38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4" hidden="1" x14ac:dyDescent="0.2">
      <c r="A15" s="38"/>
      <c r="B15" s="38"/>
      <c r="C15" s="38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14" hidden="1" x14ac:dyDescent="0.2">
      <c r="A16" s="38"/>
      <c r="B16" s="38"/>
      <c r="C16" s="38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1:13" hidden="1" x14ac:dyDescent="0.2">
      <c r="A17" s="38"/>
      <c r="B17" s="38"/>
      <c r="C17" s="38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 hidden="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40"/>
    </row>
    <row r="19" spans="1:13" hidden="1" x14ac:dyDescent="0.2">
      <c r="A19" s="38"/>
      <c r="B19" s="38"/>
      <c r="C19" s="38"/>
      <c r="D19" s="38"/>
      <c r="E19" s="38"/>
      <c r="F19" s="38"/>
      <c r="G19" s="38"/>
      <c r="H19" s="38"/>
      <c r="I19" s="40"/>
      <c r="J19" s="40"/>
      <c r="K19" s="40"/>
      <c r="L19" s="40"/>
      <c r="M19" s="40"/>
    </row>
    <row r="20" spans="1:13" hidden="1" x14ac:dyDescent="0.2">
      <c r="A20" s="38"/>
      <c r="B20" s="38"/>
      <c r="C20" s="38"/>
      <c r="D20" s="38"/>
      <c r="E20" s="38"/>
      <c r="F20" s="38"/>
      <c r="G20" s="38"/>
      <c r="H20" s="38"/>
    </row>
    <row r="21" spans="1:13" ht="12.75" hidden="1" customHeight="1" x14ac:dyDescent="0.2"/>
    <row r="22" spans="1:13" ht="12.75" hidden="1" customHeight="1" x14ac:dyDescent="0.2"/>
    <row r="23" spans="1:13" ht="12.75" hidden="1" customHeight="1" x14ac:dyDescent="0.2"/>
    <row r="24" spans="1:13" ht="12.75" hidden="1" customHeight="1" x14ac:dyDescent="0.2"/>
    <row r="25" spans="1:13" ht="12.75" hidden="1" customHeight="1" x14ac:dyDescent="0.2"/>
    <row r="26" spans="1:13" ht="12.75" hidden="1" customHeight="1" x14ac:dyDescent="0.2"/>
    <row r="27" spans="1:13" ht="12.75" hidden="1" customHeight="1" x14ac:dyDescent="0.2"/>
    <row r="28" spans="1:13" ht="12.75" hidden="1" customHeight="1" x14ac:dyDescent="0.2"/>
    <row r="29" spans="1:13" ht="12.75" hidden="1" customHeight="1" x14ac:dyDescent="0.2"/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</sheetData>
  <hyperlinks>
    <hyperlink ref="M1" location="Menu!A1" display="Menu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79998168889431442"/>
  </sheetPr>
  <dimension ref="A1:V121"/>
  <sheetViews>
    <sheetView zoomScale="115" zoomScaleNormal="115" workbookViewId="0">
      <selection activeCell="G16" sqref="G16"/>
    </sheetView>
  </sheetViews>
  <sheetFormatPr defaultColWidth="0" defaultRowHeight="12.75" zeroHeight="1" x14ac:dyDescent="0.2"/>
  <cols>
    <col min="1" max="1" width="3.625" style="36" customWidth="1"/>
    <col min="2" max="2" width="20.625" style="36" customWidth="1"/>
    <col min="3" max="3" width="41.625" style="36" customWidth="1"/>
    <col min="4" max="4" width="9.625" style="36" customWidth="1"/>
    <col min="5" max="9" width="9.875" style="36" bestFit="1" customWidth="1"/>
    <col min="10" max="10" width="13.375" style="36" bestFit="1" customWidth="1"/>
    <col min="11" max="11" width="10.25" style="36" customWidth="1"/>
    <col min="12" max="12" width="3.625" style="36" customWidth="1"/>
    <col min="13" max="13" width="3.625" style="36" hidden="1" customWidth="1"/>
    <col min="14" max="17" width="9.625" style="36" hidden="1" customWidth="1"/>
    <col min="18" max="16384" width="9" style="36" hidden="1"/>
  </cols>
  <sheetData>
    <row r="1" spans="1:22" ht="18" x14ac:dyDescent="0.25">
      <c r="A1" s="24" t="s">
        <v>233</v>
      </c>
      <c r="B1" s="34"/>
      <c r="C1" s="34"/>
      <c r="D1" s="34"/>
      <c r="E1" s="34"/>
      <c r="F1" s="34"/>
      <c r="G1" s="34"/>
      <c r="H1" s="34"/>
      <c r="I1" s="34"/>
      <c r="J1" s="34"/>
      <c r="K1" s="35" t="s">
        <v>39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x14ac:dyDescent="0.25">
      <c r="A2" s="111" t="str">
        <f ca="1">RIGHT(CELL("filename", $A$1), LEN(CELL("filename", $A$1)) - SEARCH("]", CELL("filename", $A$1)))</f>
        <v>Historical Expenditure</v>
      </c>
      <c r="B2" s="37"/>
      <c r="C2" s="37"/>
      <c r="D2" s="37"/>
      <c r="E2" s="37"/>
      <c r="F2" s="37"/>
      <c r="G2" s="37"/>
      <c r="H2" s="37"/>
      <c r="I2" s="37"/>
      <c r="J2" s="30" t="s">
        <v>40</v>
      </c>
      <c r="K2" s="106" t="str">
        <f>IF(SUM(D21:K21)=0,"OK","Check!")</f>
        <v>OK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x14ac:dyDescent="0.2">
      <c r="A4" s="38"/>
      <c r="B4" s="123" t="s">
        <v>173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40"/>
      <c r="R4" s="40"/>
      <c r="S4" s="40"/>
    </row>
    <row r="5" spans="1:22" x14ac:dyDescent="0.2">
      <c r="A5" s="38"/>
      <c r="B5" s="41" t="s">
        <v>179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40"/>
      <c r="R5" s="40"/>
      <c r="S5" s="40"/>
    </row>
    <row r="6" spans="1:22" x14ac:dyDescent="0.2">
      <c r="A6" s="38"/>
      <c r="B6" s="41"/>
      <c r="C6" s="38"/>
      <c r="D6" s="157" t="s">
        <v>46</v>
      </c>
      <c r="E6" s="158"/>
      <c r="F6" s="158"/>
      <c r="G6" s="158"/>
      <c r="H6" s="158"/>
      <c r="I6" s="158"/>
      <c r="J6" s="158"/>
      <c r="K6" s="159"/>
      <c r="L6" s="38"/>
      <c r="M6" s="38"/>
      <c r="N6" s="38"/>
      <c r="O6" s="38"/>
      <c r="P6" s="38"/>
      <c r="Q6" s="40"/>
      <c r="R6" s="40"/>
      <c r="S6" s="40"/>
    </row>
    <row r="7" spans="1:22" x14ac:dyDescent="0.2">
      <c r="A7" s="38"/>
      <c r="B7" s="17" t="s">
        <v>45</v>
      </c>
      <c r="C7" s="46" t="s">
        <v>48</v>
      </c>
      <c r="D7" s="60" t="s">
        <v>211</v>
      </c>
      <c r="E7" s="17" t="s">
        <v>212</v>
      </c>
      <c r="F7" s="17" t="s">
        <v>213</v>
      </c>
      <c r="G7" s="17" t="s">
        <v>214</v>
      </c>
      <c r="H7" s="17" t="s">
        <v>215</v>
      </c>
      <c r="I7" s="17" t="s">
        <v>192</v>
      </c>
      <c r="J7" s="17" t="s">
        <v>193</v>
      </c>
      <c r="K7" s="17" t="s">
        <v>194</v>
      </c>
      <c r="L7" s="38"/>
      <c r="M7" s="38"/>
      <c r="N7" s="38"/>
      <c r="O7" s="38"/>
      <c r="P7" s="38"/>
      <c r="Q7" s="40"/>
      <c r="R7" s="40"/>
      <c r="S7" s="40"/>
    </row>
    <row r="8" spans="1:22" x14ac:dyDescent="0.2">
      <c r="A8" s="38"/>
      <c r="B8" s="105">
        <v>167</v>
      </c>
      <c r="C8" s="42" t="s">
        <v>175</v>
      </c>
      <c r="D8" s="54"/>
      <c r="E8" s="54"/>
      <c r="F8" s="54"/>
      <c r="G8" s="54"/>
      <c r="H8" s="54"/>
      <c r="I8" s="54"/>
      <c r="J8" s="54"/>
      <c r="K8" s="54"/>
      <c r="L8" s="38"/>
      <c r="M8" s="38"/>
      <c r="N8" s="38"/>
      <c r="O8" s="38"/>
      <c r="P8" s="38"/>
      <c r="Q8" s="40"/>
      <c r="R8" s="40"/>
      <c r="S8" s="40"/>
    </row>
    <row r="9" spans="1:22" x14ac:dyDescent="0.2">
      <c r="A9" s="38"/>
      <c r="B9" s="105">
        <v>167</v>
      </c>
      <c r="C9" s="42" t="s">
        <v>176</v>
      </c>
      <c r="D9" s="54"/>
      <c r="E9" s="54"/>
      <c r="F9" s="54"/>
      <c r="G9" s="54"/>
      <c r="H9" s="54"/>
      <c r="I9" s="69"/>
      <c r="J9" s="69"/>
      <c r="K9" s="69"/>
      <c r="L9" s="38"/>
      <c r="M9" s="38"/>
      <c r="N9" s="38"/>
      <c r="O9" s="38"/>
      <c r="P9" s="38"/>
      <c r="Q9" s="40"/>
      <c r="R9" s="40"/>
      <c r="S9" s="40"/>
    </row>
    <row r="10" spans="1:22" x14ac:dyDescent="0.2">
      <c r="A10" s="38"/>
      <c r="B10" s="105">
        <v>167</v>
      </c>
      <c r="C10" s="42" t="s">
        <v>174</v>
      </c>
      <c r="D10" s="125">
        <f>D38</f>
        <v>0</v>
      </c>
      <c r="E10" s="125">
        <f t="shared" ref="E10:H10" si="0">E38</f>
        <v>8994754.4873194955</v>
      </c>
      <c r="F10" s="125">
        <f t="shared" si="0"/>
        <v>24515824.797319494</v>
      </c>
      <c r="G10" s="125">
        <f t="shared" si="0"/>
        <v>24239198.513390251</v>
      </c>
      <c r="H10" s="125">
        <f t="shared" si="0"/>
        <v>13387353.308390249</v>
      </c>
      <c r="I10" s="125">
        <f t="shared" ref="I10:K10" si="1">I38</f>
        <v>8781678.0951682627</v>
      </c>
      <c r="J10" s="125">
        <f t="shared" si="1"/>
        <v>5947266.4465329535</v>
      </c>
      <c r="K10" s="125">
        <f t="shared" si="1"/>
        <v>1834813.4563646913</v>
      </c>
      <c r="L10" s="38"/>
      <c r="M10" s="38"/>
      <c r="N10" s="38"/>
      <c r="O10" s="38"/>
      <c r="P10" s="38"/>
      <c r="Q10" s="40"/>
      <c r="R10" s="40"/>
      <c r="S10" s="40"/>
    </row>
    <row r="11" spans="1:22" x14ac:dyDescent="0.2">
      <c r="A11" s="38"/>
      <c r="B11" s="105">
        <v>167</v>
      </c>
      <c r="C11" s="42" t="s">
        <v>153</v>
      </c>
      <c r="D11" s="125">
        <f t="shared" ref="D11:H11" si="2">D50</f>
        <v>3799732.0049999999</v>
      </c>
      <c r="E11" s="125">
        <f t="shared" si="2"/>
        <v>4074928.6593764047</v>
      </c>
      <c r="F11" s="125">
        <f t="shared" si="2"/>
        <v>275196.65437640471</v>
      </c>
      <c r="G11" s="125">
        <f t="shared" si="2"/>
        <v>607473.56160975224</v>
      </c>
      <c r="H11" s="125">
        <f t="shared" si="2"/>
        <v>2075100.5616097522</v>
      </c>
      <c r="I11" s="125">
        <f t="shared" ref="I11:K11" si="3">I50</f>
        <v>4168149.5</v>
      </c>
      <c r="J11" s="125">
        <f t="shared" si="3"/>
        <v>7506904.0879262453</v>
      </c>
      <c r="K11" s="125">
        <f t="shared" si="3"/>
        <v>11776302.587926246</v>
      </c>
      <c r="L11" s="38"/>
      <c r="M11" s="38"/>
      <c r="N11" s="38"/>
      <c r="O11" s="38"/>
      <c r="P11" s="38"/>
      <c r="Q11" s="40"/>
      <c r="R11" s="40"/>
      <c r="S11" s="40"/>
    </row>
    <row r="12" spans="1:22" x14ac:dyDescent="0.2">
      <c r="A12" s="38"/>
      <c r="B12" s="105">
        <v>167</v>
      </c>
      <c r="C12" s="42" t="s">
        <v>177</v>
      </c>
      <c r="D12" s="125">
        <f t="shared" ref="D12:K12" si="4">D51</f>
        <v>70559.260000000009</v>
      </c>
      <c r="E12" s="125">
        <f t="shared" si="4"/>
        <v>39058.07</v>
      </c>
      <c r="F12" s="125">
        <f t="shared" si="4"/>
        <v>58813.79</v>
      </c>
      <c r="G12" s="125">
        <f t="shared" si="4"/>
        <v>56609.885000000002</v>
      </c>
      <c r="H12" s="125">
        <f t="shared" si="4"/>
        <v>10369.94</v>
      </c>
      <c r="I12" s="125">
        <f t="shared" si="4"/>
        <v>525.5</v>
      </c>
      <c r="J12" s="125">
        <f>J51</f>
        <v>0</v>
      </c>
      <c r="K12" s="125">
        <f t="shared" si="4"/>
        <v>0</v>
      </c>
      <c r="L12" s="38"/>
      <c r="M12" s="38"/>
      <c r="N12" s="38"/>
      <c r="O12" s="38"/>
      <c r="P12" s="38"/>
      <c r="Q12" s="40"/>
      <c r="R12" s="40"/>
      <c r="S12" s="40"/>
    </row>
    <row r="13" spans="1:22" x14ac:dyDescent="0.2">
      <c r="A13" s="38"/>
      <c r="B13" s="105">
        <v>167</v>
      </c>
      <c r="C13" s="42" t="s">
        <v>181</v>
      </c>
      <c r="D13" s="54"/>
      <c r="E13" s="54"/>
      <c r="F13" s="54"/>
      <c r="G13" s="54"/>
      <c r="H13" s="54"/>
      <c r="I13" s="69"/>
      <c r="J13" s="69"/>
      <c r="K13" s="69"/>
      <c r="L13" s="38"/>
      <c r="M13" s="38"/>
      <c r="N13" s="38"/>
      <c r="O13" s="38"/>
      <c r="P13" s="38"/>
      <c r="Q13" s="40"/>
      <c r="R13" s="40"/>
      <c r="S13" s="40"/>
    </row>
    <row r="14" spans="1:22" x14ac:dyDescent="0.2">
      <c r="A14" s="38"/>
      <c r="B14" s="105">
        <v>167</v>
      </c>
      <c r="C14" s="42" t="s">
        <v>144</v>
      </c>
      <c r="D14" s="54"/>
      <c r="E14" s="54"/>
      <c r="F14" s="54"/>
      <c r="G14" s="54"/>
      <c r="H14" s="54"/>
      <c r="I14" s="69"/>
      <c r="J14" s="69"/>
      <c r="K14" s="69"/>
      <c r="L14" s="38"/>
      <c r="M14" s="38"/>
      <c r="N14" s="38"/>
      <c r="O14" s="38"/>
      <c r="P14" s="38"/>
      <c r="Q14" s="40"/>
      <c r="R14" s="40"/>
      <c r="S14" s="40"/>
    </row>
    <row r="15" spans="1:22" x14ac:dyDescent="0.2">
      <c r="A15" s="38"/>
      <c r="B15" s="105">
        <v>167</v>
      </c>
      <c r="C15" s="42" t="s">
        <v>145</v>
      </c>
      <c r="D15" s="125">
        <f t="shared" ref="D15:H15" si="5">D39</f>
        <v>0</v>
      </c>
      <c r="E15" s="125">
        <f t="shared" si="5"/>
        <v>33696.983304099427</v>
      </c>
      <c r="F15" s="125">
        <f t="shared" si="5"/>
        <v>1223555.4833040994</v>
      </c>
      <c r="G15" s="125">
        <f t="shared" si="5"/>
        <v>1347675.5</v>
      </c>
      <c r="H15" s="125">
        <f t="shared" si="5"/>
        <v>8922161</v>
      </c>
      <c r="I15" s="125">
        <f t="shared" ref="I15:K15" si="6">I39</f>
        <v>25882768</v>
      </c>
      <c r="J15" s="125">
        <f t="shared" si="6"/>
        <v>51732273.815709062</v>
      </c>
      <c r="K15" s="125">
        <f t="shared" si="6"/>
        <v>69592256.110709056</v>
      </c>
      <c r="L15" s="38"/>
      <c r="M15" s="38"/>
      <c r="N15" s="38"/>
      <c r="O15" s="38"/>
      <c r="P15" s="38"/>
      <c r="Q15" s="40"/>
      <c r="R15" s="40"/>
      <c r="S15" s="40"/>
    </row>
    <row r="16" spans="1:22" x14ac:dyDescent="0.2">
      <c r="A16" s="38"/>
      <c r="B16" s="105">
        <v>167</v>
      </c>
      <c r="C16" s="42" t="s">
        <v>146</v>
      </c>
      <c r="D16" s="54"/>
      <c r="E16" s="54"/>
      <c r="F16" s="54"/>
      <c r="G16" s="54"/>
      <c r="H16" s="54"/>
      <c r="I16" s="69"/>
      <c r="J16" s="69"/>
      <c r="K16" s="69"/>
      <c r="L16" s="38"/>
      <c r="M16" s="38"/>
      <c r="N16" s="38"/>
      <c r="O16" s="38"/>
      <c r="P16" s="38"/>
      <c r="Q16" s="40"/>
      <c r="R16" s="40"/>
      <c r="S16" s="40"/>
    </row>
    <row r="17" spans="1:19" x14ac:dyDescent="0.2">
      <c r="A17" s="38"/>
      <c r="B17" s="105">
        <v>167</v>
      </c>
      <c r="C17" s="42" t="s">
        <v>147</v>
      </c>
      <c r="D17" s="54"/>
      <c r="E17" s="54"/>
      <c r="F17" s="54"/>
      <c r="G17" s="54"/>
      <c r="H17" s="54"/>
      <c r="I17" s="69"/>
      <c r="J17" s="69"/>
      <c r="K17" s="69"/>
      <c r="L17" s="38"/>
      <c r="M17" s="38"/>
      <c r="N17" s="38"/>
      <c r="O17" s="38"/>
      <c r="P17" s="38"/>
      <c r="Q17" s="40"/>
      <c r="R17" s="40"/>
      <c r="S17" s="40"/>
    </row>
    <row r="18" spans="1:19" x14ac:dyDescent="0.2">
      <c r="A18" s="38"/>
      <c r="B18" s="105">
        <v>167</v>
      </c>
      <c r="C18" s="42" t="s">
        <v>148</v>
      </c>
      <c r="D18" s="54"/>
      <c r="E18" s="54"/>
      <c r="F18" s="54"/>
      <c r="G18" s="54"/>
      <c r="H18" s="54"/>
      <c r="I18" s="69"/>
      <c r="J18" s="69"/>
      <c r="K18" s="69"/>
      <c r="L18" s="38"/>
      <c r="M18" s="38"/>
      <c r="N18" s="38"/>
      <c r="O18" s="38"/>
      <c r="P18" s="38"/>
      <c r="Q18" s="40"/>
      <c r="R18" s="40"/>
      <c r="S18" s="40"/>
    </row>
    <row r="19" spans="1:19" x14ac:dyDescent="0.2">
      <c r="A19" s="38"/>
      <c r="B19" s="105">
        <v>167</v>
      </c>
      <c r="C19" s="42" t="s">
        <v>149</v>
      </c>
      <c r="D19" s="54"/>
      <c r="E19" s="54"/>
      <c r="F19" s="54"/>
      <c r="G19" s="54"/>
      <c r="H19" s="54"/>
      <c r="I19" s="69"/>
      <c r="J19" s="69"/>
      <c r="K19" s="69"/>
      <c r="L19" s="38"/>
      <c r="M19" s="38"/>
      <c r="N19" s="38"/>
      <c r="O19" s="38"/>
      <c r="P19" s="38"/>
      <c r="Q19" s="40"/>
      <c r="R19" s="40"/>
      <c r="S19" s="40"/>
    </row>
    <row r="20" spans="1:19" x14ac:dyDescent="0.2">
      <c r="A20" s="38"/>
      <c r="B20" s="38"/>
      <c r="C20" s="44" t="s">
        <v>47</v>
      </c>
      <c r="D20" s="99">
        <f t="shared" ref="D20:E20" si="7">SUM(D8:D19)</f>
        <v>3870291.2649999997</v>
      </c>
      <c r="E20" s="99">
        <f t="shared" si="7"/>
        <v>13142438.200000001</v>
      </c>
      <c r="F20" s="99">
        <f t="shared" ref="F20:K20" si="8">SUM(F8:F19)</f>
        <v>26073390.724999998</v>
      </c>
      <c r="G20" s="99">
        <f t="shared" si="8"/>
        <v>26250957.460000005</v>
      </c>
      <c r="H20" s="99">
        <f t="shared" si="8"/>
        <v>24394984.810000002</v>
      </c>
      <c r="I20" s="99">
        <f t="shared" si="8"/>
        <v>38833121.095168263</v>
      </c>
      <c r="J20" s="99">
        <f t="shared" si="8"/>
        <v>65186444.350168258</v>
      </c>
      <c r="K20" s="99">
        <f t="shared" si="8"/>
        <v>83203372.155000001</v>
      </c>
      <c r="L20" s="38"/>
      <c r="M20" s="38"/>
      <c r="N20" s="38"/>
      <c r="O20" s="38"/>
      <c r="P20" s="38"/>
      <c r="Q20" s="40"/>
      <c r="R20" s="40"/>
      <c r="S20" s="40"/>
    </row>
    <row r="21" spans="1:19" x14ac:dyDescent="0.2">
      <c r="A21" s="38"/>
      <c r="B21" s="40"/>
      <c r="C21" s="40"/>
      <c r="D21" s="100">
        <f t="shared" ref="D21:K21" si="9">ROUND(D20-D40-D53,0)</f>
        <v>0</v>
      </c>
      <c r="E21" s="100">
        <f t="shared" si="9"/>
        <v>0</v>
      </c>
      <c r="F21" s="100">
        <f t="shared" si="9"/>
        <v>0</v>
      </c>
      <c r="G21" s="100">
        <f t="shared" si="9"/>
        <v>0</v>
      </c>
      <c r="H21" s="100">
        <f t="shared" si="9"/>
        <v>0</v>
      </c>
      <c r="I21" s="100">
        <f t="shared" si="9"/>
        <v>0</v>
      </c>
      <c r="J21" s="100">
        <f t="shared" si="9"/>
        <v>0</v>
      </c>
      <c r="K21" s="100">
        <f t="shared" si="9"/>
        <v>0</v>
      </c>
      <c r="L21" s="38"/>
      <c r="M21" s="43"/>
      <c r="N21" s="43"/>
      <c r="O21" s="43"/>
      <c r="P21" s="43"/>
      <c r="Q21" s="43"/>
      <c r="R21" s="40"/>
      <c r="S21" s="40"/>
    </row>
    <row r="22" spans="1:19" x14ac:dyDescent="0.2">
      <c r="A22" s="38"/>
      <c r="B22" s="40"/>
      <c r="C22" s="40"/>
      <c r="D22" s="40"/>
      <c r="E22" s="40"/>
      <c r="F22" s="40"/>
      <c r="G22" s="40"/>
      <c r="H22" s="40"/>
      <c r="I22" s="40"/>
      <c r="J22" s="40"/>
      <c r="K22" s="43"/>
      <c r="L22" s="38"/>
      <c r="M22" s="43"/>
      <c r="N22" s="43"/>
      <c r="O22" s="43"/>
      <c r="P22" s="43"/>
      <c r="Q22" s="43"/>
      <c r="R22" s="40"/>
      <c r="S22" s="40"/>
    </row>
    <row r="23" spans="1:19" x14ac:dyDescent="0.2">
      <c r="A23" s="38"/>
      <c r="B23" s="39" t="s">
        <v>217</v>
      </c>
      <c r="C23" s="40"/>
      <c r="D23" s="40"/>
      <c r="E23" s="40"/>
      <c r="F23" s="40"/>
      <c r="G23" s="40"/>
      <c r="H23" s="40"/>
      <c r="I23" s="40"/>
      <c r="J23" s="40"/>
      <c r="K23" s="83"/>
      <c r="L23" s="40"/>
      <c r="M23" s="43"/>
      <c r="N23" s="43"/>
      <c r="O23" s="43"/>
      <c r="P23" s="43"/>
      <c r="Q23" s="43"/>
      <c r="R23" s="40"/>
      <c r="S23" s="40"/>
    </row>
    <row r="24" spans="1:19" x14ac:dyDescent="0.2">
      <c r="A24" s="38"/>
      <c r="B24" s="41"/>
      <c r="C24" s="40"/>
      <c r="D24" s="40"/>
      <c r="E24" s="40"/>
      <c r="F24" s="40"/>
      <c r="G24" s="40"/>
      <c r="H24" s="40"/>
      <c r="I24" s="40"/>
      <c r="J24" s="40"/>
      <c r="K24" s="43"/>
      <c r="L24" s="40"/>
      <c r="M24" s="43"/>
      <c r="N24" s="43"/>
      <c r="O24" s="43"/>
      <c r="P24" s="43"/>
      <c r="Q24" s="43"/>
      <c r="R24" s="40"/>
      <c r="S24" s="40"/>
    </row>
    <row r="25" spans="1:19" x14ac:dyDescent="0.2">
      <c r="A25" s="38"/>
      <c r="B25" s="56"/>
      <c r="C25" s="40"/>
      <c r="D25" s="40"/>
      <c r="E25" s="40"/>
      <c r="F25" s="40"/>
      <c r="G25" s="40"/>
      <c r="H25" s="40"/>
      <c r="I25" s="40"/>
      <c r="J25" s="40"/>
      <c r="K25" s="43"/>
      <c r="L25" s="40"/>
      <c r="M25" s="43"/>
      <c r="N25" s="43"/>
      <c r="O25" s="43"/>
      <c r="P25" s="43"/>
      <c r="Q25" s="43"/>
      <c r="R25" s="40"/>
      <c r="S25" s="40"/>
    </row>
    <row r="26" spans="1:19" x14ac:dyDescent="0.2">
      <c r="A26" s="38"/>
      <c r="B26" s="40"/>
      <c r="C26" s="40"/>
      <c r="D26" s="40"/>
      <c r="E26" s="40"/>
      <c r="F26" s="40"/>
      <c r="G26" s="40"/>
      <c r="H26" s="40"/>
      <c r="I26" s="40"/>
      <c r="J26" s="40"/>
      <c r="K26" s="43"/>
      <c r="L26" s="40"/>
      <c r="M26" s="43"/>
      <c r="N26" s="43"/>
      <c r="O26" s="43"/>
      <c r="P26" s="43"/>
      <c r="Q26" s="43"/>
      <c r="R26" s="40"/>
      <c r="S26" s="40"/>
    </row>
    <row r="27" spans="1:19" x14ac:dyDescent="0.2">
      <c r="A27" s="38"/>
      <c r="B27" s="40"/>
      <c r="C27" s="40"/>
      <c r="D27" s="157" t="s">
        <v>46</v>
      </c>
      <c r="E27" s="158"/>
      <c r="F27" s="158"/>
      <c r="G27" s="158"/>
      <c r="H27" s="158"/>
      <c r="I27" s="158"/>
      <c r="J27" s="158"/>
      <c r="K27" s="159"/>
      <c r="L27" s="40"/>
      <c r="M27" s="43"/>
      <c r="N27" s="43"/>
      <c r="O27" s="43"/>
      <c r="P27" s="43"/>
      <c r="Q27" s="43"/>
      <c r="R27" s="40"/>
      <c r="S27" s="40"/>
    </row>
    <row r="28" spans="1:19" x14ac:dyDescent="0.2">
      <c r="A28" s="38"/>
      <c r="B28" s="61" t="s">
        <v>154</v>
      </c>
      <c r="C28" s="17" t="s">
        <v>155</v>
      </c>
      <c r="D28" s="60" t="s">
        <v>211</v>
      </c>
      <c r="E28" s="17" t="s">
        <v>212</v>
      </c>
      <c r="F28" s="17" t="s">
        <v>213</v>
      </c>
      <c r="G28" s="17" t="s">
        <v>214</v>
      </c>
      <c r="H28" s="17" t="s">
        <v>215</v>
      </c>
      <c r="I28" s="17" t="s">
        <v>192</v>
      </c>
      <c r="J28" s="17" t="s">
        <v>193</v>
      </c>
      <c r="K28" s="17" t="s">
        <v>194</v>
      </c>
      <c r="L28" s="40"/>
      <c r="M28" s="43"/>
      <c r="N28" s="43"/>
      <c r="O28" s="43"/>
      <c r="P28" s="43"/>
      <c r="Q28" s="43"/>
      <c r="R28" s="40"/>
      <c r="S28" s="40"/>
    </row>
    <row r="29" spans="1:19" x14ac:dyDescent="0.2">
      <c r="A29" s="38"/>
      <c r="B29" s="62" t="s">
        <v>156</v>
      </c>
      <c r="C29" s="63" t="s">
        <v>157</v>
      </c>
      <c r="D29" s="58"/>
      <c r="E29" s="58"/>
      <c r="F29" s="58"/>
      <c r="G29" s="58"/>
      <c r="H29" s="58"/>
      <c r="I29" s="58"/>
      <c r="J29" s="58"/>
      <c r="K29" s="58"/>
      <c r="L29" s="40"/>
      <c r="M29" s="43"/>
      <c r="N29" s="43"/>
      <c r="O29" s="43"/>
      <c r="P29" s="43"/>
      <c r="Q29" s="43"/>
      <c r="R29" s="40"/>
      <c r="S29" s="40"/>
    </row>
    <row r="30" spans="1:19" x14ac:dyDescent="0.2">
      <c r="A30" s="38"/>
      <c r="B30" s="65" t="s">
        <v>158</v>
      </c>
      <c r="C30" s="63" t="s">
        <v>159</v>
      </c>
      <c r="D30" s="58"/>
      <c r="E30" s="58"/>
      <c r="F30" s="58"/>
      <c r="G30" s="58"/>
      <c r="H30" s="58"/>
      <c r="I30" s="58"/>
      <c r="J30" s="58"/>
      <c r="K30" s="58"/>
      <c r="L30" s="38"/>
      <c r="M30" s="38"/>
      <c r="N30" s="38"/>
      <c r="O30" s="38"/>
      <c r="P30" s="38"/>
      <c r="Q30" s="40"/>
      <c r="R30" s="40"/>
      <c r="S30" s="40"/>
    </row>
    <row r="31" spans="1:19" x14ac:dyDescent="0.2">
      <c r="A31" s="38"/>
      <c r="B31" s="65"/>
      <c r="C31" s="63" t="s">
        <v>160</v>
      </c>
      <c r="D31" s="58"/>
      <c r="E31" s="58"/>
      <c r="F31" s="58"/>
      <c r="G31" s="58"/>
      <c r="H31" s="58"/>
      <c r="I31" s="58"/>
      <c r="J31" s="58"/>
      <c r="K31" s="58"/>
      <c r="L31" s="38"/>
      <c r="M31" s="40"/>
      <c r="N31" s="40"/>
      <c r="O31" s="40"/>
      <c r="P31" s="40"/>
      <c r="Q31" s="40"/>
      <c r="R31" s="40"/>
      <c r="S31" s="40"/>
    </row>
    <row r="32" spans="1:19" x14ac:dyDescent="0.2">
      <c r="A32" s="38"/>
      <c r="B32" s="65"/>
      <c r="C32" s="63" t="s">
        <v>161</v>
      </c>
      <c r="D32" s="58"/>
      <c r="E32" s="58"/>
      <c r="F32" s="58"/>
      <c r="G32" s="58"/>
      <c r="H32" s="58"/>
      <c r="I32" s="58"/>
      <c r="J32" s="58"/>
      <c r="K32" s="58"/>
      <c r="L32" s="38"/>
      <c r="M32" s="40"/>
      <c r="N32" s="40"/>
      <c r="O32" s="40"/>
      <c r="P32" s="40"/>
      <c r="Q32" s="40"/>
      <c r="R32" s="40"/>
      <c r="S32" s="40"/>
    </row>
    <row r="33" spans="1:19" x14ac:dyDescent="0.2">
      <c r="A33" s="40"/>
      <c r="B33" s="65"/>
      <c r="C33" s="63" t="s">
        <v>162</v>
      </c>
      <c r="D33" s="58"/>
      <c r="E33" s="58"/>
      <c r="F33" s="58"/>
      <c r="G33" s="58"/>
      <c r="H33" s="58"/>
      <c r="I33" s="58"/>
      <c r="J33" s="58"/>
      <c r="K33" s="58"/>
      <c r="L33" s="40"/>
      <c r="M33" s="40"/>
      <c r="N33" s="40"/>
      <c r="O33" s="40"/>
      <c r="P33" s="40"/>
      <c r="Q33" s="40"/>
      <c r="R33" s="40"/>
      <c r="S33" s="40"/>
    </row>
    <row r="34" spans="1:19" x14ac:dyDescent="0.2">
      <c r="A34" s="40"/>
      <c r="B34" s="65"/>
      <c r="C34" s="63" t="s">
        <v>163</v>
      </c>
      <c r="D34" s="58"/>
      <c r="E34" s="58"/>
      <c r="F34" s="58"/>
      <c r="G34" s="58"/>
      <c r="H34" s="58"/>
      <c r="I34" s="58"/>
      <c r="J34" s="58"/>
      <c r="K34" s="58"/>
      <c r="L34" s="40"/>
      <c r="M34" s="40"/>
      <c r="N34" s="40"/>
      <c r="O34" s="40"/>
      <c r="P34" s="40"/>
      <c r="Q34" s="40"/>
      <c r="R34" s="40"/>
      <c r="S34" s="40"/>
    </row>
    <row r="35" spans="1:19" x14ac:dyDescent="0.2">
      <c r="A35" s="40"/>
      <c r="B35" s="65"/>
      <c r="C35" s="63" t="s">
        <v>164</v>
      </c>
      <c r="D35" s="58"/>
      <c r="E35" s="58"/>
      <c r="F35" s="58"/>
      <c r="G35" s="58"/>
      <c r="H35" s="58"/>
      <c r="I35" s="58"/>
      <c r="J35" s="58"/>
      <c r="K35" s="58"/>
      <c r="L35" s="40"/>
      <c r="M35" s="40"/>
      <c r="N35" s="40"/>
      <c r="O35" s="40"/>
      <c r="P35" s="40"/>
      <c r="Q35" s="40"/>
      <c r="R35" s="40"/>
      <c r="S35" s="40"/>
    </row>
    <row r="36" spans="1:19" x14ac:dyDescent="0.2">
      <c r="A36" s="40"/>
      <c r="B36" s="65"/>
      <c r="C36" s="63" t="s">
        <v>165</v>
      </c>
      <c r="D36" s="58"/>
      <c r="E36" s="58"/>
      <c r="F36" s="58"/>
      <c r="G36" s="58"/>
      <c r="H36" s="58"/>
      <c r="I36" s="58"/>
      <c r="J36" s="58"/>
      <c r="K36" s="58"/>
      <c r="L36" s="40"/>
      <c r="M36" s="40"/>
      <c r="N36" s="40"/>
      <c r="O36" s="40"/>
      <c r="P36" s="40"/>
      <c r="Q36" s="40"/>
      <c r="R36" s="40"/>
      <c r="S36" s="40"/>
    </row>
    <row r="37" spans="1:19" x14ac:dyDescent="0.2">
      <c r="A37" s="40"/>
      <c r="B37" s="66"/>
      <c r="C37" s="63" t="s">
        <v>166</v>
      </c>
      <c r="D37" s="58">
        <f t="shared" ref="D37:K37" si="10">SUM(D38:D39)</f>
        <v>0</v>
      </c>
      <c r="E37" s="58">
        <f t="shared" si="10"/>
        <v>9028451.4706235956</v>
      </c>
      <c r="F37" s="58">
        <f t="shared" si="10"/>
        <v>25739380.280623592</v>
      </c>
      <c r="G37" s="58">
        <f t="shared" si="10"/>
        <v>25586874.013390251</v>
      </c>
      <c r="H37" s="58">
        <f t="shared" si="10"/>
        <v>22309514.308390249</v>
      </c>
      <c r="I37" s="58">
        <f t="shared" si="10"/>
        <v>34664446.095168263</v>
      </c>
      <c r="J37" s="58">
        <f t="shared" si="10"/>
        <v>57679540.262242019</v>
      </c>
      <c r="K37" s="58">
        <f t="shared" si="10"/>
        <v>71427069.567073748</v>
      </c>
      <c r="L37" s="40"/>
      <c r="M37" s="40"/>
      <c r="N37" s="40"/>
      <c r="O37" s="40"/>
      <c r="P37" s="40"/>
      <c r="Q37" s="40"/>
      <c r="R37" s="40"/>
      <c r="S37" s="40"/>
    </row>
    <row r="38" spans="1:19" x14ac:dyDescent="0.2">
      <c r="A38" s="40"/>
      <c r="B38" s="67"/>
      <c r="C38" s="70" t="s">
        <v>237</v>
      </c>
      <c r="D38" s="58"/>
      <c r="E38" s="58">
        <v>8994754.4873194955</v>
      </c>
      <c r="F38" s="58">
        <v>24515824.797319494</v>
      </c>
      <c r="G38" s="58">
        <v>24239198.513390251</v>
      </c>
      <c r="H38" s="58">
        <v>13387353.308390249</v>
      </c>
      <c r="I38" s="58">
        <v>8781678.0951682627</v>
      </c>
      <c r="J38" s="58">
        <v>5947266.4465329535</v>
      </c>
      <c r="K38" s="58">
        <v>1834813.4563646913</v>
      </c>
      <c r="L38" s="40"/>
      <c r="M38" s="40"/>
      <c r="N38" s="40"/>
      <c r="O38" s="40"/>
      <c r="P38" s="40"/>
      <c r="Q38" s="40"/>
      <c r="R38" s="40"/>
      <c r="S38" s="40"/>
    </row>
    <row r="39" spans="1:19" x14ac:dyDescent="0.2">
      <c r="A39" s="40"/>
      <c r="B39" s="67"/>
      <c r="C39" s="70" t="s">
        <v>152</v>
      </c>
      <c r="D39" s="58">
        <v>0</v>
      </c>
      <c r="E39" s="58">
        <v>33696.983304099427</v>
      </c>
      <c r="F39" s="58">
        <v>1223555.4833040994</v>
      </c>
      <c r="G39" s="58">
        <v>1347675.5</v>
      </c>
      <c r="H39" s="58">
        <v>8922161</v>
      </c>
      <c r="I39" s="58">
        <v>25882768</v>
      </c>
      <c r="J39" s="58">
        <v>51732273.815709062</v>
      </c>
      <c r="K39" s="58">
        <v>69592256.110709056</v>
      </c>
      <c r="L39" s="40"/>
      <c r="M39" s="40"/>
      <c r="N39" s="40"/>
      <c r="O39" s="40"/>
      <c r="P39" s="40"/>
      <c r="Q39" s="40"/>
      <c r="R39" s="40"/>
      <c r="S39" s="40"/>
    </row>
    <row r="40" spans="1:19" x14ac:dyDescent="0.2">
      <c r="A40" s="40"/>
      <c r="B40" s="40"/>
      <c r="C40" s="44" t="s">
        <v>47</v>
      </c>
      <c r="D40" s="99">
        <f t="shared" ref="D40:K40" si="11">SUM(D29:D37)</f>
        <v>0</v>
      </c>
      <c r="E40" s="99">
        <f t="shared" si="11"/>
        <v>9028451.4706235956</v>
      </c>
      <c r="F40" s="99">
        <f t="shared" si="11"/>
        <v>25739380.280623592</v>
      </c>
      <c r="G40" s="99">
        <f t="shared" si="11"/>
        <v>25586874.013390251</v>
      </c>
      <c r="H40" s="99">
        <f t="shared" si="11"/>
        <v>22309514.308390249</v>
      </c>
      <c r="I40" s="99">
        <f t="shared" si="11"/>
        <v>34664446.095168263</v>
      </c>
      <c r="J40" s="99">
        <f t="shared" si="11"/>
        <v>57679540.262242019</v>
      </c>
      <c r="K40" s="99">
        <f t="shared" si="11"/>
        <v>71427069.567073748</v>
      </c>
      <c r="L40" s="40"/>
      <c r="M40" s="40"/>
      <c r="N40" s="40"/>
      <c r="O40" s="40"/>
      <c r="P40" s="40"/>
      <c r="Q40" s="40"/>
      <c r="R40" s="40"/>
      <c r="S40" s="40"/>
    </row>
    <row r="41" spans="1:19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9" x14ac:dyDescent="0.2">
      <c r="A42" s="40"/>
      <c r="B42" s="40"/>
      <c r="C42" s="40"/>
      <c r="D42" s="84"/>
      <c r="E42" s="84"/>
      <c r="F42" s="84"/>
      <c r="G42" s="84"/>
      <c r="H42" s="84"/>
      <c r="I42" s="84"/>
      <c r="J42" s="84"/>
      <c r="K42" s="40"/>
      <c r="L42" s="40"/>
      <c r="M42" s="40"/>
      <c r="N42" s="40"/>
      <c r="O42" s="40"/>
      <c r="P42" s="40"/>
    </row>
    <row r="43" spans="1:19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9" x14ac:dyDescent="0.2">
      <c r="A44" s="40"/>
      <c r="B44" s="39" t="s">
        <v>218</v>
      </c>
      <c r="C44" s="40"/>
      <c r="D44" s="76"/>
      <c r="E44" s="76"/>
      <c r="F44" s="76"/>
      <c r="G44" s="76"/>
      <c r="H44" s="76"/>
      <c r="I44" s="76"/>
      <c r="J44" s="76"/>
      <c r="K44" s="40"/>
      <c r="L44" s="40"/>
      <c r="M44" s="40"/>
      <c r="N44" s="40"/>
      <c r="O44" s="40"/>
      <c r="P44" s="40"/>
    </row>
    <row r="45" spans="1:19" x14ac:dyDescent="0.2">
      <c r="A45" s="40"/>
      <c r="B45" s="41"/>
      <c r="C45" s="40"/>
      <c r="D45" s="40"/>
      <c r="E45" s="40"/>
      <c r="F45" s="40"/>
      <c r="G45" s="40"/>
      <c r="H45" s="40"/>
      <c r="I45" s="40"/>
      <c r="J45" s="76"/>
      <c r="K45" s="76"/>
      <c r="L45" s="40"/>
      <c r="M45" s="40"/>
      <c r="N45" s="40"/>
      <c r="O45" s="40"/>
      <c r="P45" s="40"/>
    </row>
    <row r="46" spans="1:19" x14ac:dyDescent="0.2">
      <c r="A46" s="40"/>
      <c r="B46" s="56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9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9" x14ac:dyDescent="0.2">
      <c r="A48" s="40"/>
      <c r="B48" s="40"/>
      <c r="C48" s="40"/>
      <c r="D48" s="157" t="s">
        <v>46</v>
      </c>
      <c r="E48" s="158"/>
      <c r="F48" s="158"/>
      <c r="G48" s="158"/>
      <c r="H48" s="158"/>
      <c r="I48" s="158"/>
      <c r="J48" s="158"/>
      <c r="K48" s="159"/>
      <c r="L48" s="40"/>
      <c r="M48" s="40"/>
      <c r="N48" s="40"/>
      <c r="O48" s="40"/>
      <c r="P48" s="40"/>
    </row>
    <row r="49" spans="1:16" x14ac:dyDescent="0.2">
      <c r="A49" s="40"/>
      <c r="B49" s="61" t="s">
        <v>167</v>
      </c>
      <c r="C49" s="17" t="s">
        <v>168</v>
      </c>
      <c r="D49" s="17" t="s">
        <v>195</v>
      </c>
      <c r="E49" s="17" t="s">
        <v>196</v>
      </c>
      <c r="F49" s="17" t="s">
        <v>197</v>
      </c>
      <c r="G49" s="17" t="s">
        <v>198</v>
      </c>
      <c r="H49" s="17" t="s">
        <v>199</v>
      </c>
      <c r="I49" s="17" t="s">
        <v>200</v>
      </c>
      <c r="J49" s="17" t="s">
        <v>201</v>
      </c>
      <c r="K49" s="17" t="s">
        <v>202</v>
      </c>
      <c r="L49" s="40"/>
      <c r="M49" s="40"/>
      <c r="N49" s="40"/>
      <c r="O49" s="40"/>
      <c r="P49" s="40"/>
    </row>
    <row r="50" spans="1:16" x14ac:dyDescent="0.2">
      <c r="A50" s="40"/>
      <c r="B50" s="71" t="s">
        <v>169</v>
      </c>
      <c r="C50" s="68" t="s">
        <v>171</v>
      </c>
      <c r="D50" s="58">
        <v>3799732.0049999999</v>
      </c>
      <c r="E50" s="58">
        <v>4074928.6593764047</v>
      </c>
      <c r="F50" s="58">
        <v>275196.65437640471</v>
      </c>
      <c r="G50" s="58">
        <v>607473.56160975224</v>
      </c>
      <c r="H50" s="58">
        <v>2075100.5616097522</v>
      </c>
      <c r="I50" s="58">
        <v>4168149.5</v>
      </c>
      <c r="J50" s="58">
        <v>7506904.0879262453</v>
      </c>
      <c r="K50" s="58">
        <v>11776302.587926246</v>
      </c>
      <c r="L50" s="40"/>
      <c r="M50" s="40"/>
      <c r="N50" s="40"/>
      <c r="O50" s="40"/>
      <c r="P50" s="40"/>
    </row>
    <row r="51" spans="1:16" x14ac:dyDescent="0.2">
      <c r="A51" s="40"/>
      <c r="B51" s="65" t="s">
        <v>170</v>
      </c>
      <c r="C51" s="68" t="s">
        <v>172</v>
      </c>
      <c r="D51" s="58">
        <v>70559.260000000009</v>
      </c>
      <c r="E51" s="58">
        <v>39058.07</v>
      </c>
      <c r="F51" s="58">
        <v>58813.79</v>
      </c>
      <c r="G51" s="58">
        <v>56609.885000000002</v>
      </c>
      <c r="H51" s="58">
        <v>10369.94</v>
      </c>
      <c r="I51" s="58">
        <v>525.5</v>
      </c>
      <c r="J51" s="58">
        <v>0</v>
      </c>
      <c r="K51" s="58"/>
      <c r="L51" s="40"/>
      <c r="M51" s="40"/>
      <c r="N51" s="40"/>
      <c r="O51" s="40"/>
      <c r="P51" s="40"/>
    </row>
    <row r="52" spans="1:16" x14ac:dyDescent="0.2">
      <c r="A52" s="40"/>
      <c r="B52" s="66"/>
      <c r="C52" s="68"/>
      <c r="D52" s="58"/>
      <c r="E52" s="58"/>
      <c r="F52" s="58"/>
      <c r="G52" s="58"/>
      <c r="H52" s="58"/>
      <c r="I52" s="58"/>
      <c r="J52" s="58"/>
      <c r="K52" s="58"/>
      <c r="L52" s="40"/>
      <c r="M52" s="40"/>
      <c r="N52" s="40"/>
      <c r="O52" s="40"/>
      <c r="P52" s="40"/>
    </row>
    <row r="53" spans="1:16" x14ac:dyDescent="0.2">
      <c r="A53" s="40"/>
      <c r="B53" s="40"/>
      <c r="C53" s="44" t="s">
        <v>47</v>
      </c>
      <c r="D53" s="99">
        <f t="shared" ref="D53:E53" si="12">SUM(D50:D52)</f>
        <v>3870291.2649999997</v>
      </c>
      <c r="E53" s="99">
        <f t="shared" si="12"/>
        <v>4113986.7293764045</v>
      </c>
      <c r="F53" s="99">
        <f>SUM(F50:F52)</f>
        <v>334010.44437640469</v>
      </c>
      <c r="G53" s="99">
        <f t="shared" ref="G53:J53" si="13">SUM(G50:G52)</f>
        <v>664083.44660975225</v>
      </c>
      <c r="H53" s="99">
        <f t="shared" si="13"/>
        <v>2085470.5016097522</v>
      </c>
      <c r="I53" s="99">
        <f t="shared" si="13"/>
        <v>4168675</v>
      </c>
      <c r="J53" s="99">
        <f t="shared" si="13"/>
        <v>7506904.0879262453</v>
      </c>
      <c r="K53" s="99">
        <f t="shared" ref="K53" si="14">SUM(K50:K52)</f>
        <v>11776302.587926246</v>
      </c>
      <c r="L53" s="40"/>
      <c r="M53" s="40"/>
      <c r="N53" s="40"/>
      <c r="O53" s="40"/>
      <c r="P53" s="40"/>
    </row>
    <row r="54" spans="1:16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">
      <c r="A55" s="40"/>
      <c r="B55" s="40"/>
      <c r="C55" s="40"/>
      <c r="D55" s="76"/>
      <c r="E55" s="76"/>
      <c r="F55" s="76"/>
      <c r="G55" s="76"/>
      <c r="H55" s="76"/>
      <c r="I55" s="76"/>
      <c r="J55" s="76"/>
      <c r="K55" s="40"/>
      <c r="L55" s="40"/>
      <c r="M55" s="40"/>
      <c r="N55" s="40"/>
      <c r="O55" s="40"/>
      <c r="P55" s="40"/>
    </row>
    <row r="56" spans="1:16" x14ac:dyDescent="0.2">
      <c r="A56" s="40"/>
      <c r="B56" s="40"/>
      <c r="C56" s="40"/>
      <c r="D56" s="40"/>
      <c r="E56" s="76"/>
      <c r="F56" s="76"/>
      <c r="G56" s="76"/>
      <c r="H56" s="76"/>
      <c r="I56" s="76"/>
      <c r="J56" s="76"/>
      <c r="K56" s="40"/>
      <c r="L56" s="40"/>
      <c r="M56" s="40"/>
      <c r="N56" s="40"/>
      <c r="O56" s="40"/>
      <c r="P56" s="40"/>
    </row>
    <row r="57" spans="1:16" x14ac:dyDescent="0.2">
      <c r="A57" s="40"/>
      <c r="B57" s="39"/>
      <c r="C57" s="40"/>
      <c r="D57" s="76"/>
      <c r="E57" s="76"/>
      <c r="F57" s="76"/>
      <c r="G57" s="76"/>
      <c r="H57" s="76"/>
      <c r="I57" s="76"/>
      <c r="J57" s="76"/>
      <c r="K57" s="40"/>
      <c r="L57" s="40"/>
      <c r="M57" s="40"/>
      <c r="N57" s="40"/>
      <c r="O57" s="40"/>
      <c r="P57" s="40"/>
    </row>
    <row r="58" spans="1:16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ht="15.75" x14ac:dyDescent="0.25">
      <c r="A59" s="26"/>
      <c r="B59" s="26" t="s">
        <v>182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40"/>
      <c r="O59" s="40"/>
      <c r="P59" s="40"/>
    </row>
    <row r="60" spans="1:16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hidden="1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hidden="1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hidden="1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hidden="1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hidden="1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110"/>
      <c r="L65" s="40"/>
      <c r="M65" s="40"/>
      <c r="N65" s="40"/>
      <c r="O65" s="40"/>
      <c r="P65" s="40"/>
    </row>
    <row r="66" spans="1:16" hidden="1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hidden="1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hidden="1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hidden="1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hidden="1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hidden="1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hidden="1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hidden="1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hidden="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hidden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hidden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hidden="1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hidden="1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hidden="1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hidden="1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hidden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hidden="1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hidden="1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hidden="1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hidden="1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16" hidden="1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16" hidden="1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1:16" hidden="1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1:16" hidden="1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1:16" hidden="1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</row>
    <row r="91" spans="1:16" hidden="1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</row>
    <row r="92" spans="1:16" hidden="1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</row>
    <row r="93" spans="1:16" hidden="1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</row>
    <row r="94" spans="1:16" hidden="1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</row>
    <row r="95" spans="1:16" hidden="1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</row>
    <row r="96" spans="1:16" hidden="1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</row>
    <row r="97" spans="1:16" hidden="1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hidden="1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</row>
    <row r="99" spans="1:16" hidden="1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hidden="1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hidden="1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</row>
    <row r="102" spans="1:16" hidden="1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</row>
    <row r="103" spans="1:16" hidden="1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  <row r="104" spans="1:16" hidden="1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</row>
    <row r="105" spans="1:16" hidden="1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</row>
    <row r="106" spans="1:16" hidden="1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1:16" hidden="1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1:16" hidden="1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hidden="1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16" hidden="1" x14ac:dyDescent="0.2"/>
    <row r="111" spans="1:16" hidden="1" x14ac:dyDescent="0.2"/>
    <row r="112" spans="1:16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x14ac:dyDescent="0.2"/>
  </sheetData>
  <sortState xmlns:xlrd2="http://schemas.microsoft.com/office/spreadsheetml/2017/richdata2" ref="B20:E27">
    <sortCondition ref="B20"/>
  </sortState>
  <mergeCells count="3">
    <mergeCell ref="D27:K27"/>
    <mergeCell ref="D48:K48"/>
    <mergeCell ref="D6:K6"/>
  </mergeCells>
  <conditionalFormatting sqref="K2">
    <cfRule type="expression" dxfId="3" priority="1">
      <formula>K2="Check!"</formula>
    </cfRule>
  </conditionalFormatting>
  <hyperlinks>
    <hyperlink ref="K1" location="Menu!A1" display="Menu" xr:uid="{00000000-0004-0000-0500-000000000000}"/>
  </hyperlinks>
  <pageMargins left="0.7" right="0.7" top="0.75" bottom="0.75" header="0.3" footer="0.3"/>
  <pageSetup orientation="portrait" r:id="rId1"/>
  <ignoredErrors>
    <ignoredError sqref="F53:J53 F20:J2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</sheetPr>
  <dimension ref="A1:X173"/>
  <sheetViews>
    <sheetView topLeftCell="B1" zoomScaleNormal="100" workbookViewId="0">
      <selection activeCell="N18" sqref="N18"/>
    </sheetView>
  </sheetViews>
  <sheetFormatPr defaultColWidth="0" defaultRowHeight="12.75" zeroHeight="1" x14ac:dyDescent="0.2"/>
  <cols>
    <col min="1" max="1" width="3.625" customWidth="1"/>
    <col min="2" max="2" width="17.875" customWidth="1"/>
    <col min="3" max="3" width="41.625" customWidth="1"/>
    <col min="4" max="6" width="10.875" style="33" customWidth="1"/>
    <col min="7" max="10" width="10.875" customWidth="1"/>
    <col min="11" max="12" width="11.75" bestFit="1" customWidth="1"/>
    <col min="13" max="13" width="12.25" customWidth="1"/>
    <col min="14" max="18" width="10.875" customWidth="1"/>
    <col min="19" max="19" width="3.625" style="33" customWidth="1"/>
    <col min="20" max="21" width="3.625" hidden="1" customWidth="1"/>
    <col min="22" max="16384" width="9" hidden="1"/>
  </cols>
  <sheetData>
    <row r="1" spans="1:24" ht="18" x14ac:dyDescent="0.25">
      <c r="A1" s="24" t="s">
        <v>233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7" t="s">
        <v>39</v>
      </c>
      <c r="S1" s="24"/>
      <c r="T1" s="24"/>
      <c r="U1" s="24"/>
      <c r="V1" s="24"/>
      <c r="W1" s="24"/>
      <c r="X1" s="24"/>
    </row>
    <row r="2" spans="1:24" ht="15.75" x14ac:dyDescent="0.25">
      <c r="A2" s="107" t="str">
        <f ca="1">RIGHT(CELL("filename", $A$1), LEN(CELL("filename", $A$1)) - SEARCH("]", CELL("filename", $A$1)))</f>
        <v>Forecast Expenditure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30" t="s">
        <v>40</v>
      </c>
      <c r="R2" s="106" t="str">
        <f ca="1">IF(SUM(D21:R21,D55:R55)=0,"OK","Check!")</f>
        <v>OK</v>
      </c>
      <c r="S2" s="26"/>
      <c r="T2" s="26"/>
      <c r="U2" s="26"/>
      <c r="V2" s="26"/>
      <c r="W2" s="26"/>
      <c r="X2" s="26"/>
    </row>
    <row r="3" spans="1:2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33" customFormat="1" x14ac:dyDescent="0.2">
      <c r="A4" s="25"/>
      <c r="B4" s="39" t="s">
        <v>219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40"/>
      <c r="R4" s="40"/>
      <c r="S4" s="40"/>
      <c r="T4" s="25"/>
      <c r="U4" s="25"/>
      <c r="V4" s="25"/>
      <c r="W4" s="25"/>
      <c r="X4" s="25"/>
    </row>
    <row r="5" spans="1:24" s="33" customFormat="1" x14ac:dyDescent="0.2">
      <c r="A5" s="25"/>
      <c r="B5" s="41" t="s">
        <v>179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0"/>
      <c r="O5" s="40"/>
      <c r="P5" s="40"/>
      <c r="Q5" s="40"/>
      <c r="R5" s="40"/>
      <c r="S5" s="40"/>
      <c r="T5" s="25"/>
      <c r="U5" s="25"/>
      <c r="V5" s="25"/>
      <c r="W5" s="25"/>
      <c r="X5" s="25"/>
    </row>
    <row r="6" spans="1:24" s="33" customFormat="1" x14ac:dyDescent="0.2">
      <c r="A6" s="25"/>
      <c r="B6" s="41"/>
      <c r="C6" s="38"/>
      <c r="D6" s="160" t="str">
        <f>"$ "&amp; Inflation!$C$4</f>
        <v>$ 2021</v>
      </c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  <c r="S6" s="40"/>
      <c r="T6" s="25"/>
      <c r="U6" s="25"/>
      <c r="V6" s="25"/>
      <c r="W6" s="25"/>
      <c r="X6" s="25"/>
    </row>
    <row r="7" spans="1:24" s="33" customFormat="1" x14ac:dyDescent="0.2">
      <c r="A7" s="25"/>
      <c r="B7" s="17" t="s">
        <v>45</v>
      </c>
      <c r="C7" s="46" t="s">
        <v>48</v>
      </c>
      <c r="D7" s="60" t="s">
        <v>211</v>
      </c>
      <c r="E7" s="17" t="s">
        <v>212</v>
      </c>
      <c r="F7" s="17" t="s">
        <v>213</v>
      </c>
      <c r="G7" s="17" t="s">
        <v>214</v>
      </c>
      <c r="H7" s="17" t="s">
        <v>215</v>
      </c>
      <c r="I7" s="17" t="s">
        <v>192</v>
      </c>
      <c r="J7" s="17" t="s">
        <v>193</v>
      </c>
      <c r="K7" s="17" t="s">
        <v>194</v>
      </c>
      <c r="L7" s="17" t="s">
        <v>183</v>
      </c>
      <c r="M7" s="17" t="s">
        <v>184</v>
      </c>
      <c r="N7" s="17" t="s">
        <v>185</v>
      </c>
      <c r="O7" s="17" t="s">
        <v>186</v>
      </c>
      <c r="P7" s="17" t="s">
        <v>187</v>
      </c>
      <c r="Q7" s="17" t="s">
        <v>188</v>
      </c>
      <c r="R7" s="17" t="s">
        <v>189</v>
      </c>
      <c r="S7" s="40"/>
      <c r="T7" s="25"/>
      <c r="U7" s="25"/>
      <c r="V7" s="25"/>
      <c r="W7" s="25"/>
      <c r="X7" s="25"/>
    </row>
    <row r="8" spans="1:24" s="33" customFormat="1" x14ac:dyDescent="0.2">
      <c r="A8" s="25"/>
      <c r="B8" s="105">
        <f>157</f>
        <v>157</v>
      </c>
      <c r="C8" s="42" t="s">
        <v>175</v>
      </c>
      <c r="D8" s="101">
        <f>'Historical Expenditure'!D8*Inflation!C$10</f>
        <v>0</v>
      </c>
      <c r="E8" s="101">
        <f>'Historical Expenditure'!E8*Inflation!D$10</f>
        <v>0</v>
      </c>
      <c r="F8" s="101">
        <f>'Historical Expenditure'!F8*Inflation!E$10</f>
        <v>0</v>
      </c>
      <c r="G8" s="101">
        <f>'Historical Expenditure'!G8*Inflation!F$10</f>
        <v>0</v>
      </c>
      <c r="H8" s="101">
        <f>'Historical Expenditure'!H8*Inflation!G$10</f>
        <v>0</v>
      </c>
      <c r="I8" s="101">
        <f>'Historical Expenditure'!I8*Inflation!H$10</f>
        <v>0</v>
      </c>
      <c r="J8" s="101">
        <f>'Historical Expenditure'!J8*Inflation!I$10</f>
        <v>0</v>
      </c>
      <c r="K8" s="101">
        <f>'Historical Expenditure'!K8*Inflation!J$10</f>
        <v>0</v>
      </c>
      <c r="L8" s="98">
        <f>SUMIFS('Project List-RRP'!D$10:D$36,'Project List-RRP'!$C$10:$C$36,$C8)*Inflation!$K$10</f>
        <v>0</v>
      </c>
      <c r="M8" s="98">
        <f>SUMIFS('Project List-RRP'!E$10:E$38,'Project List-RRP'!$C$10:$C$38,$C8)*Inflation!$K$10</f>
        <v>0</v>
      </c>
      <c r="N8" s="98">
        <f>SUMIFS('Project List-RRP'!F$10:F$38,'Project List-RRP'!$C$10:$C$38,$C8)*Inflation!$K$10</f>
        <v>0</v>
      </c>
      <c r="O8" s="98">
        <f>SUMIFS('Project List-RRP'!G$10:G$38,'Project List-RRP'!$C$10:$C$38,$C8)*Inflation!$K$10</f>
        <v>0</v>
      </c>
      <c r="P8" s="98">
        <f>SUMIFS('Project List-RRP'!H$10:H$38,'Project List-RRP'!$C$10:$C$38,$C8)*Inflation!$K$10</f>
        <v>0</v>
      </c>
      <c r="Q8" s="98">
        <f>SUMIFS('Project List-RRP'!I$10:I$38,'Project List-RRP'!$C$10:$C$38,$C8)*Inflation!$K$10</f>
        <v>0</v>
      </c>
      <c r="R8" s="98">
        <f>SUMIFS('Project List-RRP'!J$10:J$38,'Project List-RRP'!$C$10:$C$38,$C8)*Inflation!$K$10</f>
        <v>0</v>
      </c>
      <c r="S8" s="40"/>
      <c r="T8" s="25"/>
      <c r="U8" s="25"/>
      <c r="V8" s="25"/>
      <c r="W8" s="25"/>
      <c r="X8" s="25"/>
    </row>
    <row r="9" spans="1:24" s="33" customFormat="1" x14ac:dyDescent="0.2">
      <c r="A9" s="25"/>
      <c r="B9" s="105">
        <f>157</f>
        <v>157</v>
      </c>
      <c r="C9" s="42" t="s">
        <v>176</v>
      </c>
      <c r="D9" s="101">
        <f>'Historical Expenditure'!D9*Inflation!C$10</f>
        <v>0</v>
      </c>
      <c r="E9" s="101">
        <f>'Historical Expenditure'!E9*Inflation!D$10</f>
        <v>0</v>
      </c>
      <c r="F9" s="101">
        <f>'Historical Expenditure'!F9*Inflation!E$10</f>
        <v>0</v>
      </c>
      <c r="G9" s="101">
        <f>'Historical Expenditure'!G9*Inflation!F$10</f>
        <v>0</v>
      </c>
      <c r="H9" s="101">
        <f>'Historical Expenditure'!H9*Inflation!G$10</f>
        <v>0</v>
      </c>
      <c r="I9" s="101">
        <f>'Historical Expenditure'!I9*Inflation!H$10</f>
        <v>0</v>
      </c>
      <c r="J9" s="101">
        <f>'Historical Expenditure'!J9*Inflation!I$10</f>
        <v>0</v>
      </c>
      <c r="K9" s="101">
        <f>'Historical Expenditure'!K9*Inflation!J$10</f>
        <v>0</v>
      </c>
      <c r="L9" s="98">
        <f>SUMIFS('Project List-RRP'!D$10:D$36,'Project List-RRP'!$C$10:$C$36,$C9)*Inflation!$K$10</f>
        <v>0</v>
      </c>
      <c r="M9" s="98">
        <f>SUMIFS('Project List-RRP'!E$10:E$38,'Project List-RRP'!$C$10:$C$38,$C9)*Inflation!$K$10</f>
        <v>0</v>
      </c>
      <c r="N9" s="98">
        <f>SUMIFS('Project List-RRP'!F$10:F$38,'Project List-RRP'!$C$10:$C$38,$C9)*Inflation!$K$10</f>
        <v>0</v>
      </c>
      <c r="O9" s="98">
        <f>SUMIFS('Project List-RRP'!G$10:G$38,'Project List-RRP'!$C$10:$C$38,$C9)*Inflation!$K$10</f>
        <v>0</v>
      </c>
      <c r="P9" s="98">
        <f>SUMIFS('Project List-RRP'!H$10:H$38,'Project List-RRP'!$C$10:$C$38,$C9)*Inflation!$K$10</f>
        <v>0</v>
      </c>
      <c r="Q9" s="98">
        <f>SUMIFS('Project List-RRP'!I$10:I$38,'Project List-RRP'!$C$10:$C$38,$C9)*Inflation!$K$10</f>
        <v>0</v>
      </c>
      <c r="R9" s="98">
        <f>SUMIFS('Project List-RRP'!J$10:J$38,'Project List-RRP'!$C$10:$C$38,$C9)*Inflation!$K$10</f>
        <v>0</v>
      </c>
      <c r="S9" s="40"/>
      <c r="T9" s="25"/>
      <c r="U9" s="25"/>
      <c r="V9" s="25"/>
      <c r="W9" s="25"/>
      <c r="X9" s="25"/>
    </row>
    <row r="10" spans="1:24" s="33" customFormat="1" x14ac:dyDescent="0.2">
      <c r="A10" s="25"/>
      <c r="B10" s="105">
        <f>157</f>
        <v>157</v>
      </c>
      <c r="C10" s="42" t="s">
        <v>174</v>
      </c>
      <c r="D10" s="128">
        <f>'Historical Expenditure'!D10*Inflation!C$10</f>
        <v>0</v>
      </c>
      <c r="E10" s="128">
        <f>'Historical Expenditure'!E10*Inflation!D$10</f>
        <v>10522297.300907983</v>
      </c>
      <c r="F10" s="128">
        <f>'Historical Expenditure'!F10*Inflation!E$10</f>
        <v>28115805.2811548</v>
      </c>
      <c r="G10" s="128">
        <f>'Historical Expenditure'!G10*Inflation!F$10</f>
        <v>27210511.901288658</v>
      </c>
      <c r="H10" s="128">
        <f>'Historical Expenditure'!H10*Inflation!G$10</f>
        <v>14689428.27606182</v>
      </c>
      <c r="I10" s="128">
        <f>'Historical Expenditure'!I10*Inflation!H$10</f>
        <v>9492381.345660951</v>
      </c>
      <c r="J10" s="128">
        <f>'Historical Expenditure'!J10*Inflation!I$10</f>
        <v>6363465.5717046894</v>
      </c>
      <c r="K10" s="128">
        <f>'Historical Expenditure'!K10*Inflation!J$10</f>
        <v>1925974.0165273454</v>
      </c>
      <c r="L10" s="124">
        <f>SUMIFS('Project List-RRP'!D$10:D$36,'Project List-RRP'!$C$10:$C$36,$C10)*Inflation!$K$10</f>
        <v>1250606.6598254319</v>
      </c>
      <c r="M10" s="98">
        <f>SUMIFS('Project List-RRP'!E$10:E$38,'Project List-RRP'!$C$10:$C$38,$C10)*Inflation!$K$10</f>
        <v>625303.32991271594</v>
      </c>
      <c r="N10" s="98">
        <f>SUMIFS('Project List-RRP'!F$10:F$38,'Project List-RRP'!$C$10:$C$38,$C10)*Inflation!$K$10</f>
        <v>0</v>
      </c>
      <c r="O10" s="98">
        <f>SUMIFS('Project List-RRP'!G$10:G$38,'Project List-RRP'!$C$10:$C$38,$C10)*Inflation!$K$10</f>
        <v>0</v>
      </c>
      <c r="P10" s="98">
        <f>SUMIFS('Project List-RRP'!H$10:H$38,'Project List-RRP'!$C$10:$C$38,$C10)*Inflation!$K$10</f>
        <v>0</v>
      </c>
      <c r="Q10" s="98">
        <f>SUMIFS('Project List-RRP'!I$10:I$38,'Project List-RRP'!$C$10:$C$38,$C10)*Inflation!$K$10</f>
        <v>0</v>
      </c>
      <c r="R10" s="98">
        <f>SUMIFS('Project List-RRP'!J$10:J$38,'Project List-RRP'!$C$10:$C$38,$C10)*Inflation!$K$10</f>
        <v>0</v>
      </c>
      <c r="S10" s="40"/>
      <c r="T10" s="25"/>
      <c r="U10" s="25"/>
      <c r="V10" s="25"/>
      <c r="W10" s="25"/>
      <c r="X10" s="25"/>
    </row>
    <row r="11" spans="1:24" s="33" customFormat="1" x14ac:dyDescent="0.2">
      <c r="A11" s="25"/>
      <c r="B11" s="105">
        <f>157</f>
        <v>157</v>
      </c>
      <c r="C11" s="126" t="s">
        <v>153</v>
      </c>
      <c r="D11" s="128">
        <f>'Historical Expenditure'!D11*Inflation!C$10</f>
        <v>4601485.9205923686</v>
      </c>
      <c r="E11" s="128">
        <f>'Historical Expenditure'!E11*Inflation!D$10</f>
        <v>4766957.3298967024</v>
      </c>
      <c r="F11" s="128">
        <f>'Historical Expenditure'!F11*Inflation!E$10</f>
        <v>315607.39287540672</v>
      </c>
      <c r="G11" s="128">
        <f>'Historical Expenditure'!G11*Inflation!F$10</f>
        <v>681939.48610838072</v>
      </c>
      <c r="H11" s="128">
        <f>'Historical Expenditure'!H11*Inflation!G$10</f>
        <v>2276928.0949863382</v>
      </c>
      <c r="I11" s="128">
        <f>'Historical Expenditure'!I11*Inflation!H$10</f>
        <v>4505478.8083720934</v>
      </c>
      <c r="J11" s="128">
        <f>'Historical Expenditure'!J11*Inflation!I$10</f>
        <v>8032249.1253870139</v>
      </c>
      <c r="K11" s="128">
        <f>'Historical Expenditure'!K11*Inflation!J$10</f>
        <v>12361394.405754561</v>
      </c>
      <c r="L11" s="124">
        <f>SUMIFS('Project List-RRP'!D$10:D$36,'Project List-RRP'!$C$10:$C$36,$C11)*Inflation!$K$10</f>
        <v>5950045.393071387</v>
      </c>
      <c r="M11" s="98">
        <f>SUMIFS('Project List-RRP'!E$10:E$38,'Project List-RRP'!$C$10:$C$38,$C11)*Inflation!$K$10</f>
        <v>0</v>
      </c>
      <c r="N11" s="98">
        <f>SUMIFS('Project List-RRP'!F$10:F$38,'Project List-RRP'!$C$10:$C$38,$C11)*Inflation!$K$10</f>
        <v>0</v>
      </c>
      <c r="O11" s="98">
        <f>SUMIFS('Project List-RRP'!G$10:G$38,'Project List-RRP'!$C$10:$C$38,$C11)*Inflation!$K$10</f>
        <v>0</v>
      </c>
      <c r="P11" s="98">
        <f>SUMIFS('Project List-RRP'!H$10:H$38,'Project List-RRP'!$C$10:$C$38,$C11)*Inflation!$K$10</f>
        <v>0</v>
      </c>
      <c r="Q11" s="98">
        <f>SUMIFS('Project List-RRP'!I$10:I$38,'Project List-RRP'!$C$10:$C$38,$C11)*Inflation!$K$10</f>
        <v>0</v>
      </c>
      <c r="R11" s="98">
        <f>SUMIFS('Project List-RRP'!J$10:J$38,'Project List-RRP'!$C$10:$C$38,$C11)*Inflation!$K$10</f>
        <v>0</v>
      </c>
      <c r="S11" s="40"/>
      <c r="T11" s="25"/>
      <c r="U11" s="25"/>
      <c r="V11" s="25"/>
      <c r="W11" s="25"/>
      <c r="X11" s="25"/>
    </row>
    <row r="12" spans="1:24" s="122" customFormat="1" x14ac:dyDescent="0.2">
      <c r="A12" s="121"/>
      <c r="B12" s="105">
        <f>157</f>
        <v>157</v>
      </c>
      <c r="C12" s="126" t="s">
        <v>177</v>
      </c>
      <c r="D12" s="128">
        <f>'Historical Expenditure'!D12*Inflation!C$10</f>
        <v>85447.458144463628</v>
      </c>
      <c r="E12" s="128">
        <f>'Historical Expenditure'!E12*Inflation!D$10</f>
        <v>45691.14422400987</v>
      </c>
      <c r="F12" s="128">
        <f>'Historical Expenditure'!F12*Inflation!E$10</f>
        <v>67450.191097283823</v>
      </c>
      <c r="G12" s="128">
        <f>'Historical Expenditure'!G12*Inflation!F$10</f>
        <v>63549.293870923226</v>
      </c>
      <c r="H12" s="128">
        <f>'Historical Expenditure'!H12*Inflation!G$10</f>
        <v>11378.536619452312</v>
      </c>
      <c r="I12" s="128">
        <f>'Historical Expenditure'!I12*Inflation!H$10</f>
        <v>568.02883720930231</v>
      </c>
      <c r="J12" s="128">
        <f>'Historical Expenditure'!J12*Inflation!I$10</f>
        <v>0</v>
      </c>
      <c r="K12" s="128">
        <f>'Historical Expenditure'!K12*Inflation!J$10</f>
        <v>0</v>
      </c>
      <c r="L12" s="124">
        <f>SUMIFS('Project List-RRP'!D$10:D$36,'Project List-RRP'!$C$10:$C$36,$C12)*Inflation!$K$10</f>
        <v>0</v>
      </c>
      <c r="M12" s="98">
        <f>SUMIFS('Project List-RRP'!E$10:E$38,'Project List-RRP'!$C$10:$C$38,$C12)*Inflation!$K$10</f>
        <v>0</v>
      </c>
      <c r="N12" s="98">
        <f>SUMIFS('Project List-RRP'!F$10:F$38,'Project List-RRP'!$C$10:$C$38,$C12)*Inflation!$K$10</f>
        <v>0</v>
      </c>
      <c r="O12" s="98">
        <f>SUMIFS('Project List-RRP'!G$10:G$38,'Project List-RRP'!$C$10:$C$38,$C12)*Inflation!$K$10</f>
        <v>0</v>
      </c>
      <c r="P12" s="98">
        <f>SUMIFS('Project List-RRP'!H$10:H$38,'Project List-RRP'!$C$10:$C$38,$C12)*Inflation!$K$10</f>
        <v>0</v>
      </c>
      <c r="Q12" s="98">
        <f>SUMIFS('Project List-RRP'!I$10:I$38,'Project List-RRP'!$C$10:$C$38,$C12)*Inflation!$K$10</f>
        <v>0</v>
      </c>
      <c r="R12" s="98">
        <f>SUMIFS('Project List-RRP'!J$10:J$38,'Project List-RRP'!$C$10:$C$38,$C12)*Inflation!$K$10</f>
        <v>0</v>
      </c>
      <c r="S12" s="127"/>
      <c r="T12" s="121"/>
      <c r="U12" s="121"/>
      <c r="V12" s="121"/>
      <c r="W12" s="121"/>
      <c r="X12" s="121"/>
    </row>
    <row r="13" spans="1:24" s="122" customFormat="1" x14ac:dyDescent="0.2">
      <c r="A13" s="121"/>
      <c r="B13" s="105">
        <f>157</f>
        <v>157</v>
      </c>
      <c r="C13" s="126" t="s">
        <v>181</v>
      </c>
      <c r="D13" s="128">
        <f>'Historical Expenditure'!D13*Inflation!C$10</f>
        <v>0</v>
      </c>
      <c r="E13" s="128">
        <f>'Historical Expenditure'!E13*Inflation!D$10</f>
        <v>0</v>
      </c>
      <c r="F13" s="128">
        <f>'Historical Expenditure'!F13*Inflation!E$10</f>
        <v>0</v>
      </c>
      <c r="G13" s="128">
        <f>'Historical Expenditure'!G13*Inflation!F$10</f>
        <v>0</v>
      </c>
      <c r="H13" s="128">
        <f>'Historical Expenditure'!H13*Inflation!G$10</f>
        <v>0</v>
      </c>
      <c r="I13" s="128">
        <f>'Historical Expenditure'!I13*Inflation!H$10</f>
        <v>0</v>
      </c>
      <c r="J13" s="128">
        <f>'Historical Expenditure'!J13*Inflation!I$10</f>
        <v>0</v>
      </c>
      <c r="K13" s="128">
        <f>'Historical Expenditure'!K13*Inflation!J$10</f>
        <v>0</v>
      </c>
      <c r="L13" s="124">
        <f>SUMIFS('Project List-RRP'!D$10:D$36,'Project List-RRP'!$C$10:$C$36,$C13)*Inflation!$K$10</f>
        <v>2692385.5288824802</v>
      </c>
      <c r="M13" s="98">
        <f>SUMIFS('Project List-RRP'!E$10:E$38,'Project List-RRP'!$C$10:$C$38,$C13)*Inflation!$K$10</f>
        <v>4081672.6756696599</v>
      </c>
      <c r="N13" s="98">
        <f>SUMIFS('Project List-RRP'!F$10:F$38,'Project List-RRP'!$C$10:$C$38,$C13)*Inflation!$K$10</f>
        <v>10387493.555932004</v>
      </c>
      <c r="O13" s="98">
        <f>SUMIFS('Project List-RRP'!G$10:G$38,'Project List-RRP'!$C$10:$C$38,$C13)*Inflation!$K$10</f>
        <v>5922848.5818694653</v>
      </c>
      <c r="P13" s="98">
        <f>SUMIFS('Project List-RRP'!H$10:H$38,'Project List-RRP'!$C$10:$C$38,$C13)*Inflation!$K$10</f>
        <v>1696468.1737658407</v>
      </c>
      <c r="Q13" s="98">
        <f>SUMIFS('Project List-RRP'!I$10:I$38,'Project List-RRP'!$C$10:$C$38,$C13)*Inflation!$K$10</f>
        <v>1696468.1737658407</v>
      </c>
      <c r="R13" s="98">
        <f>SUMIFS('Project List-RRP'!J$10:J$38,'Project List-RRP'!$C$10:$C$38,$C13)*Inflation!$K$10</f>
        <v>1696468.1737658407</v>
      </c>
      <c r="S13" s="127"/>
      <c r="T13" s="121"/>
      <c r="U13" s="121"/>
      <c r="V13" s="121"/>
      <c r="W13" s="121"/>
      <c r="X13" s="121"/>
    </row>
    <row r="14" spans="1:24" s="33" customFormat="1" x14ac:dyDescent="0.2">
      <c r="A14" s="25"/>
      <c r="B14" s="105">
        <f>157</f>
        <v>157</v>
      </c>
      <c r="C14" s="42" t="s">
        <v>144</v>
      </c>
      <c r="D14" s="128">
        <f>'Historical Expenditure'!D14*Inflation!C$10</f>
        <v>0</v>
      </c>
      <c r="E14" s="128">
        <f>'Historical Expenditure'!E14*Inflation!D$10</f>
        <v>0</v>
      </c>
      <c r="F14" s="128">
        <f>'Historical Expenditure'!F14*Inflation!E$10</f>
        <v>0</v>
      </c>
      <c r="G14" s="128">
        <f>'Historical Expenditure'!G14*Inflation!F$10</f>
        <v>0</v>
      </c>
      <c r="H14" s="128">
        <f>'Historical Expenditure'!H14*Inflation!G$10</f>
        <v>0</v>
      </c>
      <c r="I14" s="128">
        <f>'Historical Expenditure'!I14*Inflation!H$10</f>
        <v>0</v>
      </c>
      <c r="J14" s="128">
        <f>'Historical Expenditure'!J14*Inflation!I$10</f>
        <v>0</v>
      </c>
      <c r="K14" s="128">
        <f>'Historical Expenditure'!K14*Inflation!J$10</f>
        <v>0</v>
      </c>
      <c r="L14" s="124">
        <f>SUMIFS('Project List-RRP'!D$10:D$36,'Project List-RRP'!$C$10:$C$36,$C14)*Inflation!$K$10</f>
        <v>0</v>
      </c>
      <c r="M14" s="98">
        <f>SUMIFS('Project List-RRP'!E$10:E$38,'Project List-RRP'!$C$10:$C$38,$C14)*Inflation!$K$10</f>
        <v>0</v>
      </c>
      <c r="N14" s="98">
        <f>SUMIFS('Project List-RRP'!F$10:F$38,'Project List-RRP'!$C$10:$C$38,$C14)*Inflation!$K$10</f>
        <v>0</v>
      </c>
      <c r="O14" s="98">
        <f>SUMIFS('Project List-RRP'!G$10:G$38,'Project List-RRP'!$C$10:$C$38,$C14)*Inflation!$K$10</f>
        <v>0</v>
      </c>
      <c r="P14" s="98">
        <f>SUMIFS('Project List-RRP'!H$10:H$38,'Project List-RRP'!$C$10:$C$38,$C14)*Inflation!$K$10</f>
        <v>0</v>
      </c>
      <c r="Q14" s="98">
        <f>SUMIFS('Project List-RRP'!I$10:I$38,'Project List-RRP'!$C$10:$C$38,$C14)*Inflation!$K$10</f>
        <v>0</v>
      </c>
      <c r="R14" s="98">
        <f>SUMIFS('Project List-RRP'!J$10:J$38,'Project List-RRP'!$C$10:$C$38,$C14)*Inflation!$K$10</f>
        <v>0</v>
      </c>
      <c r="S14" s="40"/>
      <c r="T14" s="25"/>
      <c r="U14" s="25"/>
      <c r="V14" s="25"/>
      <c r="W14" s="25"/>
      <c r="X14" s="25"/>
    </row>
    <row r="15" spans="1:24" s="33" customFormat="1" x14ac:dyDescent="0.2">
      <c r="A15" s="25"/>
      <c r="B15" s="105">
        <f>157</f>
        <v>157</v>
      </c>
      <c r="C15" s="113" t="s">
        <v>145</v>
      </c>
      <c r="D15" s="128">
        <f>'Historical Expenditure'!D15*Inflation!C$10</f>
        <v>0</v>
      </c>
      <c r="E15" s="128">
        <f>'Historical Expenditure'!E15*Inflation!D$10</f>
        <v>39419.605834636983</v>
      </c>
      <c r="F15" s="128">
        <f>'Historical Expenditure'!F15*Inflation!E$10</f>
        <v>1403226.2020011118</v>
      </c>
      <c r="G15" s="128">
        <f>'Historical Expenditure'!G15*Inflation!F$10</f>
        <v>1512877.5900559309</v>
      </c>
      <c r="H15" s="128">
        <f>'Historical Expenditure'!H15*Inflation!G$10</f>
        <v>9789944.3644948062</v>
      </c>
      <c r="I15" s="128">
        <f>'Historical Expenditure'!I15*Inflation!H$10</f>
        <v>27977466.433488373</v>
      </c>
      <c r="J15" s="128">
        <f>'Historical Expenditure'!J15*Inflation!I$10</f>
        <v>55352580.270583734</v>
      </c>
      <c r="K15" s="128">
        <f>'Historical Expenditure'!K15*Inflation!J$10</f>
        <v>73049865.94457446</v>
      </c>
      <c r="L15" s="124">
        <f>SUMIFS('Project List-RRP'!D$10:D$36,'Project List-RRP'!$C$10:$C$36,$C15)*Inflation!$K$10</f>
        <v>67857073.03176263</v>
      </c>
      <c r="M15" s="98">
        <f ca="1">SUMIFS('Project List-RRP'!E$10:E$38,'Project List-RRP'!$C$10:$C$38,$C15)*Inflation!$K$10</f>
        <v>120451317.3683911</v>
      </c>
      <c r="N15" s="98">
        <f ca="1">SUMIFS('Project List-RRP'!F$10:F$38,'Project List-RRP'!$C$10:$C$38,$C15)*Inflation!$K$10</f>
        <v>47582448.832122259</v>
      </c>
      <c r="O15" s="98">
        <f ca="1">SUMIFS('Project List-RRP'!G$10:G$38,'Project List-RRP'!$C$10:$C$38,$C15)*Inflation!$K$10</f>
        <v>60754988.654857084</v>
      </c>
      <c r="P15" s="98">
        <f ca="1">SUMIFS('Project List-RRP'!H$10:H$38,'Project List-RRP'!$C$10:$C$38,$C15)*Inflation!$K$10</f>
        <v>23323585.95041981</v>
      </c>
      <c r="Q15" s="98">
        <f ca="1">SUMIFS('Project List-RRP'!I$10:I$38,'Project List-RRP'!$C$10:$C$38,$C15)*Inflation!$K$10</f>
        <v>5277571.2229443453</v>
      </c>
      <c r="R15" s="98">
        <f>SUMIFS('Project List-RRP'!J$10:J$38,'Project List-RRP'!$C$10:$C$38,$C15)*Inflation!$K$10</f>
        <v>0</v>
      </c>
      <c r="S15" s="40"/>
      <c r="T15" s="25"/>
      <c r="U15" s="25"/>
      <c r="V15" s="25"/>
      <c r="W15" s="25"/>
      <c r="X15" s="25"/>
    </row>
    <row r="16" spans="1:24" s="33" customFormat="1" x14ac:dyDescent="0.2">
      <c r="A16" s="25"/>
      <c r="B16" s="105">
        <f>157</f>
        <v>157</v>
      </c>
      <c r="C16" s="42" t="s">
        <v>146</v>
      </c>
      <c r="D16" s="128">
        <f>'Historical Expenditure'!D16*Inflation!C$10</f>
        <v>0</v>
      </c>
      <c r="E16" s="128">
        <f>'Historical Expenditure'!E16*Inflation!D$10</f>
        <v>0</v>
      </c>
      <c r="F16" s="128">
        <f>'Historical Expenditure'!F16*Inflation!E$10</f>
        <v>0</v>
      </c>
      <c r="G16" s="128">
        <f>'Historical Expenditure'!G16*Inflation!F$10</f>
        <v>0</v>
      </c>
      <c r="H16" s="128">
        <f>'Historical Expenditure'!H16*Inflation!G$10</f>
        <v>0</v>
      </c>
      <c r="I16" s="128">
        <f>'Historical Expenditure'!I16*Inflation!H$10</f>
        <v>0</v>
      </c>
      <c r="J16" s="128">
        <f>'Historical Expenditure'!J16*Inflation!I$10</f>
        <v>0</v>
      </c>
      <c r="K16" s="128">
        <f>'Historical Expenditure'!K16*Inflation!J$10</f>
        <v>0</v>
      </c>
      <c r="L16" s="124">
        <f>SUMIFS('Project List-RRP'!D$10:D$36,'Project List-RRP'!$C$10:$C$36,$C16)*Inflation!$K$10</f>
        <v>0</v>
      </c>
      <c r="M16" s="98">
        <f>SUMIFS('Project List-RRP'!E$10:E$38,'Project List-RRP'!$C$10:$C$38,$C16)*Inflation!$K$10</f>
        <v>0</v>
      </c>
      <c r="N16" s="98">
        <f>SUMIFS('Project List-RRP'!F$10:F$38,'Project List-RRP'!$C$10:$C$38,$C16)*Inflation!$K$10</f>
        <v>0</v>
      </c>
      <c r="O16" s="98">
        <f>SUMIFS('Project List-RRP'!G$10:G$38,'Project List-RRP'!$C$10:$C$38,$C16)*Inflation!$K$10</f>
        <v>0</v>
      </c>
      <c r="P16" s="98">
        <f>SUMIFS('Project List-RRP'!H$10:H$38,'Project List-RRP'!$C$10:$C$38,$C16)*Inflation!$K$10</f>
        <v>0</v>
      </c>
      <c r="Q16" s="98">
        <f>SUMIFS('Project List-RRP'!I$10:I$38,'Project List-RRP'!$C$10:$C$38,$C16)*Inflation!$K$10</f>
        <v>0</v>
      </c>
      <c r="R16" s="98">
        <f>SUMIFS('Project List-RRP'!J$10:J$38,'Project List-RRP'!$C$10:$C$38,$C16)*Inflation!$K$10</f>
        <v>0</v>
      </c>
      <c r="S16" s="40"/>
      <c r="T16" s="25"/>
      <c r="U16" s="25"/>
      <c r="V16" s="25"/>
      <c r="W16" s="25"/>
      <c r="X16" s="25"/>
    </row>
    <row r="17" spans="1:24" s="33" customFormat="1" x14ac:dyDescent="0.2">
      <c r="A17" s="25"/>
      <c r="B17" s="105">
        <f>157</f>
        <v>157</v>
      </c>
      <c r="C17" s="42" t="s">
        <v>147</v>
      </c>
      <c r="D17" s="128">
        <f>'Historical Expenditure'!D17*Inflation!C$10</f>
        <v>0</v>
      </c>
      <c r="E17" s="128">
        <f>'Historical Expenditure'!E17*Inflation!D$10</f>
        <v>0</v>
      </c>
      <c r="F17" s="128">
        <f>'Historical Expenditure'!F17*Inflation!E$10</f>
        <v>0</v>
      </c>
      <c r="G17" s="128">
        <f>'Historical Expenditure'!G17*Inflation!F$10</f>
        <v>0</v>
      </c>
      <c r="H17" s="128">
        <f>'Historical Expenditure'!H17*Inflation!G$10</f>
        <v>0</v>
      </c>
      <c r="I17" s="128">
        <f>'Historical Expenditure'!I17*Inflation!H$10</f>
        <v>0</v>
      </c>
      <c r="J17" s="128">
        <f>'Historical Expenditure'!J17*Inflation!I$10</f>
        <v>0</v>
      </c>
      <c r="K17" s="128">
        <f>'Historical Expenditure'!K17*Inflation!J$10</f>
        <v>0</v>
      </c>
      <c r="L17" s="124">
        <f>SUMIFS('Project List-RRP'!D$10:D$36,'Project List-RRP'!$C$10:$C$36,$C17)*Inflation!$K$10</f>
        <v>0</v>
      </c>
      <c r="M17" s="98">
        <f>SUMIFS('Project List-RRP'!E$10:E$38,'Project List-RRP'!$C$10:$C$38,$C17)*Inflation!$K$10</f>
        <v>0</v>
      </c>
      <c r="N17" s="98">
        <f>SUMIFS('Project List-RRP'!F$10:F$38,'Project List-RRP'!$C$10:$C$38,$C17)*Inflation!$K$10</f>
        <v>0</v>
      </c>
      <c r="O17" s="98">
        <f>SUMIFS('Project List-RRP'!G$10:G$38,'Project List-RRP'!$C$10:$C$38,$C17)*Inflation!$K$10</f>
        <v>0</v>
      </c>
      <c r="P17" s="98">
        <f>SUMIFS('Project List-RRP'!H$10:H$38,'Project List-RRP'!$C$10:$C$38,$C17)*Inflation!$K$10</f>
        <v>0</v>
      </c>
      <c r="Q17" s="98">
        <f>SUMIFS('Project List-RRP'!I$10:I$38,'Project List-RRP'!$C$10:$C$38,$C17)*Inflation!$K$10</f>
        <v>0</v>
      </c>
      <c r="R17" s="98">
        <f>SUMIFS('Project List-RRP'!J$10:J$38,'Project List-RRP'!$C$10:$C$38,$C17)*Inflation!$K$10</f>
        <v>0</v>
      </c>
      <c r="S17" s="40"/>
      <c r="T17" s="25"/>
      <c r="U17" s="25"/>
      <c r="V17" s="25"/>
      <c r="W17" s="25"/>
      <c r="X17" s="25"/>
    </row>
    <row r="18" spans="1:24" s="33" customFormat="1" x14ac:dyDescent="0.2">
      <c r="A18" s="25"/>
      <c r="B18" s="105">
        <f>157</f>
        <v>157</v>
      </c>
      <c r="C18" s="42" t="s">
        <v>148</v>
      </c>
      <c r="D18" s="101">
        <f>'Historical Expenditure'!D18*Inflation!C$10</f>
        <v>0</v>
      </c>
      <c r="E18" s="101">
        <f>'Historical Expenditure'!E18*Inflation!D$10</f>
        <v>0</v>
      </c>
      <c r="F18" s="101">
        <f>'Historical Expenditure'!F18*Inflation!E$10</f>
        <v>0</v>
      </c>
      <c r="G18" s="101">
        <f>'Historical Expenditure'!G18*Inflation!F$10</f>
        <v>0</v>
      </c>
      <c r="H18" s="101">
        <f>'Historical Expenditure'!H18*Inflation!G$10</f>
        <v>0</v>
      </c>
      <c r="I18" s="101">
        <f>'Historical Expenditure'!I18*Inflation!H$10</f>
        <v>0</v>
      </c>
      <c r="J18" s="101">
        <f>'Historical Expenditure'!J18*Inflation!I$10</f>
        <v>0</v>
      </c>
      <c r="K18" s="101">
        <f>'Historical Expenditure'!K18*Inflation!J$10</f>
        <v>0</v>
      </c>
      <c r="L18" s="98">
        <f>SUMIFS('Project List-RRP'!D$10:D$36,'Project List-RRP'!$C$10:$C$36,$C18)*Inflation!$K$10</f>
        <v>0</v>
      </c>
      <c r="M18" s="98">
        <f>SUMIFS('Project List-RRP'!E$10:E$38,'Project List-RRP'!$C$10:$C$38,$C18)*Inflation!$K$10</f>
        <v>0</v>
      </c>
      <c r="N18" s="98">
        <f>SUMIFS('Project List-RRP'!F$10:F$38,'Project List-RRP'!$C$10:$C$38,$C18)*Inflation!$K$10</f>
        <v>0</v>
      </c>
      <c r="O18" s="98">
        <f>SUMIFS('Project List-RRP'!G$10:G$38,'Project List-RRP'!$C$10:$C$38,$C18)*Inflation!$K$10</f>
        <v>0</v>
      </c>
      <c r="P18" s="98">
        <f>SUMIFS('Project List-RRP'!H$10:H$38,'Project List-RRP'!$C$10:$C$38,$C18)*Inflation!$K$10</f>
        <v>0</v>
      </c>
      <c r="Q18" s="98">
        <f>SUMIFS('Project List-RRP'!I$10:I$38,'Project List-RRP'!$C$10:$C$38,$C18)*Inflation!$K$10</f>
        <v>0</v>
      </c>
      <c r="R18" s="98">
        <f>SUMIFS('Project List-RRP'!J$10:J$38,'Project List-RRP'!$C$10:$C$38,$C18)*Inflation!$K$10</f>
        <v>0</v>
      </c>
      <c r="S18" s="40"/>
      <c r="T18" s="25"/>
      <c r="U18" s="25"/>
      <c r="V18" s="25"/>
      <c r="W18" s="25"/>
      <c r="X18" s="25"/>
    </row>
    <row r="19" spans="1:24" s="33" customFormat="1" x14ac:dyDescent="0.2">
      <c r="A19" s="25"/>
      <c r="B19" s="105">
        <f>157</f>
        <v>157</v>
      </c>
      <c r="C19" s="42" t="s">
        <v>149</v>
      </c>
      <c r="D19" s="101">
        <f>'Historical Expenditure'!D19*Inflation!C$10</f>
        <v>0</v>
      </c>
      <c r="E19" s="101">
        <f>'Historical Expenditure'!E19*Inflation!D$10</f>
        <v>0</v>
      </c>
      <c r="F19" s="101">
        <f>'Historical Expenditure'!F19*Inflation!E$10</f>
        <v>0</v>
      </c>
      <c r="G19" s="101">
        <f>'Historical Expenditure'!G19*Inflation!F$10</f>
        <v>0</v>
      </c>
      <c r="H19" s="101">
        <f>'Historical Expenditure'!H19*Inflation!G$10</f>
        <v>0</v>
      </c>
      <c r="I19" s="101">
        <f>'Historical Expenditure'!I19*Inflation!H$10</f>
        <v>0</v>
      </c>
      <c r="J19" s="101">
        <f>'Historical Expenditure'!J19*Inflation!I$10</f>
        <v>0</v>
      </c>
      <c r="K19" s="101">
        <f>'Historical Expenditure'!K19*Inflation!J$10</f>
        <v>0</v>
      </c>
      <c r="L19" s="98">
        <f>SUMIFS('Project List-RRP'!D$10:D$36,'Project List-RRP'!$C$10:$C$36,$C19)*Inflation!$K$10</f>
        <v>0</v>
      </c>
      <c r="M19" s="98">
        <f>SUMIFS('Project List-RRP'!E$10:E$38,'Project List-RRP'!$C$10:$C$38,$C19)*Inflation!$K$10</f>
        <v>0</v>
      </c>
      <c r="N19" s="98">
        <f>SUMIFS('Project List-RRP'!F$10:F$38,'Project List-RRP'!$C$10:$C$38,$C19)*Inflation!$K$10</f>
        <v>0</v>
      </c>
      <c r="O19" s="98">
        <f>SUMIFS('Project List-RRP'!G$10:G$38,'Project List-RRP'!$C$10:$C$38,$C19)*Inflation!$K$10</f>
        <v>0</v>
      </c>
      <c r="P19" s="98">
        <f>SUMIFS('Project List-RRP'!H$10:H$38,'Project List-RRP'!$C$10:$C$38,$C19)*Inflation!$K$10</f>
        <v>0</v>
      </c>
      <c r="Q19" s="98">
        <f>SUMIFS('Project List-RRP'!I$10:I$38,'Project List-RRP'!$C$10:$C$38,$C19)*Inflation!$K$10</f>
        <v>0</v>
      </c>
      <c r="R19" s="98">
        <f>SUMIFS('Project List-RRP'!J$10:J$38,'Project List-RRP'!$C$10:$C$38,$C19)*Inflation!$K$10</f>
        <v>0</v>
      </c>
      <c r="S19" s="40"/>
      <c r="T19" s="25"/>
      <c r="U19" s="25"/>
      <c r="V19" s="25"/>
      <c r="W19" s="25"/>
      <c r="X19" s="25"/>
    </row>
    <row r="20" spans="1:24" s="33" customFormat="1" x14ac:dyDescent="0.2">
      <c r="A20" s="25"/>
      <c r="B20" s="38"/>
      <c r="C20" s="44" t="s">
        <v>47</v>
      </c>
      <c r="D20" s="99">
        <f t="shared" ref="D20:F20" si="0">SUM(D8:D19)</f>
        <v>4686933.3787368322</v>
      </c>
      <c r="E20" s="99">
        <f t="shared" si="0"/>
        <v>15374365.380863331</v>
      </c>
      <c r="F20" s="99">
        <f t="shared" si="0"/>
        <v>29902089.067128606</v>
      </c>
      <c r="G20" s="99">
        <f t="shared" ref="G20:H20" si="1">SUM(G8:G19)</f>
        <v>29468878.271323893</v>
      </c>
      <c r="H20" s="99">
        <f t="shared" si="1"/>
        <v>26767679.272162415</v>
      </c>
      <c r="I20" s="99">
        <f>SUM(I8:I19)</f>
        <v>41975894.616358623</v>
      </c>
      <c r="J20" s="99">
        <f t="shared" ref="J20:R20" si="2">SUM(J8:J19)</f>
        <v>69748294.967675433</v>
      </c>
      <c r="K20" s="99">
        <f t="shared" si="2"/>
        <v>87337234.366856366</v>
      </c>
      <c r="L20" s="99">
        <f t="shared" si="2"/>
        <v>77750110.613541931</v>
      </c>
      <c r="M20" s="99">
        <f t="shared" ca="1" si="2"/>
        <v>125158293.37397347</v>
      </c>
      <c r="N20" s="99">
        <f t="shared" ca="1" si="2"/>
        <v>57969942.388054267</v>
      </c>
      <c r="O20" s="99">
        <f t="shared" ca="1" si="2"/>
        <v>66677837.236726552</v>
      </c>
      <c r="P20" s="99">
        <f t="shared" ca="1" si="2"/>
        <v>25020054.124185652</v>
      </c>
      <c r="Q20" s="99">
        <f t="shared" ca="1" si="2"/>
        <v>6974039.3967101863</v>
      </c>
      <c r="R20" s="99">
        <f t="shared" si="2"/>
        <v>1696468.1737658407</v>
      </c>
      <c r="S20" s="40"/>
      <c r="T20" s="25"/>
      <c r="U20" s="25"/>
      <c r="V20" s="25"/>
      <c r="W20" s="25"/>
      <c r="X20" s="25"/>
    </row>
    <row r="21" spans="1:24" s="33" customFormat="1" x14ac:dyDescent="0.2">
      <c r="A21" s="25"/>
      <c r="B21" s="25"/>
      <c r="C21" s="25"/>
      <c r="D21" s="109">
        <f>SUM('Historical Expenditure'!D40,'Historical Expenditure'!D53)*Inflation!C10-D20</f>
        <v>0</v>
      </c>
      <c r="E21" s="109">
        <f>SUM('Historical Expenditure'!E40,'Historical Expenditure'!E53)*Inflation!D10-E20</f>
        <v>0</v>
      </c>
      <c r="F21" s="109">
        <f>SUM('Historical Expenditure'!F40,'Historical Expenditure'!F53)*Inflation!E10-F20</f>
        <v>0</v>
      </c>
      <c r="G21" s="109">
        <f>SUM('Historical Expenditure'!G40,'Historical Expenditure'!G53)*Inflation!F10-G20</f>
        <v>0</v>
      </c>
      <c r="H21" s="109">
        <f>SUM('Historical Expenditure'!H40,'Historical Expenditure'!H53)*Inflation!G10-H20</f>
        <v>0</v>
      </c>
      <c r="I21" s="109">
        <f>SUM('Historical Expenditure'!I40,'Historical Expenditure'!I53)*Inflation!H10-I20</f>
        <v>0</v>
      </c>
      <c r="J21" s="109">
        <f>SUM('Historical Expenditure'!J40,'Historical Expenditure'!J53)*Inflation!I10-J20</f>
        <v>0</v>
      </c>
      <c r="K21" s="109">
        <f>SUM('Historical Expenditure'!K40,'Historical Expenditure'!K53)*Inflation!J10-K20</f>
        <v>0</v>
      </c>
      <c r="L21" s="108">
        <f>L20-'Project List-RRP'!D39*Inflation!$K$10</f>
        <v>0</v>
      </c>
      <c r="M21" s="108">
        <f ca="1">M20-'Project List-RRP'!E39*Inflation!$K$10</f>
        <v>0</v>
      </c>
      <c r="N21" s="108">
        <f ca="1">N20-'Project List-RRP'!F39*Inflation!$K$10</f>
        <v>0</v>
      </c>
      <c r="O21" s="108">
        <f ca="1">O20-'Project List-RRP'!G39*Inflation!$K$10</f>
        <v>0</v>
      </c>
      <c r="P21" s="108">
        <f ca="1">P20-'Project List-RRP'!H39*Inflation!$K$10</f>
        <v>0</v>
      </c>
      <c r="Q21" s="108">
        <f ca="1">Q20-'Project List-RRP'!I39*Inflation!$K$10</f>
        <v>0</v>
      </c>
      <c r="R21" s="108">
        <f>R20-'Project List-RRP'!J39*Inflation!$K$10</f>
        <v>0</v>
      </c>
      <c r="S21" s="40"/>
      <c r="T21" s="25"/>
      <c r="U21" s="25"/>
      <c r="V21" s="25"/>
      <c r="W21" s="25"/>
      <c r="X21" s="25"/>
    </row>
    <row r="22" spans="1:24" x14ac:dyDescent="0.2">
      <c r="A22" s="25"/>
      <c r="B22" s="86"/>
      <c r="C22" s="59"/>
      <c r="D22" s="25"/>
      <c r="E22" s="25"/>
      <c r="F22" s="25"/>
      <c r="G22" s="25"/>
      <c r="H22" s="25"/>
      <c r="I22" s="25"/>
      <c r="J22" s="25"/>
      <c r="K22" s="59"/>
      <c r="L22" s="59"/>
      <c r="M22" s="59"/>
      <c r="N22" s="59"/>
      <c r="O22" s="59"/>
      <c r="P22" s="59"/>
      <c r="Q22" s="59"/>
      <c r="R22" s="59"/>
      <c r="S22" s="59"/>
      <c r="T22" s="25"/>
      <c r="U22" s="25"/>
      <c r="V22" s="25"/>
      <c r="W22" s="25"/>
      <c r="X22" s="25"/>
    </row>
    <row r="23" spans="1:2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59"/>
      <c r="L23" s="59"/>
      <c r="M23" s="59"/>
      <c r="N23" s="59"/>
      <c r="O23" s="59"/>
      <c r="P23" s="59"/>
      <c r="Q23" s="59"/>
      <c r="R23" s="59"/>
      <c r="S23" s="59"/>
      <c r="T23" s="25"/>
      <c r="U23" s="25"/>
      <c r="V23" s="25"/>
      <c r="W23" s="25"/>
      <c r="X23" s="25"/>
    </row>
    <row r="24" spans="1:24" s="33" customFormat="1" x14ac:dyDescent="0.2">
      <c r="A24" s="1"/>
      <c r="C24" s="40"/>
      <c r="D24" s="40"/>
      <c r="E24" s="40"/>
      <c r="F24" s="40"/>
      <c r="G24" s="40"/>
      <c r="H24" s="40"/>
      <c r="I24" s="40"/>
      <c r="J24" s="40"/>
      <c r="K24" s="40"/>
      <c r="L24" s="59"/>
      <c r="M24" s="59"/>
      <c r="N24" s="59"/>
      <c r="O24" s="59"/>
      <c r="P24" s="59"/>
      <c r="Q24" s="59"/>
      <c r="R24" s="59"/>
      <c r="S24" s="59"/>
      <c r="T24" s="1"/>
      <c r="U24" s="1"/>
      <c r="V24" s="1"/>
      <c r="W24" s="1"/>
      <c r="X24" s="1"/>
    </row>
    <row r="25" spans="1:24" s="33" customFormat="1" x14ac:dyDescent="0.2">
      <c r="A25" s="1"/>
      <c r="B25" s="41"/>
      <c r="C25" s="40"/>
      <c r="D25" s="40"/>
      <c r="E25" s="40"/>
      <c r="F25" s="40"/>
      <c r="G25" s="40"/>
      <c r="H25" s="40"/>
      <c r="I25" s="40"/>
      <c r="J25" s="40"/>
      <c r="K25" s="40"/>
      <c r="L25" s="59"/>
      <c r="M25" s="59"/>
      <c r="N25" s="59"/>
      <c r="O25" s="59"/>
      <c r="P25" s="59"/>
      <c r="Q25" s="59"/>
      <c r="R25" s="59"/>
      <c r="S25" s="59"/>
      <c r="T25" s="1"/>
      <c r="U25" s="1"/>
      <c r="V25" s="1"/>
      <c r="W25" s="1"/>
      <c r="X25" s="1"/>
    </row>
    <row r="26" spans="1:24" s="33" customFormat="1" x14ac:dyDescent="0.2">
      <c r="A26" s="1"/>
      <c r="B26" s="39" t="s">
        <v>217</v>
      </c>
      <c r="C26" s="40"/>
      <c r="D26" s="40"/>
      <c r="E26" s="40"/>
      <c r="F26" s="40"/>
      <c r="G26" s="40"/>
      <c r="H26" s="40"/>
      <c r="I26" s="40"/>
      <c r="J26" s="40"/>
      <c r="K26" s="40"/>
      <c r="L26" s="59"/>
      <c r="M26" s="59"/>
      <c r="N26" s="59"/>
      <c r="O26" s="59"/>
      <c r="P26" s="59"/>
      <c r="Q26" s="59"/>
      <c r="R26" s="59"/>
      <c r="S26" s="59"/>
      <c r="T26" s="1"/>
      <c r="U26" s="1"/>
      <c r="V26" s="1"/>
      <c r="W26" s="1"/>
      <c r="X26" s="1"/>
    </row>
    <row r="27" spans="1:24" s="33" customFormat="1" x14ac:dyDescent="0.2">
      <c r="A27" s="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59"/>
      <c r="M27" s="59"/>
      <c r="N27" s="59"/>
      <c r="O27" s="59"/>
      <c r="P27" s="59"/>
      <c r="Q27" s="59"/>
      <c r="R27" s="59"/>
      <c r="S27" s="59"/>
      <c r="T27" s="1"/>
      <c r="U27" s="1"/>
      <c r="V27" s="1"/>
      <c r="W27" s="1"/>
      <c r="X27" s="1"/>
    </row>
    <row r="28" spans="1:24" s="33" customFormat="1" x14ac:dyDescent="0.2">
      <c r="A28" s="1"/>
      <c r="B28" s="40"/>
      <c r="C28" s="40"/>
      <c r="D28" s="160" t="str">
        <f>"$ "&amp; Inflation!$C$4</f>
        <v>$ 2021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9"/>
      <c r="S28" s="59"/>
      <c r="T28" s="1"/>
      <c r="U28" s="1"/>
      <c r="V28" s="1"/>
      <c r="W28" s="1"/>
      <c r="X28" s="1"/>
    </row>
    <row r="29" spans="1:24" s="33" customFormat="1" x14ac:dyDescent="0.2">
      <c r="A29" s="1"/>
      <c r="B29" s="61" t="s">
        <v>154</v>
      </c>
      <c r="C29" s="17" t="s">
        <v>155</v>
      </c>
      <c r="D29" s="60" t="s">
        <v>211</v>
      </c>
      <c r="E29" s="17" t="s">
        <v>212</v>
      </c>
      <c r="F29" s="17" t="s">
        <v>213</v>
      </c>
      <c r="G29" s="17" t="s">
        <v>214</v>
      </c>
      <c r="H29" s="17" t="s">
        <v>215</v>
      </c>
      <c r="I29" s="17" t="s">
        <v>192</v>
      </c>
      <c r="J29" s="17" t="s">
        <v>193</v>
      </c>
      <c r="K29" s="17" t="s">
        <v>194</v>
      </c>
      <c r="L29" s="17" t="s">
        <v>183</v>
      </c>
      <c r="M29" s="17" t="s">
        <v>184</v>
      </c>
      <c r="N29" s="17" t="s">
        <v>185</v>
      </c>
      <c r="O29" s="17" t="s">
        <v>186</v>
      </c>
      <c r="P29" s="17" t="s">
        <v>187</v>
      </c>
      <c r="Q29" s="17" t="s">
        <v>188</v>
      </c>
      <c r="R29" s="17" t="s">
        <v>189</v>
      </c>
      <c r="S29" s="59"/>
      <c r="T29" s="1"/>
      <c r="U29" s="1"/>
      <c r="V29" s="1"/>
      <c r="W29" s="1"/>
      <c r="X29" s="1"/>
    </row>
    <row r="30" spans="1:24" s="33" customFormat="1" ht="25.5" x14ac:dyDescent="0.2">
      <c r="A30" s="1"/>
      <c r="B30" s="62" t="s">
        <v>156</v>
      </c>
      <c r="C30" s="63" t="s">
        <v>157</v>
      </c>
      <c r="D30" s="101">
        <f>'Historical Expenditure'!D29*Inflation!C$10</f>
        <v>0</v>
      </c>
      <c r="E30" s="101">
        <f>'Historical Expenditure'!E29*Inflation!D$10</f>
        <v>0</v>
      </c>
      <c r="F30" s="101">
        <f>'Historical Expenditure'!F29*Inflation!E$10</f>
        <v>0</v>
      </c>
      <c r="G30" s="101">
        <f>'Historical Expenditure'!G29*Inflation!F$10</f>
        <v>0</v>
      </c>
      <c r="H30" s="101">
        <f>'Historical Expenditure'!H29*Inflation!G$10</f>
        <v>0</v>
      </c>
      <c r="I30" s="101">
        <f>'Historical Expenditure'!I29*Inflation!H$10</f>
        <v>0</v>
      </c>
      <c r="J30" s="101">
        <f>'Historical Expenditure'!J29*Inflation!I$10</f>
        <v>0</v>
      </c>
      <c r="K30" s="101">
        <f>'Historical Expenditure'!K29*Inflation!J$10</f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59"/>
      <c r="T30" s="1"/>
      <c r="U30" s="1"/>
      <c r="V30" s="1"/>
      <c r="W30" s="1"/>
      <c r="X30" s="1"/>
    </row>
    <row r="31" spans="1:24" s="33" customFormat="1" x14ac:dyDescent="0.2">
      <c r="A31" s="1"/>
      <c r="B31" s="65" t="s">
        <v>158</v>
      </c>
      <c r="C31" s="63" t="s">
        <v>159</v>
      </c>
      <c r="D31" s="101">
        <f>'Historical Expenditure'!D30*Inflation!C$10</f>
        <v>0</v>
      </c>
      <c r="E31" s="101">
        <f>'Historical Expenditure'!E30*Inflation!D$10</f>
        <v>0</v>
      </c>
      <c r="F31" s="101">
        <f>'Historical Expenditure'!F30*Inflation!E$10</f>
        <v>0</v>
      </c>
      <c r="G31" s="101">
        <f>'Historical Expenditure'!G30*Inflation!F$10</f>
        <v>0</v>
      </c>
      <c r="H31" s="101">
        <f>'Historical Expenditure'!H30*Inflation!G$10</f>
        <v>0</v>
      </c>
      <c r="I31" s="101">
        <f>'Historical Expenditure'!I30*Inflation!H$10</f>
        <v>0</v>
      </c>
      <c r="J31" s="101">
        <f>'Historical Expenditure'!J30*Inflation!I$10</f>
        <v>0</v>
      </c>
      <c r="K31" s="101">
        <f>'Historical Expenditure'!K30*Inflation!J$10</f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59"/>
      <c r="T31" s="1"/>
      <c r="U31" s="1"/>
      <c r="V31" s="1"/>
      <c r="W31" s="1"/>
      <c r="X31" s="1"/>
    </row>
    <row r="32" spans="1:24" s="33" customFormat="1" x14ac:dyDescent="0.2">
      <c r="A32" s="1"/>
      <c r="B32" s="65"/>
      <c r="C32" s="63" t="s">
        <v>160</v>
      </c>
      <c r="D32" s="101">
        <f>'Historical Expenditure'!D31*Inflation!C$10</f>
        <v>0</v>
      </c>
      <c r="E32" s="101">
        <f>'Historical Expenditure'!E31*Inflation!D$10</f>
        <v>0</v>
      </c>
      <c r="F32" s="101">
        <f>'Historical Expenditure'!F31*Inflation!E$10</f>
        <v>0</v>
      </c>
      <c r="G32" s="101">
        <f>'Historical Expenditure'!G31*Inflation!F$10</f>
        <v>0</v>
      </c>
      <c r="H32" s="101">
        <f>'Historical Expenditure'!H31*Inflation!G$10</f>
        <v>0</v>
      </c>
      <c r="I32" s="101">
        <f>'Historical Expenditure'!I31*Inflation!H$10</f>
        <v>0</v>
      </c>
      <c r="J32" s="101">
        <f>'Historical Expenditure'!J31*Inflation!I$10</f>
        <v>0</v>
      </c>
      <c r="K32" s="101">
        <f>'Historical Expenditure'!K31*Inflation!J$10</f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59"/>
      <c r="T32" s="1"/>
      <c r="U32" s="1"/>
      <c r="V32" s="1"/>
      <c r="W32" s="1"/>
      <c r="X32" s="1"/>
    </row>
    <row r="33" spans="1:24" s="33" customFormat="1" x14ac:dyDescent="0.2">
      <c r="A33" s="1"/>
      <c r="B33" s="65"/>
      <c r="C33" s="63" t="s">
        <v>161</v>
      </c>
      <c r="D33" s="101">
        <f>'Historical Expenditure'!D32*Inflation!C$10</f>
        <v>0</v>
      </c>
      <c r="E33" s="101">
        <f>'Historical Expenditure'!E32*Inflation!D$10</f>
        <v>0</v>
      </c>
      <c r="F33" s="101">
        <f>'Historical Expenditure'!F32*Inflation!E$10</f>
        <v>0</v>
      </c>
      <c r="G33" s="101">
        <f>'Historical Expenditure'!G32*Inflation!F$10</f>
        <v>0</v>
      </c>
      <c r="H33" s="101">
        <f>'Historical Expenditure'!H32*Inflation!G$10</f>
        <v>0</v>
      </c>
      <c r="I33" s="101">
        <f>'Historical Expenditure'!I32*Inflation!H$10</f>
        <v>0</v>
      </c>
      <c r="J33" s="101">
        <f>'Historical Expenditure'!J32*Inflation!I$10</f>
        <v>0</v>
      </c>
      <c r="K33" s="101">
        <f>'Historical Expenditure'!K32*Inflation!J$10</f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59"/>
      <c r="T33" s="1"/>
      <c r="U33" s="1"/>
      <c r="V33" s="1"/>
      <c r="W33" s="1"/>
      <c r="X33" s="1"/>
    </row>
    <row r="34" spans="1:24" s="33" customFormat="1" x14ac:dyDescent="0.2">
      <c r="A34" s="1"/>
      <c r="B34" s="65"/>
      <c r="C34" s="63" t="s">
        <v>162</v>
      </c>
      <c r="D34" s="101">
        <f>'Historical Expenditure'!D33*Inflation!C$10</f>
        <v>0</v>
      </c>
      <c r="E34" s="101">
        <f>'Historical Expenditure'!E33*Inflation!D$10</f>
        <v>0</v>
      </c>
      <c r="F34" s="101">
        <f>'Historical Expenditure'!F33*Inflation!E$10</f>
        <v>0</v>
      </c>
      <c r="G34" s="101">
        <f>'Historical Expenditure'!G33*Inflation!F$10</f>
        <v>0</v>
      </c>
      <c r="H34" s="101">
        <f>'Historical Expenditure'!H33*Inflation!G$10</f>
        <v>0</v>
      </c>
      <c r="I34" s="101">
        <f>'Historical Expenditure'!I33*Inflation!H$10</f>
        <v>0</v>
      </c>
      <c r="J34" s="101">
        <f>'Historical Expenditure'!J33*Inflation!I$10</f>
        <v>0</v>
      </c>
      <c r="K34" s="101">
        <f>'Historical Expenditure'!K33*Inflation!J$10</f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59"/>
      <c r="T34" s="1"/>
      <c r="U34" s="1"/>
      <c r="V34" s="1"/>
      <c r="W34" s="1"/>
      <c r="X34" s="1"/>
    </row>
    <row r="35" spans="1:24" s="33" customFormat="1" x14ac:dyDescent="0.2">
      <c r="A35" s="1"/>
      <c r="B35" s="65"/>
      <c r="C35" s="63" t="s">
        <v>163</v>
      </c>
      <c r="D35" s="101">
        <f>'Historical Expenditure'!D34*Inflation!C$10</f>
        <v>0</v>
      </c>
      <c r="E35" s="101">
        <f>'Historical Expenditure'!E34*Inflation!D$10</f>
        <v>0</v>
      </c>
      <c r="F35" s="101">
        <f>'Historical Expenditure'!F34*Inflation!E$10</f>
        <v>0</v>
      </c>
      <c r="G35" s="101">
        <f>'Historical Expenditure'!G34*Inflation!F$10</f>
        <v>0</v>
      </c>
      <c r="H35" s="101">
        <f>'Historical Expenditure'!H34*Inflation!G$10</f>
        <v>0</v>
      </c>
      <c r="I35" s="101">
        <f>'Historical Expenditure'!I34*Inflation!H$10</f>
        <v>0</v>
      </c>
      <c r="J35" s="101">
        <f>'Historical Expenditure'!J34*Inflation!I$10</f>
        <v>0</v>
      </c>
      <c r="K35" s="101">
        <f>'Historical Expenditure'!K34*Inflation!J$10</f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59"/>
      <c r="T35" s="1"/>
      <c r="U35" s="1"/>
      <c r="V35" s="1"/>
      <c r="W35" s="1"/>
      <c r="X35" s="1"/>
    </row>
    <row r="36" spans="1:24" s="33" customFormat="1" x14ac:dyDescent="0.2">
      <c r="A36" s="1"/>
      <c r="B36" s="65"/>
      <c r="C36" s="63" t="s">
        <v>164</v>
      </c>
      <c r="D36" s="101">
        <f>'Historical Expenditure'!D35*Inflation!C$10</f>
        <v>0</v>
      </c>
      <c r="E36" s="101">
        <f>'Historical Expenditure'!E35*Inflation!D$10</f>
        <v>0</v>
      </c>
      <c r="F36" s="101">
        <f>'Historical Expenditure'!F35*Inflation!E$10</f>
        <v>0</v>
      </c>
      <c r="G36" s="101">
        <f>'Historical Expenditure'!G35*Inflation!F$10</f>
        <v>0</v>
      </c>
      <c r="H36" s="101">
        <f>'Historical Expenditure'!H35*Inflation!G$10</f>
        <v>0</v>
      </c>
      <c r="I36" s="101">
        <f>'Historical Expenditure'!I35*Inflation!H$10</f>
        <v>0</v>
      </c>
      <c r="J36" s="101">
        <f>'Historical Expenditure'!J35*Inflation!I$10</f>
        <v>0</v>
      </c>
      <c r="K36" s="101">
        <f>'Historical Expenditure'!K35*Inflation!J$10</f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59"/>
      <c r="T36" s="1"/>
      <c r="U36" s="1"/>
      <c r="V36" s="1"/>
      <c r="W36" s="1"/>
      <c r="X36" s="1"/>
    </row>
    <row r="37" spans="1:24" s="33" customFormat="1" x14ac:dyDescent="0.2">
      <c r="A37" s="1"/>
      <c r="B37" s="65"/>
      <c r="C37" s="63" t="s">
        <v>165</v>
      </c>
      <c r="D37" s="101">
        <f>'Historical Expenditure'!D36*Inflation!C$10</f>
        <v>0</v>
      </c>
      <c r="E37" s="101">
        <f>'Historical Expenditure'!E36*Inflation!D$10</f>
        <v>0</v>
      </c>
      <c r="F37" s="101">
        <f>'Historical Expenditure'!F36*Inflation!E$10</f>
        <v>0</v>
      </c>
      <c r="G37" s="101">
        <f>'Historical Expenditure'!G36*Inflation!F$10</f>
        <v>0</v>
      </c>
      <c r="H37" s="101">
        <f>'Historical Expenditure'!H36*Inflation!G$10</f>
        <v>0</v>
      </c>
      <c r="I37" s="101">
        <f>'Historical Expenditure'!I36*Inflation!H$10</f>
        <v>0</v>
      </c>
      <c r="J37" s="101">
        <f>'Historical Expenditure'!J36*Inflation!I$10</f>
        <v>0</v>
      </c>
      <c r="K37" s="101">
        <f>'Historical Expenditure'!K36*Inflation!J$10</f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59"/>
      <c r="T37" s="1"/>
      <c r="U37" s="1"/>
      <c r="V37" s="1"/>
      <c r="W37" s="1"/>
      <c r="X37" s="1"/>
    </row>
    <row r="38" spans="1:24" s="33" customFormat="1" x14ac:dyDescent="0.2">
      <c r="A38" s="1"/>
      <c r="B38" s="66"/>
      <c r="C38" s="63" t="s">
        <v>166</v>
      </c>
      <c r="D38" s="98">
        <f t="shared" ref="D38:R38" si="3">SUM(D39:D40)</f>
        <v>0</v>
      </c>
      <c r="E38" s="98">
        <f t="shared" si="3"/>
        <v>10561716.906742619</v>
      </c>
      <c r="F38" s="98">
        <f t="shared" si="3"/>
        <v>29519031.483155914</v>
      </c>
      <c r="G38" s="98">
        <f t="shared" si="3"/>
        <v>28723389.49134459</v>
      </c>
      <c r="H38" s="98">
        <f t="shared" si="3"/>
        <v>24479372.640556626</v>
      </c>
      <c r="I38" s="98">
        <f t="shared" si="3"/>
        <v>37469847.779149324</v>
      </c>
      <c r="J38" s="98">
        <f t="shared" si="3"/>
        <v>61716045.84228842</v>
      </c>
      <c r="K38" s="98">
        <f t="shared" si="3"/>
        <v>74975839.9611018</v>
      </c>
      <c r="L38" s="98">
        <f t="shared" si="3"/>
        <v>69107679.691588059</v>
      </c>
      <c r="M38" s="98">
        <f t="shared" ca="1" si="3"/>
        <v>121076620.69830382</v>
      </c>
      <c r="N38" s="98">
        <f t="shared" ca="1" si="3"/>
        <v>47582448.832122259</v>
      </c>
      <c r="O38" s="98">
        <f t="shared" ca="1" si="3"/>
        <v>60754988.654857084</v>
      </c>
      <c r="P38" s="98">
        <f t="shared" ca="1" si="3"/>
        <v>23323585.95041981</v>
      </c>
      <c r="Q38" s="98">
        <f t="shared" ca="1" si="3"/>
        <v>5277571.2229443453</v>
      </c>
      <c r="R38" s="98">
        <f t="shared" si="3"/>
        <v>0</v>
      </c>
      <c r="S38" s="59"/>
      <c r="T38" s="1"/>
      <c r="U38" s="1"/>
      <c r="V38" s="1"/>
      <c r="W38" s="1"/>
      <c r="X38" s="1"/>
    </row>
    <row r="39" spans="1:24" s="33" customFormat="1" x14ac:dyDescent="0.2">
      <c r="A39" s="1"/>
      <c r="B39" s="67"/>
      <c r="C39" s="70" t="s">
        <v>237</v>
      </c>
      <c r="D39" s="101">
        <f>'Historical Expenditure'!D38*Inflation!C$10</f>
        <v>0</v>
      </c>
      <c r="E39" s="101">
        <f>'Historical Expenditure'!E38*Inflation!D$10</f>
        <v>10522297.300907983</v>
      </c>
      <c r="F39" s="101">
        <f>'Historical Expenditure'!F38*Inflation!E$10</f>
        <v>28115805.2811548</v>
      </c>
      <c r="G39" s="101">
        <f>'Historical Expenditure'!G38*Inflation!F$10</f>
        <v>27210511.901288658</v>
      </c>
      <c r="H39" s="101">
        <f>'Historical Expenditure'!H38*Inflation!G$10</f>
        <v>14689428.27606182</v>
      </c>
      <c r="I39" s="101">
        <f>'Historical Expenditure'!I38*Inflation!H$10</f>
        <v>9492381.345660951</v>
      </c>
      <c r="J39" s="101">
        <f>'Historical Expenditure'!J38*Inflation!I$10</f>
        <v>6363465.5717046894</v>
      </c>
      <c r="K39" s="101">
        <f>'Historical Expenditure'!K38*Inflation!J$10</f>
        <v>1925974.0165273454</v>
      </c>
      <c r="L39" s="103">
        <f t="shared" ref="L39:R39" si="4">L10</f>
        <v>1250606.6598254319</v>
      </c>
      <c r="M39" s="103">
        <f t="shared" si="4"/>
        <v>625303.32991271594</v>
      </c>
      <c r="N39" s="103">
        <f t="shared" si="4"/>
        <v>0</v>
      </c>
      <c r="O39" s="103">
        <f t="shared" si="4"/>
        <v>0</v>
      </c>
      <c r="P39" s="103">
        <f t="shared" si="4"/>
        <v>0</v>
      </c>
      <c r="Q39" s="103">
        <f t="shared" si="4"/>
        <v>0</v>
      </c>
      <c r="R39" s="102">
        <f t="shared" si="4"/>
        <v>0</v>
      </c>
      <c r="S39" s="59"/>
      <c r="T39" s="1"/>
      <c r="U39" s="1"/>
      <c r="V39" s="1"/>
      <c r="W39" s="1"/>
      <c r="X39" s="1"/>
    </row>
    <row r="40" spans="1:24" s="33" customFormat="1" x14ac:dyDescent="0.2">
      <c r="A40" s="1"/>
      <c r="B40" s="67"/>
      <c r="C40" s="70" t="s">
        <v>152</v>
      </c>
      <c r="D40" s="101">
        <f>'Historical Expenditure'!D39*Inflation!C$10</f>
        <v>0</v>
      </c>
      <c r="E40" s="101">
        <f>'Historical Expenditure'!E39*Inflation!D$10</f>
        <v>39419.605834636983</v>
      </c>
      <c r="F40" s="101">
        <f>'Historical Expenditure'!F39*Inflation!E$10</f>
        <v>1403226.2020011118</v>
      </c>
      <c r="G40" s="101">
        <f>'Historical Expenditure'!G39*Inflation!F$10</f>
        <v>1512877.5900559309</v>
      </c>
      <c r="H40" s="101">
        <f>'Historical Expenditure'!H39*Inflation!G$10</f>
        <v>9789944.3644948062</v>
      </c>
      <c r="I40" s="101">
        <f>'Historical Expenditure'!I39*Inflation!H$10</f>
        <v>27977466.433488373</v>
      </c>
      <c r="J40" s="101">
        <f>'Historical Expenditure'!J39*Inflation!I$10</f>
        <v>55352580.270583734</v>
      </c>
      <c r="K40" s="101">
        <f>'Historical Expenditure'!K39*Inflation!J$10</f>
        <v>73049865.94457446</v>
      </c>
      <c r="L40" s="104">
        <f t="shared" ref="L40:R40" si="5">SUM(L14:L19)</f>
        <v>67857073.03176263</v>
      </c>
      <c r="M40" s="104">
        <f t="shared" ca="1" si="5"/>
        <v>120451317.3683911</v>
      </c>
      <c r="N40" s="104">
        <f t="shared" ca="1" si="5"/>
        <v>47582448.832122259</v>
      </c>
      <c r="O40" s="104">
        <f t="shared" ca="1" si="5"/>
        <v>60754988.654857084</v>
      </c>
      <c r="P40" s="104">
        <f t="shared" ca="1" si="5"/>
        <v>23323585.95041981</v>
      </c>
      <c r="Q40" s="104">
        <f t="shared" ca="1" si="5"/>
        <v>5277571.2229443453</v>
      </c>
      <c r="R40" s="102">
        <f t="shared" si="5"/>
        <v>0</v>
      </c>
      <c r="S40" s="59"/>
      <c r="T40" s="1"/>
      <c r="U40" s="1"/>
      <c r="V40" s="1"/>
      <c r="W40" s="1"/>
      <c r="X40" s="1"/>
    </row>
    <row r="41" spans="1:24" s="33" customFormat="1" x14ac:dyDescent="0.2">
      <c r="A41" s="1"/>
      <c r="B41" s="40"/>
      <c r="C41" s="44" t="s">
        <v>47</v>
      </c>
      <c r="D41" s="99">
        <f t="shared" ref="D41:R41" si="6">SUM(D30:D38)</f>
        <v>0</v>
      </c>
      <c r="E41" s="99">
        <f t="shared" si="6"/>
        <v>10561716.906742619</v>
      </c>
      <c r="F41" s="99">
        <f t="shared" si="6"/>
        <v>29519031.483155914</v>
      </c>
      <c r="G41" s="99">
        <f t="shared" si="6"/>
        <v>28723389.49134459</v>
      </c>
      <c r="H41" s="99">
        <f t="shared" si="6"/>
        <v>24479372.640556626</v>
      </c>
      <c r="I41" s="99">
        <f t="shared" si="6"/>
        <v>37469847.779149324</v>
      </c>
      <c r="J41" s="99">
        <f t="shared" si="6"/>
        <v>61716045.84228842</v>
      </c>
      <c r="K41" s="99">
        <f t="shared" si="6"/>
        <v>74975839.9611018</v>
      </c>
      <c r="L41" s="99">
        <f t="shared" si="6"/>
        <v>69107679.691588059</v>
      </c>
      <c r="M41" s="99">
        <f t="shared" ca="1" si="6"/>
        <v>121076620.69830382</v>
      </c>
      <c r="N41" s="99">
        <f t="shared" ca="1" si="6"/>
        <v>47582448.832122259</v>
      </c>
      <c r="O41" s="99">
        <f t="shared" ca="1" si="6"/>
        <v>60754988.654857084</v>
      </c>
      <c r="P41" s="99">
        <f t="shared" ca="1" si="6"/>
        <v>23323585.95041981</v>
      </c>
      <c r="Q41" s="99">
        <f t="shared" ca="1" si="6"/>
        <v>5277571.2229443453</v>
      </c>
      <c r="R41" s="99">
        <f t="shared" si="6"/>
        <v>0</v>
      </c>
      <c r="S41" s="59"/>
      <c r="T41" s="1"/>
      <c r="U41" s="1"/>
      <c r="V41" s="1"/>
      <c r="W41" s="1"/>
      <c r="X41" s="1"/>
    </row>
    <row r="42" spans="1:24" s="33" customFormat="1" x14ac:dyDescent="0.2">
      <c r="A42" s="1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1"/>
      <c r="M42" s="1"/>
      <c r="N42" s="1"/>
      <c r="O42" s="1"/>
      <c r="P42" s="1"/>
      <c r="Q42" s="1"/>
      <c r="R42" s="1"/>
      <c r="S42" s="59"/>
      <c r="T42" s="1"/>
      <c r="U42" s="1"/>
      <c r="V42" s="1"/>
      <c r="W42" s="1"/>
      <c r="X42" s="1"/>
    </row>
    <row r="43" spans="1:24" s="33" customFormat="1" x14ac:dyDescent="0.2">
      <c r="A43" s="1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1"/>
      <c r="N43" s="1"/>
      <c r="O43" s="1"/>
      <c r="P43" s="1"/>
      <c r="Q43" s="1"/>
      <c r="R43" s="1"/>
      <c r="S43" s="59"/>
      <c r="T43" s="1"/>
      <c r="U43" s="1"/>
      <c r="V43" s="1"/>
      <c r="W43" s="1"/>
      <c r="X43" s="1"/>
    </row>
    <row r="44" spans="1:24" s="33" customFormat="1" x14ac:dyDescent="0.2">
      <c r="A44" s="1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33" customFormat="1" x14ac:dyDescent="0.2">
      <c r="A45" s="1"/>
      <c r="C45" s="40"/>
      <c r="D45" s="40"/>
      <c r="E45" s="40"/>
      <c r="F45" s="40"/>
      <c r="G45" s="40"/>
      <c r="H45" s="40"/>
      <c r="I45" s="40"/>
      <c r="J45" s="40"/>
      <c r="K45" s="4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33" customFormat="1" x14ac:dyDescent="0.2">
      <c r="A46" s="1"/>
      <c r="B46" s="41"/>
      <c r="C46" s="40"/>
      <c r="D46" s="40"/>
      <c r="E46" s="40"/>
      <c r="F46" s="40"/>
      <c r="G46" s="40"/>
      <c r="H46" s="40"/>
      <c r="I46" s="40"/>
      <c r="J46" s="40"/>
      <c r="K46" s="4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33" customFormat="1" x14ac:dyDescent="0.2">
      <c r="A47" s="1"/>
      <c r="B47" s="39" t="s">
        <v>218</v>
      </c>
      <c r="C47" s="40"/>
      <c r="D47" s="40"/>
      <c r="E47" s="40"/>
      <c r="F47" s="40"/>
      <c r="G47" s="40"/>
      <c r="H47" s="40"/>
      <c r="I47" s="40"/>
      <c r="J47" s="40"/>
      <c r="K47" s="4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33" customFormat="1" x14ac:dyDescent="0.2">
      <c r="A48" s="1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33" customFormat="1" x14ac:dyDescent="0.2">
      <c r="A49" s="1"/>
      <c r="B49" s="40"/>
      <c r="C49" s="40"/>
      <c r="D49" s="160" t="str">
        <f>"$ "&amp; Inflation!$C$4</f>
        <v>$ 2021</v>
      </c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9"/>
      <c r="S49" s="1"/>
      <c r="T49" s="1"/>
      <c r="U49" s="1"/>
      <c r="V49" s="1"/>
      <c r="W49" s="1"/>
      <c r="X49" s="1"/>
    </row>
    <row r="50" spans="1:24" s="33" customFormat="1" x14ac:dyDescent="0.2">
      <c r="A50" s="1"/>
      <c r="B50" s="61" t="s">
        <v>167</v>
      </c>
      <c r="C50" s="17" t="s">
        <v>168</v>
      </c>
      <c r="D50" s="60" t="s">
        <v>195</v>
      </c>
      <c r="E50" s="17" t="s">
        <v>196</v>
      </c>
      <c r="F50" s="17" t="s">
        <v>197</v>
      </c>
      <c r="G50" s="17" t="s">
        <v>198</v>
      </c>
      <c r="H50" s="17" t="s">
        <v>199</v>
      </c>
      <c r="I50" s="17" t="s">
        <v>200</v>
      </c>
      <c r="J50" s="17" t="s">
        <v>201</v>
      </c>
      <c r="K50" s="17" t="s">
        <v>202</v>
      </c>
      <c r="L50" s="17" t="s">
        <v>183</v>
      </c>
      <c r="M50" s="17" t="s">
        <v>184</v>
      </c>
      <c r="N50" s="17" t="s">
        <v>185</v>
      </c>
      <c r="O50" s="17" t="s">
        <v>186</v>
      </c>
      <c r="P50" s="17" t="s">
        <v>187</v>
      </c>
      <c r="Q50" s="17" t="s">
        <v>188</v>
      </c>
      <c r="R50" s="17" t="s">
        <v>189</v>
      </c>
      <c r="S50" s="1"/>
      <c r="T50" s="1"/>
      <c r="U50" s="1"/>
      <c r="V50" s="1"/>
      <c r="W50" s="1"/>
      <c r="X50" s="1"/>
    </row>
    <row r="51" spans="1:24" s="33" customFormat="1" x14ac:dyDescent="0.2">
      <c r="A51" s="1"/>
      <c r="B51" s="71" t="s">
        <v>169</v>
      </c>
      <c r="C51" s="68" t="s">
        <v>171</v>
      </c>
      <c r="D51" s="101">
        <f>'Historical Expenditure'!D50*Inflation!C$10</f>
        <v>4601485.9205923686</v>
      </c>
      <c r="E51" s="101">
        <f>'Historical Expenditure'!E50*Inflation!D$10</f>
        <v>4766957.3298967024</v>
      </c>
      <c r="F51" s="101">
        <f>'Historical Expenditure'!F50*Inflation!E$10</f>
        <v>315607.39287540672</v>
      </c>
      <c r="G51" s="101">
        <f>'Historical Expenditure'!G50*Inflation!F$10</f>
        <v>681939.48610838072</v>
      </c>
      <c r="H51" s="101">
        <f>'Historical Expenditure'!H50*Inflation!G$10</f>
        <v>2276928.0949863382</v>
      </c>
      <c r="I51" s="101">
        <f>'Historical Expenditure'!I50*Inflation!H$10</f>
        <v>4505478.8083720934</v>
      </c>
      <c r="J51" s="101">
        <f>'Historical Expenditure'!J50*Inflation!I$10</f>
        <v>8032249.1253870139</v>
      </c>
      <c r="K51" s="101">
        <f>'Historical Expenditure'!K50*Inflation!J$10</f>
        <v>12361394.405754561</v>
      </c>
      <c r="L51" s="101">
        <f t="shared" ref="L51:R51" si="7">L11</f>
        <v>5950045.393071387</v>
      </c>
      <c r="M51" s="101">
        <f t="shared" si="7"/>
        <v>0</v>
      </c>
      <c r="N51" s="101">
        <f t="shared" si="7"/>
        <v>0</v>
      </c>
      <c r="O51" s="101">
        <f t="shared" si="7"/>
        <v>0</v>
      </c>
      <c r="P51" s="101">
        <f t="shared" si="7"/>
        <v>0</v>
      </c>
      <c r="Q51" s="101">
        <f t="shared" si="7"/>
        <v>0</v>
      </c>
      <c r="R51" s="101">
        <f t="shared" si="7"/>
        <v>0</v>
      </c>
      <c r="S51" s="1"/>
      <c r="T51" s="1"/>
      <c r="U51" s="1"/>
      <c r="V51" s="1"/>
      <c r="W51" s="1"/>
      <c r="X51" s="1"/>
    </row>
    <row r="52" spans="1:24" s="33" customFormat="1" x14ac:dyDescent="0.2">
      <c r="A52" s="1"/>
      <c r="B52" s="65" t="s">
        <v>170</v>
      </c>
      <c r="C52" s="68" t="s">
        <v>172</v>
      </c>
      <c r="D52" s="101">
        <f>'Historical Expenditure'!D51*Inflation!C$10</f>
        <v>85447.458144463628</v>
      </c>
      <c r="E52" s="101">
        <f>'Historical Expenditure'!E51*Inflation!D$10</f>
        <v>45691.14422400987</v>
      </c>
      <c r="F52" s="101">
        <f>'Historical Expenditure'!F51*Inflation!E$10</f>
        <v>67450.191097283823</v>
      </c>
      <c r="G52" s="101">
        <f>'Historical Expenditure'!G51*Inflation!F$10</f>
        <v>63549.293870923226</v>
      </c>
      <c r="H52" s="101">
        <f>'Historical Expenditure'!H51*Inflation!G$10</f>
        <v>11378.536619452312</v>
      </c>
      <c r="I52" s="101">
        <f>'Historical Expenditure'!I51*Inflation!H$10</f>
        <v>568.02883720930231</v>
      </c>
      <c r="J52" s="101">
        <f>'Historical Expenditure'!J51*Inflation!I$10</f>
        <v>0</v>
      </c>
      <c r="K52" s="101">
        <f>'Historical Expenditure'!K51*Inflation!J$10</f>
        <v>0</v>
      </c>
      <c r="L52" s="101">
        <f t="shared" ref="L52:R52" si="8">L13</f>
        <v>2692385.5288824802</v>
      </c>
      <c r="M52" s="101">
        <f t="shared" si="8"/>
        <v>4081672.6756696599</v>
      </c>
      <c r="N52" s="101">
        <f t="shared" si="8"/>
        <v>10387493.555932004</v>
      </c>
      <c r="O52" s="101">
        <f t="shared" si="8"/>
        <v>5922848.5818694653</v>
      </c>
      <c r="P52" s="101">
        <f t="shared" si="8"/>
        <v>1696468.1737658407</v>
      </c>
      <c r="Q52" s="101">
        <f t="shared" si="8"/>
        <v>1696468.1737658407</v>
      </c>
      <c r="R52" s="101">
        <f t="shared" si="8"/>
        <v>1696468.1737658407</v>
      </c>
      <c r="S52" s="1"/>
      <c r="T52" s="1"/>
      <c r="U52" s="1"/>
      <c r="V52" s="1"/>
      <c r="W52" s="1"/>
      <c r="X52" s="1"/>
    </row>
    <row r="53" spans="1:24" s="33" customFormat="1" x14ac:dyDescent="0.2">
      <c r="A53" s="1"/>
      <c r="B53" s="66"/>
      <c r="C53" s="68"/>
      <c r="D53" s="101">
        <f>'Historical Expenditure'!D52*Inflation!C$10</f>
        <v>0</v>
      </c>
      <c r="E53" s="101">
        <f>'Historical Expenditure'!E52*Inflation!D$10</f>
        <v>0</v>
      </c>
      <c r="F53" s="101">
        <f>'Historical Expenditure'!F52*Inflation!E$10</f>
        <v>0</v>
      </c>
      <c r="G53" s="101">
        <f>'Historical Expenditure'!G52*Inflation!F$10</f>
        <v>0</v>
      </c>
      <c r="H53" s="101">
        <f>'Historical Expenditure'!H52*Inflation!G$10</f>
        <v>0</v>
      </c>
      <c r="I53" s="101">
        <f>'Historical Expenditure'!I52*Inflation!H$10</f>
        <v>0</v>
      </c>
      <c r="J53" s="101">
        <f>'Historical Expenditure'!J52*Inflation!I$10</f>
        <v>0</v>
      </c>
      <c r="K53" s="101">
        <f>'Historical Expenditure'!K52*Inflation!J$10</f>
        <v>0</v>
      </c>
      <c r="L53" s="47"/>
      <c r="M53" s="47"/>
      <c r="N53" s="47"/>
      <c r="O53" s="47"/>
      <c r="P53" s="47"/>
      <c r="Q53" s="47"/>
      <c r="R53" s="47"/>
      <c r="S53" s="1"/>
      <c r="T53" s="1"/>
      <c r="U53" s="1"/>
      <c r="V53" s="1"/>
      <c r="W53" s="1"/>
      <c r="X53" s="1"/>
    </row>
    <row r="54" spans="1:24" s="33" customFormat="1" x14ac:dyDescent="0.2">
      <c r="A54" s="1"/>
      <c r="B54" s="40"/>
      <c r="C54" s="44" t="s">
        <v>47</v>
      </c>
      <c r="D54" s="99">
        <f t="shared" ref="D54:F54" si="9">SUM(D51:D53)</f>
        <v>4686933.3787368322</v>
      </c>
      <c r="E54" s="99">
        <f t="shared" si="9"/>
        <v>4812648.4741207119</v>
      </c>
      <c r="F54" s="99">
        <f t="shared" si="9"/>
        <v>383057.58397269051</v>
      </c>
      <c r="G54" s="99">
        <f>SUM(G51:G53)</f>
        <v>745488.77997930394</v>
      </c>
      <c r="H54" s="99">
        <f t="shared" ref="H54:R54" si="10">SUM(H51:H53)</f>
        <v>2288306.6316057905</v>
      </c>
      <c r="I54" s="99">
        <f t="shared" si="10"/>
        <v>4506046.8372093029</v>
      </c>
      <c r="J54" s="99">
        <f t="shared" si="10"/>
        <v>8032249.1253870139</v>
      </c>
      <c r="K54" s="99">
        <f t="shared" si="10"/>
        <v>12361394.405754561</v>
      </c>
      <c r="L54" s="99">
        <f t="shared" si="10"/>
        <v>8642430.9219538681</v>
      </c>
      <c r="M54" s="99">
        <f t="shared" si="10"/>
        <v>4081672.6756696599</v>
      </c>
      <c r="N54" s="99">
        <f t="shared" si="10"/>
        <v>10387493.555932004</v>
      </c>
      <c r="O54" s="99">
        <f t="shared" si="10"/>
        <v>5922848.5818694653</v>
      </c>
      <c r="P54" s="99">
        <f t="shared" si="10"/>
        <v>1696468.1737658407</v>
      </c>
      <c r="Q54" s="99">
        <f t="shared" si="10"/>
        <v>1696468.1737658407</v>
      </c>
      <c r="R54" s="99">
        <f t="shared" si="10"/>
        <v>1696468.1737658407</v>
      </c>
      <c r="S54" s="1"/>
      <c r="T54" s="1"/>
      <c r="U54" s="1"/>
      <c r="V54" s="1"/>
      <c r="W54" s="1"/>
      <c r="X54" s="1"/>
    </row>
    <row r="55" spans="1:24" s="33" customFormat="1" x14ac:dyDescent="0.2">
      <c r="A55" s="1"/>
      <c r="B55" s="1"/>
      <c r="C55" s="1"/>
      <c r="D55" s="100">
        <f t="shared" ref="D55:R55" si="11">D54+D41-D20</f>
        <v>0</v>
      </c>
      <c r="E55" s="100">
        <f t="shared" si="11"/>
        <v>0</v>
      </c>
      <c r="F55" s="100">
        <f t="shared" si="11"/>
        <v>0</v>
      </c>
      <c r="G55" s="100">
        <f t="shared" si="11"/>
        <v>0</v>
      </c>
      <c r="H55" s="100">
        <f t="shared" si="11"/>
        <v>0</v>
      </c>
      <c r="I55" s="100">
        <f t="shared" si="11"/>
        <v>0</v>
      </c>
      <c r="J55" s="100">
        <f t="shared" si="11"/>
        <v>0</v>
      </c>
      <c r="K55" s="100">
        <f t="shared" si="11"/>
        <v>0</v>
      </c>
      <c r="L55" s="100">
        <f t="shared" si="11"/>
        <v>0</v>
      </c>
      <c r="M55" s="100">
        <f t="shared" ca="1" si="11"/>
        <v>0</v>
      </c>
      <c r="N55" s="100">
        <f t="shared" ca="1" si="11"/>
        <v>0</v>
      </c>
      <c r="O55" s="100">
        <f t="shared" ca="1" si="11"/>
        <v>0</v>
      </c>
      <c r="P55" s="100">
        <f t="shared" ca="1" si="11"/>
        <v>0</v>
      </c>
      <c r="Q55" s="100">
        <f t="shared" ca="1" si="11"/>
        <v>0</v>
      </c>
      <c r="R55" s="100">
        <f t="shared" si="11"/>
        <v>0</v>
      </c>
      <c r="S55" s="1"/>
      <c r="T55" s="1"/>
      <c r="U55" s="1"/>
      <c r="V55" s="1"/>
      <c r="W55" s="1"/>
      <c r="X55" s="1"/>
    </row>
    <row r="56" spans="1:24" s="33" customForma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25">
      <c r="A58" s="26"/>
      <c r="B58" s="26" t="s">
        <v>182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1"/>
      <c r="W58" s="1"/>
      <c r="X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idden="1" x14ac:dyDescent="0.2"/>
    <row r="74" spans="1:24" hidden="1" x14ac:dyDescent="0.2"/>
    <row r="75" spans="1:24" hidden="1" x14ac:dyDescent="0.2"/>
    <row r="76" spans="1:24" hidden="1" x14ac:dyDescent="0.2"/>
    <row r="77" spans="1:24" hidden="1" x14ac:dyDescent="0.2"/>
    <row r="78" spans="1:24" hidden="1" x14ac:dyDescent="0.2"/>
    <row r="79" spans="1:24" hidden="1" x14ac:dyDescent="0.2"/>
    <row r="80" spans="1:24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x14ac:dyDescent="0.2"/>
  </sheetData>
  <sortState xmlns:xlrd2="http://schemas.microsoft.com/office/spreadsheetml/2017/richdata2" ref="B8:M15">
    <sortCondition ref="B8"/>
  </sortState>
  <mergeCells count="3">
    <mergeCell ref="D6:R6"/>
    <mergeCell ref="D28:R28"/>
    <mergeCell ref="D49:R49"/>
  </mergeCells>
  <conditionalFormatting sqref="R2">
    <cfRule type="expression" dxfId="2" priority="1">
      <formula>R2="Check!"</formula>
    </cfRule>
  </conditionalFormatting>
  <hyperlinks>
    <hyperlink ref="R1" location="Menu!A1" display="Menu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1"/>
  </sheetPr>
  <dimension ref="A1:R101"/>
  <sheetViews>
    <sheetView zoomScaleNormal="100" workbookViewId="0">
      <pane ySplit="7" topLeftCell="A8" activePane="bottomLeft" state="frozen"/>
      <selection activeCell="A2" sqref="A2"/>
      <selection pane="bottomLeft" activeCell="B4" sqref="B4"/>
    </sheetView>
  </sheetViews>
  <sheetFormatPr defaultColWidth="0" defaultRowHeight="12.75" customHeight="1" zeroHeight="1" x14ac:dyDescent="0.2"/>
  <cols>
    <col min="1" max="1" width="3.625" style="33" customWidth="1"/>
    <col min="2" max="2" width="7.625" style="33" customWidth="1"/>
    <col min="3" max="3" width="34" style="33" bestFit="1" customWidth="1"/>
    <col min="4" max="5" width="2.625" style="33" customWidth="1"/>
    <col min="6" max="12" width="9.625" style="33" customWidth="1"/>
    <col min="13" max="13" width="3.625" style="33" customWidth="1"/>
    <col min="14" max="15" width="9" style="33" hidden="1" customWidth="1"/>
    <col min="16" max="18" width="0" style="33" hidden="1" customWidth="1"/>
    <col min="19" max="16384" width="9" style="33" hidden="1"/>
  </cols>
  <sheetData>
    <row r="1" spans="1:15" ht="18" x14ac:dyDescent="0.25">
      <c r="A1" s="24" t="s">
        <v>233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7" t="s">
        <v>39</v>
      </c>
      <c r="M1" s="24"/>
      <c r="N1" s="24"/>
      <c r="O1" s="24"/>
    </row>
    <row r="2" spans="1:15" ht="15.75" x14ac:dyDescent="0.25">
      <c r="A2" s="26" t="str">
        <f ca="1">RIGHT(CELL("filename", $A$1), LEN(CELL("filename", $A$1)) - SEARCH("]", CELL("filename", $A$1)))</f>
        <v>Direct Capex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40</v>
      </c>
      <c r="L2" s="31" t="str">
        <f ca="1">IF(SUM(F8:L91)*1000=(SUM('Forecast Expenditure'!L20:R20)),"OK","Check!")</f>
        <v>OK</v>
      </c>
      <c r="M2" s="26"/>
      <c r="N2" s="26"/>
      <c r="O2" s="26"/>
    </row>
    <row r="3" spans="1:15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">
      <c r="A4" s="25"/>
      <c r="B4" s="123" t="s">
        <v>53</v>
      </c>
      <c r="C4" s="1"/>
      <c r="D4" s="1"/>
      <c r="E4" s="1"/>
      <c r="F4" s="1"/>
      <c r="G4" s="1"/>
      <c r="H4" s="1"/>
      <c r="I4" s="1"/>
      <c r="J4" s="1"/>
      <c r="K4" s="1"/>
      <c r="L4" s="1"/>
      <c r="M4" s="25"/>
      <c r="N4" s="25"/>
      <c r="O4" s="25"/>
    </row>
    <row r="5" spans="1:15" x14ac:dyDescent="0.2">
      <c r="A5" s="25"/>
      <c r="B5" s="1"/>
      <c r="C5" s="1"/>
      <c r="D5" s="1"/>
      <c r="E5" s="1"/>
      <c r="F5" s="17" t="s">
        <v>183</v>
      </c>
      <c r="G5" s="17" t="s">
        <v>184</v>
      </c>
      <c r="H5" s="17" t="s">
        <v>185</v>
      </c>
      <c r="I5" s="17" t="s">
        <v>186</v>
      </c>
      <c r="J5" s="17" t="s">
        <v>187</v>
      </c>
      <c r="K5" s="17" t="s">
        <v>188</v>
      </c>
      <c r="L5" s="17" t="s">
        <v>189</v>
      </c>
      <c r="M5" s="25"/>
      <c r="N5" s="25"/>
      <c r="O5" s="25"/>
    </row>
    <row r="6" spans="1:15" x14ac:dyDescent="0.2">
      <c r="A6" s="25"/>
      <c r="B6" s="161" t="s">
        <v>45</v>
      </c>
      <c r="C6" s="161" t="s">
        <v>48</v>
      </c>
      <c r="D6" s="1"/>
      <c r="E6" s="1"/>
      <c r="F6" s="17" t="s">
        <v>190</v>
      </c>
      <c r="G6" s="17" t="s">
        <v>190</v>
      </c>
      <c r="H6" s="17" t="s">
        <v>190</v>
      </c>
      <c r="I6" s="17" t="s">
        <v>190</v>
      </c>
      <c r="J6" s="17" t="s">
        <v>190</v>
      </c>
      <c r="K6" s="17" t="s">
        <v>190</v>
      </c>
      <c r="L6" s="17" t="s">
        <v>190</v>
      </c>
      <c r="M6" s="1"/>
      <c r="N6" s="1"/>
      <c r="O6" s="1"/>
    </row>
    <row r="7" spans="1:15" x14ac:dyDescent="0.2">
      <c r="A7" s="25"/>
      <c r="B7" s="162"/>
      <c r="C7" s="162"/>
      <c r="D7" s="1"/>
      <c r="E7" s="1"/>
      <c r="F7" s="17" t="s">
        <v>54</v>
      </c>
      <c r="G7" s="17" t="s">
        <v>54</v>
      </c>
      <c r="H7" s="17" t="s">
        <v>54</v>
      </c>
      <c r="I7" s="17" t="s">
        <v>54</v>
      </c>
      <c r="J7" s="17" t="s">
        <v>54</v>
      </c>
      <c r="K7" s="17" t="s">
        <v>54</v>
      </c>
      <c r="L7" s="17" t="s">
        <v>54</v>
      </c>
      <c r="M7" s="1"/>
      <c r="N7" s="1"/>
      <c r="O7" s="1"/>
    </row>
    <row r="8" spans="1:15" x14ac:dyDescent="0.2">
      <c r="A8" s="25"/>
      <c r="B8" s="50">
        <v>102</v>
      </c>
      <c r="C8" s="51" t="s">
        <v>55</v>
      </c>
      <c r="D8" s="1"/>
      <c r="E8" s="1"/>
      <c r="F8" s="54"/>
      <c r="G8" s="54"/>
      <c r="H8" s="54"/>
      <c r="I8" s="54"/>
      <c r="J8" s="54"/>
      <c r="K8" s="54"/>
      <c r="L8" s="54"/>
      <c r="M8" s="1"/>
      <c r="N8" s="1"/>
      <c r="O8" s="1"/>
    </row>
    <row r="9" spans="1:15" x14ac:dyDescent="0.2">
      <c r="A9" s="25"/>
      <c r="B9" s="52">
        <v>103</v>
      </c>
      <c r="C9" s="53" t="s">
        <v>56</v>
      </c>
      <c r="D9" s="1"/>
      <c r="E9" s="1"/>
      <c r="F9" s="54"/>
      <c r="G9" s="54"/>
      <c r="H9" s="54"/>
      <c r="I9" s="54"/>
      <c r="J9" s="54"/>
      <c r="K9" s="54"/>
      <c r="L9" s="54"/>
      <c r="M9" s="1"/>
      <c r="N9" s="1"/>
      <c r="O9" s="1"/>
    </row>
    <row r="10" spans="1:15" x14ac:dyDescent="0.2">
      <c r="A10" s="25"/>
      <c r="B10" s="52">
        <v>104</v>
      </c>
      <c r="C10" s="53" t="s">
        <v>57</v>
      </c>
      <c r="D10" s="1"/>
      <c r="E10" s="1"/>
      <c r="F10" s="54"/>
      <c r="G10" s="54"/>
      <c r="H10" s="54"/>
      <c r="I10" s="54"/>
      <c r="J10" s="54"/>
      <c r="K10" s="54"/>
      <c r="L10" s="54"/>
      <c r="M10" s="1"/>
      <c r="N10" s="1"/>
      <c r="O10" s="1"/>
    </row>
    <row r="11" spans="1:15" x14ac:dyDescent="0.2">
      <c r="A11" s="25"/>
      <c r="B11" s="52">
        <v>105</v>
      </c>
      <c r="C11" s="53" t="s">
        <v>58</v>
      </c>
      <c r="D11" s="1"/>
      <c r="E11" s="1"/>
      <c r="F11" s="54"/>
      <c r="G11" s="54"/>
      <c r="H11" s="54"/>
      <c r="I11" s="54"/>
      <c r="J11" s="54"/>
      <c r="K11" s="54"/>
      <c r="L11" s="54"/>
      <c r="M11" s="1"/>
      <c r="N11" s="1"/>
      <c r="O11" s="1"/>
    </row>
    <row r="12" spans="1:15" x14ac:dyDescent="0.2">
      <c r="A12" s="25"/>
      <c r="B12" s="52">
        <v>106</v>
      </c>
      <c r="C12" s="53" t="s">
        <v>59</v>
      </c>
      <c r="D12" s="1"/>
      <c r="E12" s="1"/>
      <c r="F12" s="54"/>
      <c r="G12" s="54"/>
      <c r="H12" s="54"/>
      <c r="I12" s="54"/>
      <c r="J12" s="54"/>
      <c r="K12" s="54"/>
      <c r="L12" s="54"/>
      <c r="M12" s="1"/>
      <c r="N12" s="1"/>
      <c r="O12" s="1"/>
    </row>
    <row r="13" spans="1:15" x14ac:dyDescent="0.2">
      <c r="A13" s="25"/>
      <c r="B13" s="52">
        <v>107</v>
      </c>
      <c r="C13" s="53" t="s">
        <v>60</v>
      </c>
      <c r="D13" s="1"/>
      <c r="E13" s="1"/>
      <c r="F13" s="54"/>
      <c r="G13" s="54"/>
      <c r="H13" s="54"/>
      <c r="I13" s="54"/>
      <c r="J13" s="54"/>
      <c r="K13" s="54"/>
      <c r="L13" s="54"/>
      <c r="M13" s="1"/>
      <c r="N13" s="1"/>
      <c r="O13" s="1"/>
    </row>
    <row r="14" spans="1:15" x14ac:dyDescent="0.2">
      <c r="A14" s="25"/>
      <c r="B14" s="52">
        <v>108</v>
      </c>
      <c r="C14" s="53" t="s">
        <v>61</v>
      </c>
      <c r="D14" s="1"/>
      <c r="E14" s="1"/>
      <c r="F14" s="54"/>
      <c r="G14" s="54"/>
      <c r="H14" s="54"/>
      <c r="I14" s="54"/>
      <c r="J14" s="54"/>
      <c r="K14" s="54"/>
      <c r="L14" s="54"/>
      <c r="M14" s="1"/>
      <c r="N14" s="1"/>
      <c r="O14" s="1"/>
    </row>
    <row r="15" spans="1:15" x14ac:dyDescent="0.2">
      <c r="A15" s="25"/>
      <c r="B15" s="52">
        <v>109</v>
      </c>
      <c r="C15" s="53" t="s">
        <v>62</v>
      </c>
      <c r="D15" s="1"/>
      <c r="E15" s="1"/>
      <c r="F15" s="54"/>
      <c r="G15" s="54"/>
      <c r="H15" s="54"/>
      <c r="I15" s="54"/>
      <c r="J15" s="54"/>
      <c r="K15" s="54"/>
      <c r="L15" s="54"/>
      <c r="M15" s="1"/>
      <c r="N15" s="1"/>
      <c r="O15" s="1"/>
    </row>
    <row r="16" spans="1:15" x14ac:dyDescent="0.2">
      <c r="A16" s="25"/>
      <c r="B16" s="52">
        <v>110</v>
      </c>
      <c r="C16" s="53" t="s">
        <v>63</v>
      </c>
      <c r="D16" s="1"/>
      <c r="E16" s="1"/>
      <c r="F16" s="54"/>
      <c r="G16" s="54"/>
      <c r="H16" s="54"/>
      <c r="I16" s="54"/>
      <c r="J16" s="54"/>
      <c r="K16" s="54"/>
      <c r="L16" s="54"/>
      <c r="M16" s="1"/>
      <c r="N16" s="1"/>
      <c r="O16" s="1"/>
    </row>
    <row r="17" spans="1:15" x14ac:dyDescent="0.2">
      <c r="A17" s="25"/>
      <c r="B17" s="52">
        <v>111</v>
      </c>
      <c r="C17" s="53" t="s">
        <v>64</v>
      </c>
      <c r="D17" s="1"/>
      <c r="E17" s="1"/>
      <c r="F17" s="54"/>
      <c r="G17" s="54"/>
      <c r="H17" s="54"/>
      <c r="I17" s="54"/>
      <c r="J17" s="54"/>
      <c r="K17" s="54"/>
      <c r="L17" s="54"/>
      <c r="M17" s="25"/>
      <c r="N17" s="25"/>
      <c r="O17" s="25"/>
    </row>
    <row r="18" spans="1:15" x14ac:dyDescent="0.2">
      <c r="A18" s="25"/>
      <c r="B18" s="52">
        <v>112</v>
      </c>
      <c r="C18" s="53" t="s">
        <v>65</v>
      </c>
      <c r="D18" s="1"/>
      <c r="E18" s="1"/>
      <c r="F18" s="54"/>
      <c r="G18" s="54"/>
      <c r="H18" s="54"/>
      <c r="I18" s="54"/>
      <c r="J18" s="54"/>
      <c r="K18" s="54"/>
      <c r="L18" s="54"/>
      <c r="M18" s="25"/>
      <c r="N18" s="25"/>
      <c r="O18" s="25"/>
    </row>
    <row r="19" spans="1:15" x14ac:dyDescent="0.2">
      <c r="A19" s="25"/>
      <c r="B19" s="52">
        <v>113</v>
      </c>
      <c r="C19" s="53" t="s">
        <v>66</v>
      </c>
      <c r="D19" s="1"/>
      <c r="E19" s="1"/>
      <c r="F19" s="54"/>
      <c r="G19" s="54"/>
      <c r="H19" s="54"/>
      <c r="I19" s="54"/>
      <c r="J19" s="54"/>
      <c r="K19" s="54"/>
      <c r="L19" s="54"/>
      <c r="M19" s="25"/>
      <c r="N19" s="25"/>
      <c r="O19" s="25"/>
    </row>
    <row r="20" spans="1:15" x14ac:dyDescent="0.2">
      <c r="A20" s="25"/>
      <c r="B20" s="52">
        <v>114</v>
      </c>
      <c r="C20" s="53" t="s">
        <v>67</v>
      </c>
      <c r="D20" s="1"/>
      <c r="E20" s="1"/>
      <c r="F20" s="54"/>
      <c r="G20" s="54"/>
      <c r="H20" s="54"/>
      <c r="I20" s="54"/>
      <c r="J20" s="54"/>
      <c r="K20" s="54"/>
      <c r="L20" s="54"/>
      <c r="M20" s="25"/>
      <c r="N20" s="25"/>
      <c r="O20" s="25"/>
    </row>
    <row r="21" spans="1:15" x14ac:dyDescent="0.2">
      <c r="A21" s="25"/>
      <c r="B21" s="52">
        <v>115</v>
      </c>
      <c r="C21" s="53" t="s">
        <v>68</v>
      </c>
      <c r="D21" s="1"/>
      <c r="E21" s="1"/>
      <c r="F21" s="54"/>
      <c r="G21" s="54"/>
      <c r="H21" s="54"/>
      <c r="I21" s="54"/>
      <c r="J21" s="54"/>
      <c r="K21" s="54"/>
      <c r="L21" s="54"/>
      <c r="M21" s="25"/>
      <c r="N21" s="25"/>
      <c r="O21" s="25"/>
    </row>
    <row r="22" spans="1:15" x14ac:dyDescent="0.2">
      <c r="A22" s="25"/>
      <c r="B22" s="52">
        <v>116</v>
      </c>
      <c r="C22" s="53" t="s">
        <v>69</v>
      </c>
      <c r="D22" s="1"/>
      <c r="E22" s="1"/>
      <c r="F22" s="54"/>
      <c r="G22" s="54"/>
      <c r="H22" s="54"/>
      <c r="I22" s="54"/>
      <c r="J22" s="54"/>
      <c r="K22" s="54"/>
      <c r="L22" s="54"/>
      <c r="M22" s="25"/>
      <c r="N22" s="25"/>
      <c r="O22" s="25"/>
    </row>
    <row r="23" spans="1:15" x14ac:dyDescent="0.2">
      <c r="A23" s="25"/>
      <c r="B23" s="52">
        <v>118</v>
      </c>
      <c r="C23" s="53" t="s">
        <v>70</v>
      </c>
      <c r="D23" s="1"/>
      <c r="E23" s="1"/>
      <c r="F23" s="54"/>
      <c r="G23" s="54"/>
      <c r="H23" s="54"/>
      <c r="I23" s="54"/>
      <c r="J23" s="54"/>
      <c r="K23" s="54"/>
      <c r="L23" s="54"/>
      <c r="M23" s="25"/>
      <c r="N23" s="25"/>
      <c r="O23" s="25"/>
    </row>
    <row r="24" spans="1:15" x14ac:dyDescent="0.2">
      <c r="A24" s="25"/>
      <c r="B24" s="52">
        <v>119</v>
      </c>
      <c r="C24" s="53" t="s">
        <v>71</v>
      </c>
      <c r="D24" s="1"/>
      <c r="E24" s="1"/>
      <c r="F24" s="54"/>
      <c r="G24" s="54"/>
      <c r="H24" s="54"/>
      <c r="I24" s="54"/>
      <c r="J24" s="54"/>
      <c r="K24" s="54"/>
      <c r="L24" s="54"/>
      <c r="M24" s="25"/>
      <c r="N24" s="25"/>
      <c r="O24" s="25"/>
    </row>
    <row r="25" spans="1:15" x14ac:dyDescent="0.2">
      <c r="A25" s="25"/>
      <c r="B25" s="52">
        <v>120</v>
      </c>
      <c r="C25" s="53" t="s">
        <v>72</v>
      </c>
      <c r="D25" s="1"/>
      <c r="E25" s="1"/>
      <c r="F25" s="54"/>
      <c r="G25" s="54"/>
      <c r="H25" s="54"/>
      <c r="I25" s="54"/>
      <c r="J25" s="54"/>
      <c r="K25" s="54"/>
      <c r="L25" s="54"/>
      <c r="M25" s="25"/>
      <c r="N25" s="25"/>
      <c r="O25" s="25"/>
    </row>
    <row r="26" spans="1:15" x14ac:dyDescent="0.2">
      <c r="A26" s="25"/>
      <c r="B26" s="52">
        <v>121</v>
      </c>
      <c r="C26" s="53" t="s">
        <v>73</v>
      </c>
      <c r="D26" s="1"/>
      <c r="E26" s="1"/>
      <c r="F26" s="54"/>
      <c r="G26" s="54"/>
      <c r="H26" s="54"/>
      <c r="I26" s="54"/>
      <c r="J26" s="54"/>
      <c r="K26" s="54"/>
      <c r="L26" s="54"/>
      <c r="M26" s="25"/>
      <c r="N26" s="25"/>
      <c r="O26" s="25"/>
    </row>
    <row r="27" spans="1:15" x14ac:dyDescent="0.2">
      <c r="A27" s="25"/>
      <c r="B27" s="52">
        <v>122</v>
      </c>
      <c r="C27" s="53" t="s">
        <v>74</v>
      </c>
      <c r="D27" s="1"/>
      <c r="E27" s="1"/>
      <c r="F27" s="54"/>
      <c r="G27" s="54"/>
      <c r="H27" s="54"/>
      <c r="I27" s="54"/>
      <c r="J27" s="54"/>
      <c r="K27" s="54"/>
      <c r="L27" s="54"/>
      <c r="M27" s="25"/>
      <c r="N27" s="25"/>
      <c r="O27" s="25"/>
    </row>
    <row r="28" spans="1:15" x14ac:dyDescent="0.2">
      <c r="A28" s="25"/>
      <c r="B28" s="52">
        <v>123</v>
      </c>
      <c r="C28" s="53" t="s">
        <v>75</v>
      </c>
      <c r="D28" s="1"/>
      <c r="E28" s="1"/>
      <c r="F28" s="54"/>
      <c r="G28" s="54"/>
      <c r="H28" s="54"/>
      <c r="I28" s="54"/>
      <c r="J28" s="54"/>
      <c r="K28" s="54"/>
      <c r="L28" s="54"/>
      <c r="M28" s="25"/>
      <c r="N28" s="25"/>
      <c r="O28" s="25"/>
    </row>
    <row r="29" spans="1:15" x14ac:dyDescent="0.2">
      <c r="A29" s="25"/>
      <c r="B29" s="52">
        <v>124</v>
      </c>
      <c r="C29" s="53" t="s">
        <v>76</v>
      </c>
      <c r="D29" s="1"/>
      <c r="E29" s="1"/>
      <c r="F29" s="54"/>
      <c r="G29" s="54"/>
      <c r="H29" s="54"/>
      <c r="I29" s="54"/>
      <c r="J29" s="54"/>
      <c r="K29" s="54"/>
      <c r="L29" s="54"/>
      <c r="M29" s="25"/>
      <c r="N29" s="25"/>
      <c r="O29" s="25"/>
    </row>
    <row r="30" spans="1:15" x14ac:dyDescent="0.2">
      <c r="A30" s="25"/>
      <c r="B30" s="52">
        <v>125</v>
      </c>
      <c r="C30" s="53" t="s">
        <v>77</v>
      </c>
      <c r="D30" s="1"/>
      <c r="E30" s="1"/>
      <c r="F30" s="54"/>
      <c r="G30" s="54"/>
      <c r="H30" s="54"/>
      <c r="I30" s="54"/>
      <c r="J30" s="54"/>
      <c r="K30" s="54"/>
      <c r="L30" s="54"/>
      <c r="M30" s="25"/>
      <c r="N30" s="25"/>
      <c r="O30" s="25"/>
    </row>
    <row r="31" spans="1:15" x14ac:dyDescent="0.2">
      <c r="A31" s="25"/>
      <c r="B31" s="52">
        <v>126</v>
      </c>
      <c r="C31" s="53" t="s">
        <v>78</v>
      </c>
      <c r="D31" s="1"/>
      <c r="E31" s="1"/>
      <c r="F31" s="54"/>
      <c r="G31" s="54"/>
      <c r="H31" s="54"/>
      <c r="I31" s="54"/>
      <c r="J31" s="54"/>
      <c r="K31" s="54"/>
      <c r="L31" s="54"/>
      <c r="M31" s="25"/>
      <c r="N31" s="25"/>
      <c r="O31" s="25"/>
    </row>
    <row r="32" spans="1:15" x14ac:dyDescent="0.2">
      <c r="A32" s="25"/>
      <c r="B32" s="52">
        <v>130</v>
      </c>
      <c r="C32" s="53" t="s">
        <v>79</v>
      </c>
      <c r="D32" s="1"/>
      <c r="E32" s="1"/>
      <c r="F32" s="54"/>
      <c r="G32" s="54"/>
      <c r="H32" s="54"/>
      <c r="I32" s="54"/>
      <c r="J32" s="54"/>
      <c r="K32" s="54"/>
      <c r="L32" s="54"/>
      <c r="M32" s="25"/>
      <c r="N32" s="25"/>
      <c r="O32" s="25"/>
    </row>
    <row r="33" spans="1:15" x14ac:dyDescent="0.2">
      <c r="A33" s="25"/>
      <c r="B33" s="52">
        <v>131</v>
      </c>
      <c r="C33" s="53" t="s">
        <v>80</v>
      </c>
      <c r="D33" s="1"/>
      <c r="E33" s="1"/>
      <c r="F33" s="54"/>
      <c r="G33" s="54"/>
      <c r="H33" s="54"/>
      <c r="I33" s="54"/>
      <c r="J33" s="54"/>
      <c r="K33" s="54"/>
      <c r="L33" s="54"/>
      <c r="M33" s="25"/>
      <c r="N33" s="25"/>
      <c r="O33" s="25"/>
    </row>
    <row r="34" spans="1:15" x14ac:dyDescent="0.2">
      <c r="A34" s="25"/>
      <c r="B34" s="52">
        <v>132</v>
      </c>
      <c r="C34" s="53" t="s">
        <v>81</v>
      </c>
      <c r="D34" s="1"/>
      <c r="E34" s="1"/>
      <c r="F34" s="54"/>
      <c r="G34" s="54"/>
      <c r="H34" s="54"/>
      <c r="I34" s="54"/>
      <c r="J34" s="54"/>
      <c r="K34" s="54"/>
      <c r="L34" s="54"/>
      <c r="M34" s="25"/>
      <c r="N34" s="25"/>
      <c r="O34" s="25"/>
    </row>
    <row r="35" spans="1:15" x14ac:dyDescent="0.2">
      <c r="A35" s="25"/>
      <c r="B35" s="52">
        <v>133</v>
      </c>
      <c r="C35" s="53" t="s">
        <v>82</v>
      </c>
      <c r="D35" s="1"/>
      <c r="E35" s="1"/>
      <c r="F35" s="54"/>
      <c r="G35" s="54"/>
      <c r="H35" s="54"/>
      <c r="I35" s="54"/>
      <c r="J35" s="54"/>
      <c r="K35" s="54"/>
      <c r="L35" s="54"/>
      <c r="M35" s="25"/>
      <c r="N35" s="25"/>
      <c r="O35" s="25"/>
    </row>
    <row r="36" spans="1:15" x14ac:dyDescent="0.2">
      <c r="A36" s="25"/>
      <c r="B36" s="52">
        <v>134</v>
      </c>
      <c r="C36" s="53" t="s">
        <v>83</v>
      </c>
      <c r="D36" s="1"/>
      <c r="E36" s="1"/>
      <c r="F36" s="54"/>
      <c r="G36" s="54"/>
      <c r="H36" s="54"/>
      <c r="I36" s="54"/>
      <c r="J36" s="54"/>
      <c r="K36" s="54"/>
      <c r="L36" s="54"/>
      <c r="M36" s="25"/>
      <c r="N36" s="25"/>
      <c r="O36" s="25"/>
    </row>
    <row r="37" spans="1:15" x14ac:dyDescent="0.2">
      <c r="A37" s="25"/>
      <c r="B37" s="52">
        <v>135</v>
      </c>
      <c r="C37" s="53" t="s">
        <v>84</v>
      </c>
      <c r="D37" s="1"/>
      <c r="E37" s="1"/>
      <c r="F37" s="54"/>
      <c r="G37" s="54"/>
      <c r="H37" s="54"/>
      <c r="I37" s="54"/>
      <c r="J37" s="54"/>
      <c r="K37" s="54"/>
      <c r="L37" s="54"/>
      <c r="M37" s="25"/>
      <c r="N37" s="25"/>
      <c r="O37" s="25"/>
    </row>
    <row r="38" spans="1:15" x14ac:dyDescent="0.2">
      <c r="A38" s="25"/>
      <c r="B38" s="52">
        <v>136</v>
      </c>
      <c r="C38" s="53" t="s">
        <v>85</v>
      </c>
      <c r="D38" s="1"/>
      <c r="E38" s="1"/>
      <c r="F38" s="54"/>
      <c r="G38" s="54"/>
      <c r="H38" s="54"/>
      <c r="I38" s="54"/>
      <c r="J38" s="54"/>
      <c r="K38" s="54"/>
      <c r="L38" s="54"/>
      <c r="M38" s="25"/>
      <c r="N38" s="25"/>
      <c r="O38" s="25"/>
    </row>
    <row r="39" spans="1:15" x14ac:dyDescent="0.2">
      <c r="A39" s="25"/>
      <c r="B39" s="52">
        <v>137</v>
      </c>
      <c r="C39" s="53" t="s">
        <v>86</v>
      </c>
      <c r="D39" s="1"/>
      <c r="E39" s="1"/>
      <c r="F39" s="54"/>
      <c r="G39" s="54"/>
      <c r="H39" s="54"/>
      <c r="I39" s="54"/>
      <c r="J39" s="54"/>
      <c r="K39" s="54"/>
      <c r="L39" s="54"/>
      <c r="M39" s="25"/>
      <c r="N39" s="25"/>
      <c r="O39" s="25"/>
    </row>
    <row r="40" spans="1:15" x14ac:dyDescent="0.2">
      <c r="A40" s="25"/>
      <c r="B40" s="52">
        <v>138</v>
      </c>
      <c r="C40" s="53" t="s">
        <v>87</v>
      </c>
      <c r="D40" s="1"/>
      <c r="E40" s="1"/>
      <c r="F40" s="54"/>
      <c r="G40" s="54"/>
      <c r="H40" s="54"/>
      <c r="I40" s="54"/>
      <c r="J40" s="54"/>
      <c r="K40" s="54"/>
      <c r="L40" s="54"/>
      <c r="M40" s="25"/>
      <c r="N40" s="25"/>
      <c r="O40" s="25"/>
    </row>
    <row r="41" spans="1:15" x14ac:dyDescent="0.2">
      <c r="A41" s="25"/>
      <c r="B41" s="52">
        <v>139</v>
      </c>
      <c r="C41" s="53" t="s">
        <v>88</v>
      </c>
      <c r="D41" s="1"/>
      <c r="E41" s="1"/>
      <c r="F41" s="54"/>
      <c r="G41" s="54"/>
      <c r="H41" s="54"/>
      <c r="I41" s="54"/>
      <c r="J41" s="54"/>
      <c r="K41" s="54"/>
      <c r="L41" s="54"/>
      <c r="M41" s="25"/>
      <c r="N41" s="25"/>
      <c r="O41" s="25"/>
    </row>
    <row r="42" spans="1:15" x14ac:dyDescent="0.2">
      <c r="A42" s="25"/>
      <c r="B42" s="52">
        <v>140</v>
      </c>
      <c r="C42" s="53" t="s">
        <v>89</v>
      </c>
      <c r="D42" s="1"/>
      <c r="E42" s="1"/>
      <c r="F42" s="54"/>
      <c r="G42" s="54"/>
      <c r="H42" s="54"/>
      <c r="I42" s="54"/>
      <c r="J42" s="54"/>
      <c r="K42" s="54"/>
      <c r="L42" s="54"/>
      <c r="M42" s="25"/>
      <c r="N42" s="25"/>
      <c r="O42" s="25"/>
    </row>
    <row r="43" spans="1:15" x14ac:dyDescent="0.2">
      <c r="A43" s="25"/>
      <c r="B43" s="52">
        <v>141</v>
      </c>
      <c r="C43" s="53" t="s">
        <v>90</v>
      </c>
      <c r="D43" s="1"/>
      <c r="E43" s="1"/>
      <c r="F43" s="54"/>
      <c r="G43" s="54"/>
      <c r="H43" s="54"/>
      <c r="I43" s="54"/>
      <c r="J43" s="54"/>
      <c r="K43" s="54"/>
      <c r="L43" s="54"/>
      <c r="M43" s="25"/>
      <c r="N43" s="25"/>
      <c r="O43" s="25"/>
    </row>
    <row r="44" spans="1:15" x14ac:dyDescent="0.2">
      <c r="A44" s="25"/>
      <c r="B44" s="52">
        <v>142</v>
      </c>
      <c r="C44" s="53" t="s">
        <v>91</v>
      </c>
      <c r="D44" s="1"/>
      <c r="E44" s="1"/>
      <c r="F44" s="54"/>
      <c r="G44" s="54"/>
      <c r="H44" s="54"/>
      <c r="I44" s="54"/>
      <c r="J44" s="54"/>
      <c r="K44" s="54"/>
      <c r="L44" s="54"/>
      <c r="M44" s="25"/>
      <c r="N44" s="25"/>
      <c r="O44" s="25"/>
    </row>
    <row r="45" spans="1:15" x14ac:dyDescent="0.2">
      <c r="A45" s="25"/>
      <c r="B45" s="52">
        <v>143</v>
      </c>
      <c r="C45" s="53" t="s">
        <v>92</v>
      </c>
      <c r="D45" s="1"/>
      <c r="E45" s="1"/>
      <c r="F45" s="54"/>
      <c r="G45" s="54"/>
      <c r="H45" s="54"/>
      <c r="I45" s="54"/>
      <c r="J45" s="54"/>
      <c r="K45" s="54"/>
      <c r="L45" s="54"/>
      <c r="M45" s="25"/>
      <c r="N45" s="25"/>
      <c r="O45" s="25"/>
    </row>
    <row r="46" spans="1:15" x14ac:dyDescent="0.2">
      <c r="A46" s="25"/>
      <c r="B46" s="52">
        <v>144</v>
      </c>
      <c r="C46" s="53" t="s">
        <v>93</v>
      </c>
      <c r="D46" s="1"/>
      <c r="E46" s="1"/>
      <c r="F46" s="54"/>
      <c r="G46" s="54"/>
      <c r="H46" s="54"/>
      <c r="I46" s="54"/>
      <c r="J46" s="54"/>
      <c r="K46" s="54"/>
      <c r="L46" s="54"/>
      <c r="M46" s="25"/>
      <c r="N46" s="25"/>
      <c r="O46" s="25"/>
    </row>
    <row r="47" spans="1:15" x14ac:dyDescent="0.2">
      <c r="A47" s="25"/>
      <c r="B47" s="52">
        <v>145</v>
      </c>
      <c r="C47" s="53" t="s">
        <v>94</v>
      </c>
      <c r="D47" s="1"/>
      <c r="E47" s="1"/>
      <c r="F47" s="54"/>
      <c r="G47" s="54"/>
      <c r="H47" s="54"/>
      <c r="I47" s="54"/>
      <c r="J47" s="54"/>
      <c r="K47" s="54"/>
      <c r="L47" s="54"/>
      <c r="M47" s="25"/>
      <c r="N47" s="25"/>
      <c r="O47" s="25"/>
    </row>
    <row r="48" spans="1:15" x14ac:dyDescent="0.2">
      <c r="A48" s="1"/>
      <c r="B48" s="52">
        <v>146</v>
      </c>
      <c r="C48" s="53" t="s">
        <v>95</v>
      </c>
      <c r="D48" s="1"/>
      <c r="E48" s="1"/>
      <c r="F48" s="54"/>
      <c r="G48" s="54"/>
      <c r="H48" s="54"/>
      <c r="I48" s="54"/>
      <c r="J48" s="54"/>
      <c r="K48" s="54"/>
      <c r="L48" s="54"/>
      <c r="M48" s="1"/>
      <c r="N48" s="1"/>
      <c r="O48" s="1"/>
    </row>
    <row r="49" spans="1:15" x14ac:dyDescent="0.2">
      <c r="A49" s="1"/>
      <c r="B49" s="52">
        <v>147</v>
      </c>
      <c r="C49" s="53" t="s">
        <v>96</v>
      </c>
      <c r="D49" s="1"/>
      <c r="E49" s="1"/>
      <c r="F49" s="54"/>
      <c r="G49" s="54"/>
      <c r="H49" s="54"/>
      <c r="I49" s="54"/>
      <c r="J49" s="54"/>
      <c r="K49" s="54"/>
      <c r="L49" s="54"/>
      <c r="M49" s="1"/>
      <c r="N49" s="1"/>
      <c r="O49" s="1"/>
    </row>
    <row r="50" spans="1:15" x14ac:dyDescent="0.2">
      <c r="A50" s="1"/>
      <c r="B50" s="52">
        <v>148</v>
      </c>
      <c r="C50" s="53" t="s">
        <v>97</v>
      </c>
      <c r="D50" s="1"/>
      <c r="E50" s="1"/>
      <c r="F50" s="54"/>
      <c r="G50" s="54"/>
      <c r="H50" s="54"/>
      <c r="I50" s="54"/>
      <c r="J50" s="54"/>
      <c r="K50" s="54"/>
      <c r="L50" s="54"/>
      <c r="M50" s="1"/>
      <c r="N50" s="1"/>
      <c r="O50" s="1"/>
    </row>
    <row r="51" spans="1:15" x14ac:dyDescent="0.2">
      <c r="A51" s="1"/>
      <c r="B51" s="52">
        <v>149</v>
      </c>
      <c r="C51" s="53" t="s">
        <v>98</v>
      </c>
      <c r="D51" s="1"/>
      <c r="E51" s="1"/>
      <c r="F51" s="54"/>
      <c r="G51" s="54"/>
      <c r="H51" s="54"/>
      <c r="I51" s="54"/>
      <c r="J51" s="54"/>
      <c r="K51" s="54"/>
      <c r="L51" s="54"/>
      <c r="M51" s="1"/>
      <c r="N51" s="1"/>
      <c r="O51" s="1"/>
    </row>
    <row r="52" spans="1:15" x14ac:dyDescent="0.2">
      <c r="A52" s="1"/>
      <c r="B52" s="52">
        <v>150</v>
      </c>
      <c r="C52" s="53" t="s">
        <v>99</v>
      </c>
      <c r="D52" s="1"/>
      <c r="E52" s="1"/>
      <c r="F52" s="54"/>
      <c r="G52" s="54"/>
      <c r="H52" s="54"/>
      <c r="I52" s="54"/>
      <c r="J52" s="54"/>
      <c r="K52" s="54"/>
      <c r="L52" s="54"/>
      <c r="M52" s="1"/>
      <c r="N52" s="1"/>
      <c r="O52" s="1"/>
    </row>
    <row r="53" spans="1:15" x14ac:dyDescent="0.2">
      <c r="A53" s="1"/>
      <c r="B53" s="52">
        <v>151</v>
      </c>
      <c r="C53" s="53" t="s">
        <v>100</v>
      </c>
      <c r="D53" s="1"/>
      <c r="E53" s="1"/>
      <c r="F53" s="54"/>
      <c r="G53" s="54"/>
      <c r="H53" s="54"/>
      <c r="I53" s="54"/>
      <c r="J53" s="54"/>
      <c r="K53" s="54"/>
      <c r="L53" s="54"/>
      <c r="M53" s="1"/>
      <c r="N53" s="1"/>
      <c r="O53" s="1"/>
    </row>
    <row r="54" spans="1:15" x14ac:dyDescent="0.2">
      <c r="A54" s="1"/>
      <c r="B54" s="52">
        <v>152</v>
      </c>
      <c r="C54" s="53" t="s">
        <v>101</v>
      </c>
      <c r="D54" s="1"/>
      <c r="E54" s="1"/>
      <c r="F54" s="54"/>
      <c r="G54" s="54"/>
      <c r="H54" s="54"/>
      <c r="I54" s="54"/>
      <c r="J54" s="54"/>
      <c r="K54" s="54"/>
      <c r="L54" s="54"/>
      <c r="M54" s="1"/>
      <c r="N54" s="1"/>
      <c r="O54" s="1"/>
    </row>
    <row r="55" spans="1:15" x14ac:dyDescent="0.2">
      <c r="A55" s="1"/>
      <c r="B55" s="52">
        <v>153</v>
      </c>
      <c r="C55" s="53" t="s">
        <v>102</v>
      </c>
      <c r="D55" s="1"/>
      <c r="E55" s="1"/>
      <c r="F55" s="54"/>
      <c r="G55" s="54"/>
      <c r="H55" s="54"/>
      <c r="I55" s="54"/>
      <c r="J55" s="54"/>
      <c r="K55" s="54"/>
      <c r="L55" s="54"/>
      <c r="M55" s="1"/>
      <c r="N55" s="1"/>
      <c r="O55" s="1"/>
    </row>
    <row r="56" spans="1:15" x14ac:dyDescent="0.2">
      <c r="A56" s="1"/>
      <c r="B56" s="52">
        <v>154</v>
      </c>
      <c r="C56" s="53" t="s">
        <v>103</v>
      </c>
      <c r="D56" s="1"/>
      <c r="E56" s="1"/>
      <c r="F56" s="54"/>
      <c r="G56" s="54"/>
      <c r="H56" s="54"/>
      <c r="I56" s="54"/>
      <c r="J56" s="54"/>
      <c r="K56" s="54"/>
      <c r="L56" s="54"/>
      <c r="M56" s="1"/>
      <c r="N56" s="1"/>
      <c r="O56" s="1"/>
    </row>
    <row r="57" spans="1:15" x14ac:dyDescent="0.2">
      <c r="A57" s="1"/>
      <c r="B57" s="52">
        <v>155</v>
      </c>
      <c r="C57" s="53" t="s">
        <v>104</v>
      </c>
      <c r="D57" s="1"/>
      <c r="E57" s="1"/>
      <c r="F57" s="54"/>
      <c r="G57" s="54"/>
      <c r="H57" s="54"/>
      <c r="I57" s="54"/>
      <c r="J57" s="54"/>
      <c r="K57" s="54"/>
      <c r="L57" s="54"/>
      <c r="M57" s="1"/>
      <c r="N57" s="1"/>
      <c r="O57" s="1"/>
    </row>
    <row r="58" spans="1:15" x14ac:dyDescent="0.2">
      <c r="A58" s="1"/>
      <c r="B58" s="52">
        <v>156</v>
      </c>
      <c r="C58" s="53" t="s">
        <v>105</v>
      </c>
      <c r="D58" s="1"/>
      <c r="E58" s="1"/>
      <c r="F58" s="54"/>
      <c r="G58" s="54"/>
      <c r="H58" s="54"/>
      <c r="I58" s="54"/>
      <c r="J58" s="54"/>
      <c r="K58" s="54"/>
      <c r="L58" s="54"/>
      <c r="M58" s="1"/>
      <c r="N58" s="1"/>
      <c r="O58" s="1"/>
    </row>
    <row r="59" spans="1:15" x14ac:dyDescent="0.2">
      <c r="A59" s="1"/>
      <c r="B59" s="52">
        <v>157</v>
      </c>
      <c r="C59" s="53" t="s">
        <v>106</v>
      </c>
      <c r="D59" s="1"/>
      <c r="E59" s="1"/>
      <c r="F59" s="54"/>
      <c r="G59" s="54"/>
      <c r="H59" s="54"/>
      <c r="I59" s="54"/>
      <c r="J59" s="54"/>
      <c r="K59" s="54"/>
      <c r="L59" s="54"/>
      <c r="M59" s="1"/>
      <c r="N59" s="1"/>
      <c r="O59" s="1"/>
    </row>
    <row r="60" spans="1:15" x14ac:dyDescent="0.2">
      <c r="A60" s="1"/>
      <c r="B60" s="52">
        <v>158</v>
      </c>
      <c r="C60" s="53" t="s">
        <v>107</v>
      </c>
      <c r="D60" s="1"/>
      <c r="E60" s="1"/>
      <c r="F60" s="54"/>
      <c r="G60" s="54"/>
      <c r="H60" s="54"/>
      <c r="I60" s="54"/>
      <c r="J60" s="54"/>
      <c r="K60" s="54"/>
      <c r="L60" s="54"/>
      <c r="M60" s="1"/>
      <c r="N60" s="1"/>
      <c r="O60" s="1"/>
    </row>
    <row r="61" spans="1:15" x14ac:dyDescent="0.2">
      <c r="A61" s="1"/>
      <c r="B61" s="52">
        <v>159</v>
      </c>
      <c r="C61" s="53" t="s">
        <v>108</v>
      </c>
      <c r="D61" s="1"/>
      <c r="E61" s="1"/>
      <c r="F61" s="54"/>
      <c r="G61" s="54"/>
      <c r="H61" s="54"/>
      <c r="I61" s="54"/>
      <c r="J61" s="54"/>
      <c r="K61" s="54"/>
      <c r="L61" s="54"/>
      <c r="M61" s="1"/>
      <c r="N61" s="1"/>
      <c r="O61" s="1"/>
    </row>
    <row r="62" spans="1:15" x14ac:dyDescent="0.2">
      <c r="A62" s="1"/>
      <c r="B62" s="52">
        <v>160</v>
      </c>
      <c r="C62" s="53" t="s">
        <v>109</v>
      </c>
      <c r="D62" s="1"/>
      <c r="E62" s="1"/>
      <c r="F62" s="54"/>
      <c r="G62" s="54"/>
      <c r="H62" s="54"/>
      <c r="I62" s="54"/>
      <c r="J62" s="54"/>
      <c r="K62" s="54"/>
      <c r="L62" s="54"/>
      <c r="M62" s="1"/>
      <c r="N62" s="1"/>
      <c r="O62" s="1"/>
    </row>
    <row r="63" spans="1:15" x14ac:dyDescent="0.2">
      <c r="A63" s="1"/>
      <c r="B63" s="52">
        <v>161</v>
      </c>
      <c r="C63" s="53" t="s">
        <v>110</v>
      </c>
      <c r="D63" s="1"/>
      <c r="E63" s="1"/>
      <c r="F63" s="54"/>
      <c r="G63" s="54"/>
      <c r="H63" s="54"/>
      <c r="I63" s="54"/>
      <c r="J63" s="54"/>
      <c r="K63" s="54"/>
      <c r="L63" s="54"/>
      <c r="M63" s="1"/>
      <c r="N63" s="1"/>
      <c r="O63" s="1"/>
    </row>
    <row r="64" spans="1:15" x14ac:dyDescent="0.2">
      <c r="A64" s="1"/>
      <c r="B64" s="52">
        <v>162</v>
      </c>
      <c r="C64" s="53" t="s">
        <v>111</v>
      </c>
      <c r="D64" s="1"/>
      <c r="E64" s="1"/>
      <c r="F64" s="54"/>
      <c r="G64" s="54"/>
      <c r="H64" s="54"/>
      <c r="I64" s="54"/>
      <c r="J64" s="54"/>
      <c r="K64" s="54"/>
      <c r="L64" s="54"/>
      <c r="M64" s="1"/>
      <c r="N64" s="1"/>
      <c r="O64" s="1"/>
    </row>
    <row r="65" spans="1:15" x14ac:dyDescent="0.2">
      <c r="A65" s="1"/>
      <c r="B65" s="52">
        <v>163</v>
      </c>
      <c r="C65" s="53" t="s">
        <v>112</v>
      </c>
      <c r="D65" s="1"/>
      <c r="E65" s="1"/>
      <c r="F65" s="54"/>
      <c r="G65" s="54"/>
      <c r="H65" s="54"/>
      <c r="I65" s="54"/>
      <c r="J65" s="54"/>
      <c r="K65" s="54"/>
      <c r="L65" s="54"/>
      <c r="M65" s="1"/>
      <c r="N65" s="1"/>
      <c r="O65" s="1"/>
    </row>
    <row r="66" spans="1:15" x14ac:dyDescent="0.2">
      <c r="A66" s="1"/>
      <c r="B66" s="52">
        <v>164</v>
      </c>
      <c r="C66" s="53" t="s">
        <v>113</v>
      </c>
      <c r="D66" s="1"/>
      <c r="E66" s="1"/>
      <c r="F66" s="54"/>
      <c r="G66" s="54"/>
      <c r="H66" s="54"/>
      <c r="I66" s="54"/>
      <c r="J66" s="54"/>
      <c r="K66" s="54"/>
      <c r="L66" s="54"/>
      <c r="M66" s="1"/>
      <c r="N66" s="1"/>
      <c r="O66" s="1"/>
    </row>
    <row r="67" spans="1:15" x14ac:dyDescent="0.2">
      <c r="A67" s="1"/>
      <c r="B67" s="52">
        <v>165</v>
      </c>
      <c r="C67" s="53" t="s">
        <v>114</v>
      </c>
      <c r="D67" s="1"/>
      <c r="E67" s="1"/>
      <c r="F67" s="54"/>
      <c r="G67" s="54"/>
      <c r="H67" s="54"/>
      <c r="I67" s="54"/>
      <c r="J67" s="54"/>
      <c r="K67" s="54"/>
      <c r="L67" s="54"/>
      <c r="M67" s="1"/>
      <c r="N67" s="1"/>
      <c r="O67" s="1"/>
    </row>
    <row r="68" spans="1:15" x14ac:dyDescent="0.2">
      <c r="A68" s="1"/>
      <c r="B68" s="52">
        <v>166</v>
      </c>
      <c r="C68" s="53" t="s">
        <v>115</v>
      </c>
      <c r="D68" s="1"/>
      <c r="E68" s="1"/>
      <c r="F68" s="54"/>
      <c r="G68" s="54"/>
      <c r="H68" s="54"/>
      <c r="I68" s="54"/>
      <c r="J68" s="54"/>
      <c r="K68" s="54"/>
      <c r="L68" s="54"/>
      <c r="M68" s="1"/>
      <c r="N68" s="1"/>
      <c r="O68" s="1"/>
    </row>
    <row r="69" spans="1:15" x14ac:dyDescent="0.2">
      <c r="A69" s="1"/>
      <c r="B69" s="52">
        <v>167</v>
      </c>
      <c r="C69" s="53" t="s">
        <v>116</v>
      </c>
      <c r="D69" s="1"/>
      <c r="E69" s="1"/>
      <c r="F69" s="55">
        <f>'Forecast Expenditure'!L20/1000</f>
        <v>77750.110613541925</v>
      </c>
      <c r="G69" s="55">
        <f ca="1">'Forecast Expenditure'!M20/1000</f>
        <v>125158.29337397347</v>
      </c>
      <c r="H69" s="95">
        <f ca="1">'Forecast Expenditure'!N20/1000</f>
        <v>57969.942388054267</v>
      </c>
      <c r="I69" s="55">
        <f ca="1">'Forecast Expenditure'!O20/1000</f>
        <v>66677.837236726555</v>
      </c>
      <c r="J69" s="55">
        <f ca="1">'Forecast Expenditure'!P20/1000</f>
        <v>25020.054124185652</v>
      </c>
      <c r="K69" s="55">
        <f ca="1">'Forecast Expenditure'!Q20/1000</f>
        <v>6974.0393967101863</v>
      </c>
      <c r="L69" s="55">
        <f>'Forecast Expenditure'!R20/1000</f>
        <v>1696.4681737658407</v>
      </c>
      <c r="M69" s="1"/>
      <c r="N69" s="1"/>
      <c r="O69" s="1"/>
    </row>
    <row r="70" spans="1:15" x14ac:dyDescent="0.2">
      <c r="A70" s="1"/>
      <c r="B70" s="52">
        <v>168</v>
      </c>
      <c r="C70" s="53" t="s">
        <v>117</v>
      </c>
      <c r="D70" s="1"/>
      <c r="E70" s="1"/>
      <c r="F70" s="54"/>
      <c r="G70" s="54"/>
      <c r="H70" s="54"/>
      <c r="I70" s="54"/>
      <c r="J70" s="54"/>
      <c r="K70" s="54"/>
      <c r="L70" s="54"/>
      <c r="M70" s="1"/>
      <c r="N70" s="1"/>
      <c r="O70" s="1"/>
    </row>
    <row r="71" spans="1:15" x14ac:dyDescent="0.2">
      <c r="A71" s="1"/>
      <c r="B71" s="52">
        <v>169</v>
      </c>
      <c r="C71" s="53" t="s">
        <v>118</v>
      </c>
      <c r="D71" s="1"/>
      <c r="E71" s="1"/>
      <c r="F71" s="54"/>
      <c r="G71" s="54"/>
      <c r="H71" s="54"/>
      <c r="I71" s="54"/>
      <c r="J71" s="54"/>
      <c r="K71" s="54"/>
      <c r="L71" s="54"/>
      <c r="M71" s="1"/>
      <c r="N71" s="1"/>
      <c r="O71" s="1"/>
    </row>
    <row r="72" spans="1:15" x14ac:dyDescent="0.2">
      <c r="A72" s="1"/>
      <c r="B72" s="52">
        <v>170</v>
      </c>
      <c r="C72" s="53" t="s">
        <v>91</v>
      </c>
      <c r="D72" s="1"/>
      <c r="E72" s="1"/>
      <c r="F72" s="54"/>
      <c r="G72" s="54"/>
      <c r="H72" s="54"/>
      <c r="I72" s="54"/>
      <c r="J72" s="54"/>
      <c r="K72" s="54"/>
      <c r="L72" s="54"/>
      <c r="M72" s="1"/>
      <c r="N72" s="1"/>
      <c r="O72" s="1"/>
    </row>
    <row r="73" spans="1:15" x14ac:dyDescent="0.2">
      <c r="A73" s="1"/>
      <c r="B73" s="52">
        <v>171</v>
      </c>
      <c r="C73" s="53" t="s">
        <v>119</v>
      </c>
      <c r="D73" s="1"/>
      <c r="E73" s="1"/>
      <c r="F73" s="54"/>
      <c r="G73" s="54"/>
      <c r="H73" s="54"/>
      <c r="I73" s="54"/>
      <c r="J73" s="54"/>
      <c r="K73" s="54"/>
      <c r="L73" s="54"/>
      <c r="M73" s="1"/>
      <c r="N73" s="1"/>
      <c r="O73" s="1"/>
    </row>
    <row r="74" spans="1:15" x14ac:dyDescent="0.2">
      <c r="A74" s="1"/>
      <c r="B74" s="52">
        <v>172</v>
      </c>
      <c r="C74" s="53" t="s">
        <v>120</v>
      </c>
      <c r="D74" s="1"/>
      <c r="E74" s="1"/>
      <c r="F74" s="54"/>
      <c r="G74" s="54"/>
      <c r="H74" s="54"/>
      <c r="I74" s="54"/>
      <c r="J74" s="54"/>
      <c r="K74" s="54"/>
      <c r="L74" s="54"/>
      <c r="M74" s="1"/>
      <c r="N74" s="1"/>
      <c r="O74" s="1"/>
    </row>
    <row r="75" spans="1:15" x14ac:dyDescent="0.2">
      <c r="A75" s="1"/>
      <c r="B75" s="52">
        <v>174</v>
      </c>
      <c r="C75" s="53" t="s">
        <v>121</v>
      </c>
      <c r="D75" s="1"/>
      <c r="E75" s="1"/>
      <c r="F75" s="54"/>
      <c r="G75" s="54"/>
      <c r="H75" s="54"/>
      <c r="I75" s="54"/>
      <c r="J75" s="54"/>
      <c r="K75" s="54"/>
      <c r="L75" s="54"/>
      <c r="M75" s="1"/>
      <c r="N75" s="1"/>
      <c r="O75" s="1"/>
    </row>
    <row r="76" spans="1:15" x14ac:dyDescent="0.2">
      <c r="A76" s="1"/>
      <c r="B76" s="52">
        <v>175</v>
      </c>
      <c r="C76" s="53" t="s">
        <v>122</v>
      </c>
      <c r="D76" s="1"/>
      <c r="E76" s="1"/>
      <c r="F76" s="54"/>
      <c r="G76" s="54"/>
      <c r="H76" s="54"/>
      <c r="I76" s="54"/>
      <c r="J76" s="54"/>
      <c r="K76" s="54"/>
      <c r="L76" s="54"/>
      <c r="M76" s="1"/>
      <c r="N76" s="1"/>
      <c r="O76" s="1"/>
    </row>
    <row r="77" spans="1:15" x14ac:dyDescent="0.2">
      <c r="A77" s="1"/>
      <c r="B77" s="52">
        <v>176</v>
      </c>
      <c r="C77" s="53" t="s">
        <v>123</v>
      </c>
      <c r="D77" s="1"/>
      <c r="E77" s="1"/>
      <c r="F77" s="54"/>
      <c r="G77" s="54"/>
      <c r="H77" s="54"/>
      <c r="I77" s="54"/>
      <c r="J77" s="54"/>
      <c r="K77" s="54"/>
      <c r="L77" s="54"/>
      <c r="M77" s="1"/>
      <c r="N77" s="1"/>
      <c r="O77" s="1"/>
    </row>
    <row r="78" spans="1:15" x14ac:dyDescent="0.2">
      <c r="A78" s="1"/>
      <c r="B78" s="52">
        <v>177</v>
      </c>
      <c r="C78" s="53" t="s">
        <v>124</v>
      </c>
      <c r="D78" s="1"/>
      <c r="E78" s="1"/>
      <c r="F78" s="54"/>
      <c r="G78" s="54"/>
      <c r="H78" s="54"/>
      <c r="I78" s="54"/>
      <c r="J78" s="54"/>
      <c r="K78" s="54"/>
      <c r="L78" s="54"/>
      <c r="M78" s="1"/>
      <c r="N78" s="1"/>
      <c r="O78" s="1"/>
    </row>
    <row r="79" spans="1:15" x14ac:dyDescent="0.2">
      <c r="A79" s="1"/>
      <c r="B79" s="52">
        <v>200</v>
      </c>
      <c r="C79" s="53" t="s">
        <v>125</v>
      </c>
      <c r="D79" s="1"/>
      <c r="E79" s="1"/>
      <c r="F79" s="54"/>
      <c r="G79" s="54"/>
      <c r="H79" s="54"/>
      <c r="I79" s="54"/>
      <c r="J79" s="54"/>
      <c r="K79" s="54"/>
      <c r="L79" s="54"/>
      <c r="M79" s="1"/>
      <c r="N79" s="1"/>
      <c r="O79" s="1"/>
    </row>
    <row r="80" spans="1:15" x14ac:dyDescent="0.2">
      <c r="A80" s="1"/>
      <c r="B80" s="52">
        <v>205</v>
      </c>
      <c r="C80" s="53" t="s">
        <v>126</v>
      </c>
      <c r="D80" s="1"/>
      <c r="E80" s="1"/>
      <c r="F80" s="54"/>
      <c r="G80" s="54"/>
      <c r="H80" s="54"/>
      <c r="I80" s="54"/>
      <c r="J80" s="54"/>
      <c r="K80" s="54"/>
      <c r="L80" s="54"/>
      <c r="M80" s="1"/>
      <c r="N80" s="1"/>
      <c r="O80" s="1"/>
    </row>
    <row r="81" spans="1:15" x14ac:dyDescent="0.2">
      <c r="A81" s="1"/>
      <c r="B81" s="52">
        <v>210</v>
      </c>
      <c r="C81" s="53" t="s">
        <v>127</v>
      </c>
      <c r="D81" s="1"/>
      <c r="E81" s="1"/>
      <c r="F81" s="54"/>
      <c r="G81" s="54"/>
      <c r="H81" s="54"/>
      <c r="I81" s="54"/>
      <c r="J81" s="54"/>
      <c r="K81" s="54"/>
      <c r="L81" s="54"/>
      <c r="M81" s="1"/>
      <c r="N81" s="1"/>
      <c r="O81" s="1"/>
    </row>
    <row r="82" spans="1:15" x14ac:dyDescent="0.2">
      <c r="A82" s="1"/>
      <c r="B82" s="52">
        <v>215</v>
      </c>
      <c r="C82" s="53" t="s">
        <v>128</v>
      </c>
      <c r="D82" s="1"/>
      <c r="E82" s="1"/>
      <c r="F82" s="54"/>
      <c r="G82" s="54"/>
      <c r="H82" s="54"/>
      <c r="I82" s="54"/>
      <c r="J82" s="54"/>
      <c r="K82" s="54"/>
      <c r="L82" s="54"/>
      <c r="M82" s="1"/>
      <c r="N82" s="1"/>
      <c r="O82" s="1"/>
    </row>
    <row r="83" spans="1:15" x14ac:dyDescent="0.2">
      <c r="A83" s="1"/>
      <c r="B83" s="52">
        <v>220</v>
      </c>
      <c r="C83" s="53" t="s">
        <v>129</v>
      </c>
      <c r="D83" s="1"/>
      <c r="E83" s="1"/>
      <c r="F83" s="54"/>
      <c r="G83" s="54"/>
      <c r="H83" s="54"/>
      <c r="I83" s="54"/>
      <c r="J83" s="54"/>
      <c r="K83" s="54"/>
      <c r="L83" s="54"/>
      <c r="M83" s="1"/>
      <c r="N83" s="1"/>
      <c r="O83" s="1"/>
    </row>
    <row r="84" spans="1:15" x14ac:dyDescent="0.2">
      <c r="A84" s="1"/>
      <c r="B84" s="52">
        <v>225</v>
      </c>
      <c r="C84" s="53" t="s">
        <v>130</v>
      </c>
      <c r="D84" s="1"/>
      <c r="E84" s="1"/>
      <c r="F84" s="54"/>
      <c r="G84" s="54"/>
      <c r="H84" s="54"/>
      <c r="I84" s="54"/>
      <c r="J84" s="54"/>
      <c r="K84" s="54"/>
      <c r="L84" s="54"/>
      <c r="M84" s="1"/>
      <c r="N84" s="1"/>
      <c r="O84" s="1"/>
    </row>
    <row r="85" spans="1:15" x14ac:dyDescent="0.2">
      <c r="A85" s="1"/>
      <c r="B85" s="52">
        <v>230</v>
      </c>
      <c r="C85" s="53" t="s">
        <v>131</v>
      </c>
      <c r="D85" s="1"/>
      <c r="E85" s="1"/>
      <c r="F85" s="54"/>
      <c r="G85" s="54"/>
      <c r="H85" s="54"/>
      <c r="I85" s="54"/>
      <c r="J85" s="54"/>
      <c r="K85" s="54"/>
      <c r="L85" s="54"/>
      <c r="M85" s="1"/>
      <c r="N85" s="1"/>
      <c r="O85" s="1"/>
    </row>
    <row r="86" spans="1:15" x14ac:dyDescent="0.2">
      <c r="A86" s="1"/>
      <c r="B86" s="52">
        <v>235</v>
      </c>
      <c r="C86" s="53" t="s">
        <v>132</v>
      </c>
      <c r="D86" s="1"/>
      <c r="E86" s="1"/>
      <c r="F86" s="54"/>
      <c r="G86" s="54"/>
      <c r="H86" s="54"/>
      <c r="I86" s="54"/>
      <c r="J86" s="54"/>
      <c r="K86" s="54"/>
      <c r="L86" s="54"/>
      <c r="M86" s="1"/>
      <c r="N86" s="1"/>
      <c r="O86" s="1"/>
    </row>
    <row r="87" spans="1:15" x14ac:dyDescent="0.2">
      <c r="A87" s="1"/>
      <c r="B87" s="52">
        <v>240</v>
      </c>
      <c r="C87" s="53" t="s">
        <v>133</v>
      </c>
      <c r="D87" s="1"/>
      <c r="E87" s="1"/>
      <c r="F87" s="54"/>
      <c r="G87" s="54"/>
      <c r="H87" s="54"/>
      <c r="I87" s="54"/>
      <c r="J87" s="54"/>
      <c r="K87" s="54"/>
      <c r="L87" s="54"/>
      <c r="M87" s="1"/>
      <c r="N87" s="1"/>
      <c r="O87" s="1"/>
    </row>
    <row r="88" spans="1:15" x14ac:dyDescent="0.2">
      <c r="A88" s="1"/>
      <c r="B88" s="52">
        <v>245</v>
      </c>
      <c r="C88" s="53" t="s">
        <v>134</v>
      </c>
      <c r="D88" s="1"/>
      <c r="E88" s="1"/>
      <c r="F88" s="54"/>
      <c r="G88" s="54"/>
      <c r="H88" s="54"/>
      <c r="I88" s="54"/>
      <c r="J88" s="54"/>
      <c r="K88" s="54"/>
      <c r="L88" s="54"/>
      <c r="M88" s="1"/>
      <c r="N88" s="1"/>
      <c r="O88" s="1"/>
    </row>
    <row r="89" spans="1:15" x14ac:dyDescent="0.2">
      <c r="A89" s="1"/>
      <c r="B89" s="52">
        <v>260</v>
      </c>
      <c r="C89" s="53" t="s">
        <v>135</v>
      </c>
      <c r="D89" s="1"/>
      <c r="E89" s="1"/>
      <c r="F89" s="54"/>
      <c r="G89" s="54"/>
      <c r="H89" s="54"/>
      <c r="I89" s="54"/>
      <c r="J89" s="54"/>
      <c r="K89" s="54"/>
      <c r="L89" s="54"/>
      <c r="M89" s="1"/>
      <c r="N89" s="1"/>
      <c r="O89" s="1"/>
    </row>
    <row r="90" spans="1:15" x14ac:dyDescent="0.2">
      <c r="A90" s="1"/>
      <c r="B90" s="52">
        <v>270</v>
      </c>
      <c r="C90" s="53" t="s">
        <v>136</v>
      </c>
      <c r="D90" s="1"/>
      <c r="E90" s="1"/>
      <c r="F90" s="54"/>
      <c r="G90" s="54"/>
      <c r="H90" s="54"/>
      <c r="I90" s="54"/>
      <c r="J90" s="54"/>
      <c r="K90" s="54"/>
      <c r="L90" s="54"/>
      <c r="M90" s="1"/>
      <c r="N90" s="1"/>
      <c r="O90" s="1"/>
    </row>
    <row r="91" spans="1:15" x14ac:dyDescent="0.2">
      <c r="A91" s="1"/>
      <c r="B91" s="52">
        <v>273</v>
      </c>
      <c r="C91" s="53" t="s">
        <v>137</v>
      </c>
      <c r="D91" s="1"/>
      <c r="E91" s="1"/>
      <c r="F91" s="54"/>
      <c r="G91" s="54"/>
      <c r="H91" s="54"/>
      <c r="I91" s="54"/>
      <c r="J91" s="54"/>
      <c r="K91" s="54"/>
      <c r="L91" s="54"/>
      <c r="M91" s="1"/>
      <c r="N91" s="1"/>
      <c r="O91" s="1"/>
    </row>
    <row r="92" spans="1:15" x14ac:dyDescent="0.2">
      <c r="A92" s="1"/>
      <c r="B92" s="1"/>
      <c r="C92" s="1" t="s">
        <v>231</v>
      </c>
      <c r="D92" s="1"/>
      <c r="E92" s="1"/>
      <c r="F92" s="91">
        <f>SUM(F8:F91)*1000-'Forecast Expenditure'!L20</f>
        <v>0</v>
      </c>
      <c r="G92" s="91">
        <f ca="1">SUM(G8:G91)*1000-'Forecast Expenditure'!M20</f>
        <v>0</v>
      </c>
      <c r="H92" s="91">
        <f ca="1">SUM(H8:H91)*1000-'Forecast Expenditure'!N20</f>
        <v>0</v>
      </c>
      <c r="I92" s="91">
        <f ca="1">SUM(I8:I91)*1000-'Forecast Expenditure'!O20</f>
        <v>0</v>
      </c>
      <c r="J92" s="91">
        <f ca="1">SUM(J8:J91)*1000-'Forecast Expenditure'!P20</f>
        <v>0</v>
      </c>
      <c r="K92" s="91">
        <f ca="1">SUM(K8:K91)*1000-'Forecast Expenditure'!Q20</f>
        <v>0</v>
      </c>
      <c r="L92" s="91">
        <f>SUM(L8:L91)*1000-'Forecast Expenditure'!R20</f>
        <v>0</v>
      </c>
      <c r="M92" s="1"/>
      <c r="N92" s="1"/>
      <c r="O92" s="1"/>
    </row>
    <row r="93" spans="1: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x14ac:dyDescent="0.25">
      <c r="A94" s="26"/>
      <c r="B94" s="26" t="s">
        <v>182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1"/>
      <c r="O94" s="1"/>
    </row>
    <row r="95" spans="1: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</sheetData>
  <mergeCells count="2">
    <mergeCell ref="B6:B7"/>
    <mergeCell ref="C6:C7"/>
  </mergeCells>
  <conditionalFormatting sqref="L2">
    <cfRule type="expression" dxfId="1" priority="1">
      <formula>$L$2="Check!"</formula>
    </cfRule>
  </conditionalFormatting>
  <hyperlinks>
    <hyperlink ref="L1" location="Menu!A1" display="Menu" xr:uid="{00000000-0004-0000-07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1"/>
  </sheetPr>
  <dimension ref="A1:P96"/>
  <sheetViews>
    <sheetView zoomScale="115" zoomScaleNormal="115" workbookViewId="0">
      <selection activeCell="G1" sqref="G1"/>
    </sheetView>
  </sheetViews>
  <sheetFormatPr defaultColWidth="0" defaultRowHeight="12.75" customHeight="1" zeroHeight="1" x14ac:dyDescent="0.2"/>
  <cols>
    <col min="1" max="1" width="3.625" style="33" customWidth="1"/>
    <col min="2" max="2" width="7.625" style="33" customWidth="1"/>
    <col min="3" max="3" width="34" style="33" bestFit="1" customWidth="1"/>
    <col min="4" max="5" width="2.625" style="33" customWidth="1"/>
    <col min="6" max="10" width="9.625" style="33" customWidth="1"/>
    <col min="11" max="11" width="3.625" style="33" customWidth="1"/>
    <col min="12" max="13" width="9" style="33" hidden="1" customWidth="1"/>
    <col min="14" max="16" width="0" style="33" hidden="1" customWidth="1"/>
    <col min="17" max="16384" width="9" style="33" hidden="1"/>
  </cols>
  <sheetData>
    <row r="1" spans="1:13" ht="18" x14ac:dyDescent="0.25">
      <c r="A1" s="24" t="s">
        <v>233</v>
      </c>
      <c r="B1" s="24"/>
      <c r="C1" s="24"/>
      <c r="D1" s="24"/>
      <c r="E1" s="24"/>
      <c r="F1" s="24"/>
      <c r="G1" s="24"/>
      <c r="H1" s="24"/>
      <c r="I1" s="24"/>
      <c r="J1" s="27" t="s">
        <v>39</v>
      </c>
      <c r="K1" s="24"/>
      <c r="L1" s="24"/>
      <c r="M1" s="24"/>
    </row>
    <row r="2" spans="1:13" ht="15.75" x14ac:dyDescent="0.25">
      <c r="A2" s="26" t="str">
        <f ca="1">RIGHT(CELL("filename", $A$1), LEN(CELL("filename", $A$1)) - SEARCH("]", CELL("filename", $A$1)))</f>
        <v>VBRC</v>
      </c>
      <c r="B2" s="26"/>
      <c r="C2" s="26"/>
      <c r="D2" s="26"/>
      <c r="E2" s="26"/>
      <c r="F2" s="26"/>
      <c r="G2" s="26"/>
      <c r="H2" s="26"/>
      <c r="I2" s="30" t="s">
        <v>40</v>
      </c>
      <c r="J2" s="31" t="str">
        <f ca="1">IF(SUM(F34:J34)=0,"OK","Check!")</f>
        <v>OK</v>
      </c>
      <c r="K2" s="26"/>
      <c r="L2" s="26"/>
      <c r="M2" s="26"/>
    </row>
    <row r="3" spans="1:13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x14ac:dyDescent="0.2">
      <c r="A4" s="25"/>
      <c r="B4" s="39" t="s">
        <v>150</v>
      </c>
      <c r="C4" s="1"/>
      <c r="D4" s="1"/>
      <c r="E4" s="1"/>
      <c r="F4" s="1"/>
      <c r="G4" s="1"/>
      <c r="H4" s="1"/>
      <c r="I4" s="1"/>
      <c r="J4" s="1"/>
      <c r="K4" s="25"/>
      <c r="L4" s="25"/>
      <c r="M4" s="25"/>
    </row>
    <row r="5" spans="1:13" x14ac:dyDescent="0.2">
      <c r="A5" s="25"/>
      <c r="B5" s="1"/>
      <c r="C5" s="1"/>
      <c r="D5" s="1"/>
      <c r="E5" s="1"/>
      <c r="F5" s="17" t="s">
        <v>185</v>
      </c>
      <c r="G5" s="17" t="s">
        <v>186</v>
      </c>
      <c r="H5" s="17" t="s">
        <v>187</v>
      </c>
      <c r="I5" s="17" t="s">
        <v>188</v>
      </c>
      <c r="J5" s="17" t="s">
        <v>189</v>
      </c>
      <c r="K5" s="1"/>
      <c r="L5" s="25"/>
      <c r="M5" s="25"/>
    </row>
    <row r="6" spans="1:13" ht="12.75" customHeight="1" x14ac:dyDescent="0.2">
      <c r="A6" s="25"/>
      <c r="B6" s="78" t="s">
        <v>138</v>
      </c>
      <c r="C6" s="161" t="s">
        <v>48</v>
      </c>
      <c r="D6" s="1"/>
      <c r="E6" s="1"/>
      <c r="F6" s="17" t="s">
        <v>190</v>
      </c>
      <c r="G6" s="17" t="s">
        <v>190</v>
      </c>
      <c r="H6" s="17" t="s">
        <v>190</v>
      </c>
      <c r="I6" s="17" t="s">
        <v>190</v>
      </c>
      <c r="J6" s="17" t="s">
        <v>190</v>
      </c>
      <c r="K6" s="1"/>
      <c r="L6" s="1"/>
      <c r="M6" s="1"/>
    </row>
    <row r="7" spans="1:13" x14ac:dyDescent="0.2">
      <c r="A7" s="25"/>
      <c r="B7" s="79" t="s">
        <v>139</v>
      </c>
      <c r="C7" s="162" t="s">
        <v>48</v>
      </c>
      <c r="D7" s="1"/>
      <c r="E7" s="1"/>
      <c r="F7" s="17" t="s">
        <v>54</v>
      </c>
      <c r="G7" s="17" t="s">
        <v>54</v>
      </c>
      <c r="H7" s="17" t="s">
        <v>54</v>
      </c>
      <c r="I7" s="17" t="s">
        <v>54</v>
      </c>
      <c r="J7" s="17" t="s">
        <v>54</v>
      </c>
      <c r="K7" s="1"/>
      <c r="L7" s="1"/>
      <c r="M7" s="1"/>
    </row>
    <row r="8" spans="1:13" x14ac:dyDescent="0.2">
      <c r="A8" s="25"/>
      <c r="B8" s="52">
        <v>167</v>
      </c>
      <c r="C8" s="53" t="s">
        <v>140</v>
      </c>
      <c r="D8" s="1"/>
      <c r="E8" s="1"/>
      <c r="F8" s="92">
        <f>SUM('Forecast Expenditure'!N8,'Forecast Expenditure'!N9,'Forecast Expenditure'!N10)/1000</f>
        <v>0</v>
      </c>
      <c r="G8" s="57">
        <f>SUM('Forecast Expenditure'!O8,'Forecast Expenditure'!O9,'Forecast Expenditure'!O10)/1000</f>
        <v>0</v>
      </c>
      <c r="H8" s="57">
        <f>SUM('Forecast Expenditure'!P8,'Forecast Expenditure'!P9,'Forecast Expenditure'!P10)/1000</f>
        <v>0</v>
      </c>
      <c r="I8" s="57">
        <f>SUM('Forecast Expenditure'!Q8,'Forecast Expenditure'!Q9,'Forecast Expenditure'!Q10)/1000</f>
        <v>0</v>
      </c>
      <c r="J8" s="57">
        <f>SUM('Forecast Expenditure'!R8,'Forecast Expenditure'!R9,'Forecast Expenditure'!R10)/1000</f>
        <v>0</v>
      </c>
      <c r="K8" s="1"/>
      <c r="L8" s="1"/>
      <c r="M8" s="1"/>
    </row>
    <row r="9" spans="1:13" x14ac:dyDescent="0.2">
      <c r="A9" s="25"/>
      <c r="B9" s="52">
        <v>167</v>
      </c>
      <c r="C9" s="53" t="s">
        <v>141</v>
      </c>
      <c r="D9" s="1"/>
      <c r="E9" s="1"/>
      <c r="F9" s="92">
        <f>'Forecast Expenditure'!N13/1000-F25</f>
        <v>0</v>
      </c>
      <c r="G9" s="57">
        <f>'Forecast Expenditure'!O13/1000-G25</f>
        <v>0</v>
      </c>
      <c r="H9" s="57">
        <f>'Forecast Expenditure'!P13/1000-H25</f>
        <v>0</v>
      </c>
      <c r="I9" s="57">
        <f>'Forecast Expenditure'!Q13/1000-I25</f>
        <v>0</v>
      </c>
      <c r="J9" s="57">
        <f>'Forecast Expenditure'!R13/1000-J25</f>
        <v>0</v>
      </c>
      <c r="K9" s="1"/>
      <c r="L9" s="1"/>
      <c r="M9" s="1"/>
    </row>
    <row r="10" spans="1:13" x14ac:dyDescent="0.2">
      <c r="A10" s="25"/>
      <c r="B10" s="52">
        <v>167</v>
      </c>
      <c r="C10" s="53" t="s">
        <v>142</v>
      </c>
      <c r="D10" s="1"/>
      <c r="E10" s="1"/>
      <c r="F10" s="94"/>
      <c r="G10" s="54"/>
      <c r="H10" s="54"/>
      <c r="I10" s="54"/>
      <c r="J10" s="54"/>
      <c r="K10" s="1"/>
      <c r="L10" s="1"/>
      <c r="M10" s="1"/>
    </row>
    <row r="11" spans="1:13" x14ac:dyDescent="0.2">
      <c r="A11" s="25"/>
      <c r="B11" s="52">
        <v>167</v>
      </c>
      <c r="C11" s="53" t="s">
        <v>143</v>
      </c>
      <c r="D11" s="1"/>
      <c r="E11" s="1"/>
      <c r="F11" s="94"/>
      <c r="G11" s="54"/>
      <c r="H11" s="54"/>
      <c r="I11" s="54"/>
      <c r="J11" s="54"/>
      <c r="K11" s="1"/>
      <c r="L11" s="1"/>
      <c r="M11" s="1"/>
    </row>
    <row r="12" spans="1:13" x14ac:dyDescent="0.2">
      <c r="A12" s="25"/>
      <c r="B12" s="52">
        <v>167</v>
      </c>
      <c r="C12" s="53" t="s">
        <v>144</v>
      </c>
      <c r="D12" s="1"/>
      <c r="E12" s="1"/>
      <c r="F12" s="92">
        <f>'Forecast Expenditure'!N14/1000</f>
        <v>0</v>
      </c>
      <c r="G12" s="57">
        <f>'Forecast Expenditure'!O14/1000</f>
        <v>0</v>
      </c>
      <c r="H12" s="57">
        <f>'Forecast Expenditure'!P14/1000</f>
        <v>0</v>
      </c>
      <c r="I12" s="57">
        <f>'Forecast Expenditure'!Q14/1000</f>
        <v>0</v>
      </c>
      <c r="J12" s="57">
        <f>'Forecast Expenditure'!R14/1000</f>
        <v>0</v>
      </c>
      <c r="K12" s="1"/>
      <c r="L12" s="1"/>
      <c r="M12" s="1"/>
    </row>
    <row r="13" spans="1:13" x14ac:dyDescent="0.2">
      <c r="A13" s="25"/>
      <c r="B13" s="52">
        <v>167</v>
      </c>
      <c r="C13" s="53" t="s">
        <v>145</v>
      </c>
      <c r="D13" s="1"/>
      <c r="E13" s="1"/>
      <c r="F13" s="92">
        <f ca="1">'Forecast Expenditure'!N15/1000-F18</f>
        <v>12731.72953830698</v>
      </c>
      <c r="G13" s="57">
        <f ca="1">'Forecast Expenditure'!O15/1000-G18</f>
        <v>60231.182867230127</v>
      </c>
      <c r="H13" s="57">
        <f ca="1">'Forecast Expenditure'!P15/1000-H18</f>
        <v>23323.585950419809</v>
      </c>
      <c r="I13" s="57">
        <f ca="1">'Forecast Expenditure'!Q15/1000-I18</f>
        <v>5277.5712229443452</v>
      </c>
      <c r="J13" s="57">
        <f>'Forecast Expenditure'!R15/1000-J18</f>
        <v>0</v>
      </c>
      <c r="K13" s="1"/>
      <c r="L13" s="1"/>
      <c r="M13" s="1"/>
    </row>
    <row r="14" spans="1:13" x14ac:dyDescent="0.2">
      <c r="A14" s="25"/>
      <c r="B14" s="52">
        <v>167</v>
      </c>
      <c r="C14" s="53" t="s">
        <v>146</v>
      </c>
      <c r="D14" s="1"/>
      <c r="E14" s="1"/>
      <c r="F14" s="92">
        <f>'Forecast Expenditure'!N16/1000</f>
        <v>0</v>
      </c>
      <c r="G14" s="57">
        <f>'Forecast Expenditure'!O16/1000</f>
        <v>0</v>
      </c>
      <c r="H14" s="57">
        <f>'Forecast Expenditure'!P16/1000</f>
        <v>0</v>
      </c>
      <c r="I14" s="57">
        <f>'Forecast Expenditure'!Q16/1000</f>
        <v>0</v>
      </c>
      <c r="J14" s="57">
        <f>'Forecast Expenditure'!R16/1000</f>
        <v>0</v>
      </c>
      <c r="K14" s="1"/>
      <c r="L14" s="1"/>
      <c r="M14" s="1"/>
    </row>
    <row r="15" spans="1:13" x14ac:dyDescent="0.2">
      <c r="A15" s="25"/>
      <c r="B15" s="52">
        <v>167</v>
      </c>
      <c r="C15" s="53" t="s">
        <v>147</v>
      </c>
      <c r="D15" s="1"/>
      <c r="E15" s="1"/>
      <c r="F15" s="92">
        <f>'Forecast Expenditure'!N17/1000</f>
        <v>0</v>
      </c>
      <c r="G15" s="57">
        <f>'Forecast Expenditure'!O17/1000</f>
        <v>0</v>
      </c>
      <c r="H15" s="57">
        <f>'Forecast Expenditure'!P17/1000</f>
        <v>0</v>
      </c>
      <c r="I15" s="57">
        <f>'Forecast Expenditure'!Q17/1000</f>
        <v>0</v>
      </c>
      <c r="J15" s="57">
        <f>'Forecast Expenditure'!R17/1000</f>
        <v>0</v>
      </c>
      <c r="K15" s="1"/>
      <c r="L15" s="1"/>
      <c r="M15" s="1"/>
    </row>
    <row r="16" spans="1:13" x14ac:dyDescent="0.2">
      <c r="A16" s="25"/>
      <c r="B16" s="52">
        <v>167</v>
      </c>
      <c r="C16" s="53" t="s">
        <v>148</v>
      </c>
      <c r="D16" s="1"/>
      <c r="E16" s="1"/>
      <c r="F16" s="92">
        <f>'Forecast Expenditure'!N18/1000</f>
        <v>0</v>
      </c>
      <c r="G16" s="57">
        <f>'Forecast Expenditure'!O18/1000</f>
        <v>0</v>
      </c>
      <c r="H16" s="57">
        <f>'Forecast Expenditure'!P18/1000</f>
        <v>0</v>
      </c>
      <c r="I16" s="57">
        <f>'Forecast Expenditure'!Q18/1000</f>
        <v>0</v>
      </c>
      <c r="J16" s="57">
        <f>'Forecast Expenditure'!R18/1000</f>
        <v>0</v>
      </c>
      <c r="K16" s="1"/>
      <c r="L16" s="1"/>
      <c r="M16" s="1"/>
    </row>
    <row r="17" spans="1:13" x14ac:dyDescent="0.2">
      <c r="A17" s="25"/>
      <c r="B17" s="52">
        <v>167</v>
      </c>
      <c r="C17" s="53" t="s">
        <v>149</v>
      </c>
      <c r="D17" s="1"/>
      <c r="E17" s="1"/>
      <c r="F17" s="92">
        <f>'Forecast Expenditure'!N19/1000</f>
        <v>0</v>
      </c>
      <c r="G17" s="57">
        <f>'Forecast Expenditure'!O19/1000</f>
        <v>0</v>
      </c>
      <c r="H17" s="57">
        <f>'Forecast Expenditure'!P19/1000</f>
        <v>0</v>
      </c>
      <c r="I17" s="57">
        <f>'Forecast Expenditure'!Q19/1000</f>
        <v>0</v>
      </c>
      <c r="J17" s="57">
        <f>'Forecast Expenditure'!R19/1000</f>
        <v>0</v>
      </c>
      <c r="K17" s="25"/>
      <c r="L17" s="25"/>
      <c r="M17" s="25"/>
    </row>
    <row r="18" spans="1:13" x14ac:dyDescent="0.2">
      <c r="A18" s="25"/>
      <c r="B18" s="52">
        <v>167</v>
      </c>
      <c r="C18" s="53" t="s">
        <v>191</v>
      </c>
      <c r="D18" s="1"/>
      <c r="E18" s="1"/>
      <c r="F18" s="93">
        <f>'Project List-RRP'!F23/1000*Inflation!$K$10</f>
        <v>34850.71929381528</v>
      </c>
      <c r="G18" s="74">
        <f>'Project List-RRP'!G23/1000*Inflation!$K$10</f>
        <v>523.80578762696234</v>
      </c>
      <c r="H18" s="74">
        <f>'Project List-RRP'!H23/1000*Inflation!$K$10</f>
        <v>0</v>
      </c>
      <c r="I18" s="74">
        <f>'Project List-RRP'!I23/1000*Inflation!$K$10</f>
        <v>0</v>
      </c>
      <c r="J18" s="74">
        <f>'Project List-RRP'!J23/1000*Inflation!$K$10</f>
        <v>0</v>
      </c>
      <c r="K18" s="25"/>
      <c r="L18" s="25"/>
      <c r="M18" s="25"/>
    </row>
    <row r="19" spans="1:13" x14ac:dyDescent="0.2">
      <c r="A19" s="25"/>
      <c r="B19" s="1"/>
      <c r="C19" s="1"/>
      <c r="D19" s="1"/>
      <c r="E19" s="1"/>
      <c r="F19" s="116"/>
      <c r="G19" s="116"/>
      <c r="H19" s="116"/>
      <c r="I19" s="116"/>
      <c r="J19" s="1"/>
      <c r="K19" s="25"/>
      <c r="L19" s="25"/>
      <c r="M19" s="25"/>
    </row>
    <row r="20" spans="1:13" x14ac:dyDescent="0.2">
      <c r="A20" s="25"/>
      <c r="B20" s="39" t="s">
        <v>151</v>
      </c>
      <c r="C20" s="1"/>
      <c r="D20" s="1"/>
      <c r="E20" s="1"/>
      <c r="F20" s="1"/>
      <c r="G20" s="1"/>
      <c r="H20" s="1"/>
      <c r="I20" s="1"/>
      <c r="J20" s="1"/>
      <c r="K20" s="25"/>
      <c r="L20" s="25"/>
      <c r="M20" s="25"/>
    </row>
    <row r="21" spans="1:13" x14ac:dyDescent="0.2">
      <c r="A21" s="25"/>
      <c r="B21" s="1"/>
      <c r="C21" s="1"/>
      <c r="D21" s="1"/>
      <c r="E21" s="1"/>
      <c r="F21" s="17" t="s">
        <v>185</v>
      </c>
      <c r="G21" s="17" t="s">
        <v>186</v>
      </c>
      <c r="H21" s="17" t="s">
        <v>187</v>
      </c>
      <c r="I21" s="17" t="s">
        <v>188</v>
      </c>
      <c r="J21" s="17" t="s">
        <v>189</v>
      </c>
      <c r="K21" s="25"/>
      <c r="L21" s="25"/>
      <c r="M21" s="25"/>
    </row>
    <row r="22" spans="1:13" x14ac:dyDescent="0.2">
      <c r="A22" s="25"/>
      <c r="B22" s="78" t="s">
        <v>138</v>
      </c>
      <c r="C22" s="161" t="s">
        <v>48</v>
      </c>
      <c r="D22" s="1"/>
      <c r="E22" s="1"/>
      <c r="F22" s="17" t="s">
        <v>190</v>
      </c>
      <c r="G22" s="17" t="s">
        <v>190</v>
      </c>
      <c r="H22" s="17" t="s">
        <v>190</v>
      </c>
      <c r="I22" s="17" t="s">
        <v>190</v>
      </c>
      <c r="J22" s="17" t="s">
        <v>190</v>
      </c>
      <c r="K22" s="25"/>
      <c r="L22" s="25"/>
      <c r="M22" s="25"/>
    </row>
    <row r="23" spans="1:13" x14ac:dyDescent="0.2">
      <c r="A23" s="25"/>
      <c r="B23" s="79" t="s">
        <v>139</v>
      </c>
      <c r="C23" s="162" t="s">
        <v>48</v>
      </c>
      <c r="D23" s="1"/>
      <c r="E23" s="1"/>
      <c r="F23" s="17" t="s">
        <v>54</v>
      </c>
      <c r="G23" s="17" t="s">
        <v>54</v>
      </c>
      <c r="H23" s="17" t="s">
        <v>54</v>
      </c>
      <c r="I23" s="17" t="s">
        <v>54</v>
      </c>
      <c r="J23" s="17" t="s">
        <v>54</v>
      </c>
      <c r="K23" s="25"/>
      <c r="L23" s="25"/>
      <c r="M23" s="25"/>
    </row>
    <row r="24" spans="1:13" x14ac:dyDescent="0.2">
      <c r="A24" s="25"/>
      <c r="B24" s="52">
        <v>167</v>
      </c>
      <c r="C24" s="53" t="s">
        <v>140</v>
      </c>
      <c r="D24" s="1"/>
      <c r="E24" s="1"/>
      <c r="F24" s="94"/>
      <c r="G24" s="54"/>
      <c r="H24" s="54"/>
      <c r="I24" s="54"/>
      <c r="J24" s="54"/>
      <c r="K24" s="25"/>
      <c r="L24" s="25"/>
      <c r="M24" s="25"/>
    </row>
    <row r="25" spans="1:13" x14ac:dyDescent="0.2">
      <c r="A25" s="25"/>
      <c r="B25" s="52">
        <v>167</v>
      </c>
      <c r="C25" s="53" t="s">
        <v>141</v>
      </c>
      <c r="D25" s="1"/>
      <c r="E25" s="1"/>
      <c r="F25" s="92">
        <f>'Forecast Expenditure'!N13/1000</f>
        <v>10387.493555932004</v>
      </c>
      <c r="G25" s="57">
        <f>'Forecast Expenditure'!O13/1000</f>
        <v>5922.8485818694653</v>
      </c>
      <c r="H25" s="57">
        <f>'Forecast Expenditure'!P13/1000</f>
        <v>1696.4681737658407</v>
      </c>
      <c r="I25" s="57">
        <f>'Forecast Expenditure'!Q13/1000</f>
        <v>1696.4681737658407</v>
      </c>
      <c r="J25" s="57">
        <f>'Forecast Expenditure'!R13/1000</f>
        <v>1696.4681737658407</v>
      </c>
      <c r="K25" s="25"/>
      <c r="L25" s="25"/>
      <c r="M25" s="25"/>
    </row>
    <row r="26" spans="1:13" x14ac:dyDescent="0.2">
      <c r="A26" s="25"/>
      <c r="B26" s="52">
        <v>167</v>
      </c>
      <c r="C26" s="53" t="s">
        <v>142</v>
      </c>
      <c r="D26" s="1"/>
      <c r="E26" s="1"/>
      <c r="F26" s="93">
        <f>'Forecast Expenditure'!N11/1000</f>
        <v>0</v>
      </c>
      <c r="G26" s="74">
        <f>'Forecast Expenditure'!O11/1000</f>
        <v>0</v>
      </c>
      <c r="H26" s="74">
        <f>'Forecast Expenditure'!P11/1000</f>
        <v>0</v>
      </c>
      <c r="I26" s="74">
        <f>'Forecast Expenditure'!Q11/1000</f>
        <v>0</v>
      </c>
      <c r="J26" s="74">
        <f>'Forecast Expenditure'!R11/1000</f>
        <v>0</v>
      </c>
      <c r="K26" s="25"/>
      <c r="L26" s="25"/>
      <c r="M26" s="25"/>
    </row>
    <row r="27" spans="1:13" x14ac:dyDescent="0.2">
      <c r="A27" s="25"/>
      <c r="B27" s="52">
        <v>167</v>
      </c>
      <c r="C27" s="53" t="s">
        <v>143</v>
      </c>
      <c r="D27" s="1"/>
      <c r="E27" s="1"/>
      <c r="F27" s="94"/>
      <c r="G27" s="54"/>
      <c r="H27" s="54"/>
      <c r="I27" s="54"/>
      <c r="J27" s="54"/>
      <c r="K27" s="25"/>
      <c r="L27" s="25"/>
      <c r="M27" s="25"/>
    </row>
    <row r="28" spans="1:13" x14ac:dyDescent="0.2">
      <c r="A28" s="25"/>
      <c r="B28" s="52">
        <v>167</v>
      </c>
      <c r="C28" s="53" t="s">
        <v>144</v>
      </c>
      <c r="D28" s="1"/>
      <c r="E28" s="1"/>
      <c r="F28" s="94"/>
      <c r="G28" s="54"/>
      <c r="H28" s="54"/>
      <c r="I28" s="54"/>
      <c r="J28" s="54"/>
      <c r="K28" s="25"/>
      <c r="L28" s="25"/>
      <c r="M28" s="25"/>
    </row>
    <row r="29" spans="1:13" x14ac:dyDescent="0.2">
      <c r="A29" s="25"/>
      <c r="B29" s="52">
        <v>167</v>
      </c>
      <c r="C29" s="53" t="s">
        <v>145</v>
      </c>
      <c r="D29" s="1"/>
      <c r="E29" s="1"/>
      <c r="F29" s="94"/>
      <c r="G29" s="54"/>
      <c r="H29" s="54"/>
      <c r="I29" s="54"/>
      <c r="J29" s="54"/>
      <c r="K29" s="25"/>
      <c r="L29" s="25"/>
      <c r="M29" s="25"/>
    </row>
    <row r="30" spans="1:13" x14ac:dyDescent="0.2">
      <c r="A30" s="25"/>
      <c r="B30" s="52">
        <v>167</v>
      </c>
      <c r="C30" s="53" t="s">
        <v>146</v>
      </c>
      <c r="D30" s="1"/>
      <c r="E30" s="1"/>
      <c r="F30" s="94"/>
      <c r="G30" s="54"/>
      <c r="H30" s="54"/>
      <c r="I30" s="54"/>
      <c r="J30" s="54"/>
      <c r="K30" s="25"/>
      <c r="L30" s="25"/>
      <c r="M30" s="25"/>
    </row>
    <row r="31" spans="1:13" x14ac:dyDescent="0.2">
      <c r="A31" s="25"/>
      <c r="B31" s="52">
        <v>167</v>
      </c>
      <c r="C31" s="53" t="s">
        <v>147</v>
      </c>
      <c r="D31" s="1"/>
      <c r="E31" s="1"/>
      <c r="F31" s="94"/>
      <c r="G31" s="54"/>
      <c r="H31" s="54"/>
      <c r="I31" s="54"/>
      <c r="J31" s="54"/>
      <c r="K31" s="25"/>
      <c r="L31" s="25"/>
      <c r="M31" s="25"/>
    </row>
    <row r="32" spans="1:13" x14ac:dyDescent="0.2">
      <c r="A32" s="25"/>
      <c r="B32" s="52">
        <v>167</v>
      </c>
      <c r="C32" s="53" t="s">
        <v>148</v>
      </c>
      <c r="D32" s="1"/>
      <c r="E32" s="1"/>
      <c r="F32" s="94"/>
      <c r="G32" s="54"/>
      <c r="H32" s="54"/>
      <c r="I32" s="54"/>
      <c r="J32" s="54"/>
      <c r="K32" s="25"/>
      <c r="L32" s="25"/>
      <c r="M32" s="25"/>
    </row>
    <row r="33" spans="1:13" x14ac:dyDescent="0.2">
      <c r="A33" s="25"/>
      <c r="B33" s="52">
        <v>167</v>
      </c>
      <c r="C33" s="53" t="s">
        <v>149</v>
      </c>
      <c r="D33" s="1"/>
      <c r="E33" s="1"/>
      <c r="F33" s="94"/>
      <c r="G33" s="54"/>
      <c r="H33" s="54"/>
      <c r="I33" s="54"/>
      <c r="J33" s="54"/>
      <c r="K33" s="25"/>
      <c r="L33" s="25"/>
      <c r="M33" s="25"/>
    </row>
    <row r="34" spans="1:13" x14ac:dyDescent="0.2">
      <c r="A34" s="25"/>
      <c r="B34" s="1"/>
      <c r="C34" s="1"/>
      <c r="D34" s="1"/>
      <c r="E34" s="1"/>
      <c r="F34" s="96">
        <f ca="1">SUM(F8:F18,F24:F33)-'Direct Capex'!H69</f>
        <v>0</v>
      </c>
      <c r="G34" s="82">
        <f ca="1">SUM(G8:G18,G24:G33)-'Direct Capex'!I69</f>
        <v>0</v>
      </c>
      <c r="H34" s="82">
        <f ca="1">SUM(H8:H18,H24:H33)-'Direct Capex'!J69</f>
        <v>0</v>
      </c>
      <c r="I34" s="82">
        <f ca="1">SUM(I8:I18,I24:I33)-'Direct Capex'!K69</f>
        <v>0</v>
      </c>
      <c r="J34" s="82">
        <f>SUM(J8:J18,J24:J33)-'Direct Capex'!L69</f>
        <v>0</v>
      </c>
      <c r="K34" s="25"/>
      <c r="L34" s="25"/>
      <c r="M34" s="25"/>
    </row>
    <row r="35" spans="1:13" x14ac:dyDescent="0.2">
      <c r="A35" s="25"/>
      <c r="B35" s="1"/>
      <c r="C35" s="1"/>
      <c r="D35" s="1"/>
      <c r="E35" s="1"/>
      <c r="F35" s="1"/>
      <c r="G35" s="1"/>
      <c r="H35" s="1"/>
      <c r="I35" s="1"/>
      <c r="J35" s="1"/>
      <c r="K35" s="25"/>
      <c r="L35" s="25"/>
      <c r="M35" s="25"/>
    </row>
    <row r="36" spans="1:13" ht="15.75" x14ac:dyDescent="0.25">
      <c r="A36" s="26"/>
      <c r="B36" s="26" t="s">
        <v>182</v>
      </c>
      <c r="C36" s="26"/>
      <c r="D36" s="26"/>
      <c r="E36" s="26"/>
      <c r="F36" s="26"/>
      <c r="G36" s="26"/>
      <c r="H36" s="26"/>
      <c r="I36" s="26"/>
      <c r="J36" s="26"/>
      <c r="K36" s="26"/>
      <c r="L36" s="25"/>
      <c r="M36" s="25"/>
    </row>
    <row r="37" spans="1:13" x14ac:dyDescent="0.2">
      <c r="A37" s="25"/>
      <c r="B37" s="1"/>
      <c r="C37" s="1"/>
      <c r="D37" s="1"/>
      <c r="E37" s="1"/>
      <c r="F37" s="1"/>
      <c r="G37" s="1"/>
      <c r="H37" s="1"/>
      <c r="I37" s="1"/>
      <c r="J37" s="1"/>
      <c r="K37" s="25"/>
      <c r="L37" s="25"/>
      <c r="M37" s="25"/>
    </row>
    <row r="38" spans="1:13" hidden="1" x14ac:dyDescent="0.2">
      <c r="A38" s="25"/>
      <c r="B38" s="1"/>
      <c r="C38" s="1"/>
      <c r="D38" s="1"/>
      <c r="E38" s="1"/>
      <c r="F38" s="1"/>
      <c r="G38" s="1"/>
      <c r="H38" s="1"/>
      <c r="I38" s="1"/>
      <c r="J38" s="1"/>
      <c r="K38" s="25"/>
      <c r="L38" s="25"/>
      <c r="M38" s="25"/>
    </row>
    <row r="39" spans="1:13" hidden="1" x14ac:dyDescent="0.2">
      <c r="A39" s="25"/>
      <c r="B39" s="1"/>
      <c r="C39" s="1"/>
      <c r="D39" s="1"/>
      <c r="E39" s="1"/>
      <c r="F39" s="1"/>
      <c r="G39" s="1"/>
      <c r="H39" s="1"/>
      <c r="I39" s="1"/>
      <c r="J39" s="1"/>
      <c r="K39" s="25"/>
      <c r="L39" s="25"/>
      <c r="M39" s="25"/>
    </row>
    <row r="40" spans="1:13" hidden="1" x14ac:dyDescent="0.2">
      <c r="A40" s="25"/>
      <c r="B40" s="1"/>
      <c r="C40" s="1"/>
      <c r="D40" s="1"/>
      <c r="E40" s="1"/>
      <c r="F40" s="1"/>
      <c r="G40" s="1"/>
      <c r="H40" s="1"/>
      <c r="I40" s="1"/>
      <c r="J40" s="1"/>
      <c r="K40" s="25"/>
      <c r="L40" s="25"/>
      <c r="M40" s="25"/>
    </row>
    <row r="41" spans="1:13" hidden="1" x14ac:dyDescent="0.2">
      <c r="A41" s="25"/>
      <c r="B41" s="1"/>
      <c r="C41" s="1"/>
      <c r="D41" s="1"/>
      <c r="E41" s="1"/>
      <c r="F41" s="1"/>
      <c r="G41" s="1"/>
      <c r="H41" s="1"/>
      <c r="I41" s="1"/>
      <c r="J41" s="1"/>
      <c r="K41" s="25"/>
      <c r="L41" s="25"/>
      <c r="M41" s="25"/>
    </row>
    <row r="42" spans="1:13" hidden="1" x14ac:dyDescent="0.2">
      <c r="A42" s="25"/>
      <c r="B42" s="1"/>
      <c r="C42" s="1"/>
      <c r="D42" s="1"/>
      <c r="E42" s="1"/>
      <c r="F42" s="1"/>
      <c r="G42" s="1"/>
      <c r="H42" s="1"/>
      <c r="I42" s="1"/>
      <c r="J42" s="1"/>
      <c r="K42" s="25"/>
      <c r="L42" s="25"/>
      <c r="M42" s="25"/>
    </row>
    <row r="43" spans="1:13" hidden="1" x14ac:dyDescent="0.2">
      <c r="A43" s="25"/>
      <c r="B43" s="1"/>
      <c r="C43" s="1"/>
      <c r="D43" s="1"/>
      <c r="E43" s="1"/>
      <c r="F43" s="1"/>
      <c r="G43" s="1"/>
      <c r="H43" s="1"/>
      <c r="I43" s="1"/>
      <c r="J43" s="1"/>
      <c r="K43" s="25"/>
      <c r="L43" s="25"/>
      <c r="M43" s="25"/>
    </row>
    <row r="44" spans="1:13" hidden="1" x14ac:dyDescent="0.2">
      <c r="A44" s="25"/>
      <c r="B44" s="1"/>
      <c r="C44" s="1"/>
      <c r="D44" s="1"/>
      <c r="E44" s="1"/>
      <c r="F44" s="1"/>
      <c r="G44" s="1"/>
      <c r="H44" s="1"/>
      <c r="I44" s="1"/>
      <c r="J44" s="1"/>
      <c r="K44" s="25"/>
      <c r="L44" s="25"/>
      <c r="M44" s="25"/>
    </row>
    <row r="45" spans="1:13" hidden="1" x14ac:dyDescent="0.2">
      <c r="A45" s="25"/>
      <c r="B45" s="1"/>
      <c r="C45" s="1"/>
      <c r="D45" s="1"/>
      <c r="E45" s="1"/>
      <c r="F45" s="1"/>
      <c r="G45" s="1"/>
      <c r="H45" s="1"/>
      <c r="I45" s="1"/>
      <c r="J45" s="1"/>
      <c r="K45" s="25"/>
      <c r="L45" s="25"/>
      <c r="M45" s="25"/>
    </row>
    <row r="46" spans="1:13" hidden="1" x14ac:dyDescent="0.2">
      <c r="A46" s="25"/>
      <c r="B46" s="1"/>
      <c r="C46" s="1"/>
      <c r="D46" s="1"/>
      <c r="E46" s="1"/>
      <c r="F46" s="1"/>
      <c r="G46" s="1"/>
      <c r="H46" s="1"/>
      <c r="I46" s="1"/>
      <c r="J46" s="1"/>
      <c r="K46" s="25"/>
      <c r="L46" s="25"/>
      <c r="M46" s="25"/>
    </row>
    <row r="47" spans="1:13" hidden="1" x14ac:dyDescent="0.2">
      <c r="A47" s="25"/>
      <c r="B47" s="1"/>
      <c r="C47" s="1"/>
      <c r="D47" s="1"/>
      <c r="E47" s="1"/>
      <c r="F47" s="1"/>
      <c r="G47" s="1"/>
      <c r="H47" s="1"/>
      <c r="I47" s="1"/>
      <c r="J47" s="1"/>
      <c r="K47" s="25"/>
      <c r="L47" s="25"/>
      <c r="M47" s="25"/>
    </row>
    <row r="48" spans="1:13" hidden="1" x14ac:dyDescent="0.2">
      <c r="A48" s="25"/>
      <c r="B48" s="1"/>
      <c r="C48" s="1"/>
      <c r="D48" s="1"/>
      <c r="E48" s="1"/>
      <c r="F48" s="1"/>
      <c r="G48" s="1"/>
      <c r="H48" s="1"/>
      <c r="I48" s="1"/>
      <c r="J48" s="1"/>
      <c r="K48" s="25"/>
      <c r="L48" s="25"/>
      <c r="M48" s="25"/>
    </row>
    <row r="49" spans="1:13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</sheetData>
  <mergeCells count="2">
    <mergeCell ref="C6:C7"/>
    <mergeCell ref="C22:C23"/>
  </mergeCells>
  <conditionalFormatting sqref="J2">
    <cfRule type="expression" dxfId="0" priority="1">
      <formula>$J$2="Check!"</formula>
    </cfRule>
  </conditionalFormatting>
  <hyperlinks>
    <hyperlink ref="J1" location="Menu!A1" display="Menu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Legend</vt:lpstr>
      <vt:lpstr>Menu</vt:lpstr>
      <vt:lpstr>Project List - AER</vt:lpstr>
      <vt:lpstr>Project List-RRP</vt:lpstr>
      <vt:lpstr>Inflation</vt:lpstr>
      <vt:lpstr>Historical Expenditure</vt:lpstr>
      <vt:lpstr>Forecast Expenditure</vt:lpstr>
      <vt:lpstr>Direct Capex</vt:lpstr>
      <vt:lpstr>VBRC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2019-12-30T23:59:29Z</dcterms:created>
  <dcterms:modified xsi:type="dcterms:W3CDTF">2020-11-28T05:49:46Z</dcterms:modified>
</cp:coreProperties>
</file>