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13_ncr:1_{45C6C31D-3D7A-417A-8409-CB53D4DDF553}" xr6:coauthVersionLast="45" xr6:coauthVersionMax="45" xr10:uidLastSave="{00000000-0000-0000-0000-000000000000}"/>
  <bookViews>
    <workbookView xWindow="4710" yWindow="0" windowWidth="22290" windowHeight="16200" tabRatio="908" activeTab="2" xr2:uid="{00000000-000D-0000-FFFF-FFFF00000000}"/>
  </bookViews>
  <sheets>
    <sheet name="Output" sheetId="6" r:id="rId1"/>
    <sheet name="Summary" sheetId="48" r:id="rId2"/>
    <sheet name="Assumptions" sheetId="3" r:id="rId3"/>
    <sheet name="5 minute settlement" sheetId="19" r:id="rId4"/>
    <sheet name="Security of Critical Infr" sheetId="20" r:id="rId5"/>
    <sheet name="Solar enablement" sheetId="49" r:id="rId6"/>
    <sheet name="REFCL opex" sheetId="21" r:id="rId7"/>
    <sheet name="IT cloud solutions" sheetId="35" r:id="rId8"/>
    <sheet name="Increasing insurance premiums" sheetId="39" r:id="rId9"/>
  </sheets>
  <externalReferences>
    <externalReference r:id="rId10"/>
  </externalReferences>
  <definedNames>
    <definedName name="BaseYear">Assumptions!$D$14</definedName>
    <definedName name="CP_cost_split">Assumptions!$D$11</definedName>
    <definedName name="CP_cust_share">Assumptions!$F$23</definedName>
    <definedName name="days_per_year">365.25</definedName>
    <definedName name="PAL_cost_split">Assumptions!$D$12</definedName>
    <definedName name="PAL_count">Summary!$S$19</definedName>
    <definedName name="PAL_cust_share">Assumptions!$F$24</definedName>
    <definedName name="UE_count">Summary!$S$18</definedName>
    <definedName name="Year_of_Currency" localSheetId="5">Assumptions!$D$13</definedName>
    <definedName name="Year_of_Currency">Assumptions!$D$13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3" l="1"/>
  <c r="O29" i="3"/>
  <c r="P29" i="3"/>
  <c r="Q29" i="3"/>
  <c r="R29" i="3"/>
  <c r="H16" i="3" l="1"/>
  <c r="I16" i="3"/>
  <c r="J16" i="3" s="1"/>
  <c r="G66" i="49"/>
  <c r="G67" i="49"/>
  <c r="B67" i="49"/>
  <c r="D12" i="3"/>
  <c r="M64" i="49"/>
  <c r="N58" i="49"/>
  <c r="O58" i="49"/>
  <c r="P58" i="49"/>
  <c r="Q58" i="49"/>
  <c r="N59" i="49"/>
  <c r="O59" i="49"/>
  <c r="P59" i="49"/>
  <c r="Q59" i="49"/>
  <c r="M59" i="49"/>
  <c r="M58" i="49"/>
  <c r="C37" i="49"/>
  <c r="B70" i="49"/>
  <c r="M46" i="49"/>
  <c r="M60" i="49" s="1"/>
  <c r="F9" i="48"/>
  <c r="H9" i="48"/>
  <c r="N22" i="39"/>
  <c r="O22" i="39"/>
  <c r="P22" i="39"/>
  <c r="Q22" i="39"/>
  <c r="M22" i="39"/>
  <c r="N46" i="49"/>
  <c r="N60" i="49" s="1"/>
  <c r="N64" i="49"/>
  <c r="O46" i="49"/>
  <c r="O60" i="49" s="1"/>
  <c r="O61" i="49" s="1"/>
  <c r="O66" i="49" s="1"/>
  <c r="O64" i="49"/>
  <c r="P46" i="49"/>
  <c r="P60" i="49" s="1"/>
  <c r="P64" i="49"/>
  <c r="Q46" i="49"/>
  <c r="Q60" i="49" s="1"/>
  <c r="Q61" i="49" s="1"/>
  <c r="Q64" i="49"/>
  <c r="C31" i="49"/>
  <c r="C30" i="49"/>
  <c r="S18" i="49"/>
  <c r="A2" i="20"/>
  <c r="K18" i="39"/>
  <c r="J18" i="39"/>
  <c r="R34" i="3"/>
  <c r="Q34" i="3"/>
  <c r="P34" i="3"/>
  <c r="O34" i="3"/>
  <c r="N34" i="3"/>
  <c r="L37" i="3"/>
  <c r="M37" i="3" s="1"/>
  <c r="A2" i="39"/>
  <c r="B35" i="39" s="1"/>
  <c r="K19" i="39"/>
  <c r="M28" i="39" s="1"/>
  <c r="M27" i="39"/>
  <c r="N27" i="39"/>
  <c r="O27" i="39"/>
  <c r="P27" i="39"/>
  <c r="Q27" i="39"/>
  <c r="G35" i="39"/>
  <c r="A2" i="19"/>
  <c r="B17" i="19" s="1"/>
  <c r="A2" i="21"/>
  <c r="F10" i="48" s="1"/>
  <c r="A2" i="35"/>
  <c r="B17" i="35" s="1"/>
  <c r="H7" i="48"/>
  <c r="H12" i="48"/>
  <c r="H17" i="48"/>
  <c r="H16" i="48"/>
  <c r="H15" i="48"/>
  <c r="H14" i="48"/>
  <c r="H13" i="48"/>
  <c r="F78" i="21"/>
  <c r="L61" i="21"/>
  <c r="K61" i="21"/>
  <c r="F60" i="21"/>
  <c r="F59" i="21"/>
  <c r="M3" i="48"/>
  <c r="N3" i="48"/>
  <c r="O3" i="48"/>
  <c r="P3" i="48"/>
  <c r="Q3" i="48"/>
  <c r="K64" i="21"/>
  <c r="K68" i="21" s="1"/>
  <c r="H10" i="48"/>
  <c r="H8" i="48"/>
  <c r="F83" i="21"/>
  <c r="F82" i="21"/>
  <c r="F72" i="21"/>
  <c r="F71" i="21"/>
  <c r="F70" i="21"/>
  <c r="F19" i="21"/>
  <c r="F20" i="21"/>
  <c r="F21" i="21"/>
  <c r="A2" i="48"/>
  <c r="F18" i="21"/>
  <c r="A2" i="6"/>
  <c r="A2" i="3"/>
  <c r="U3" i="19"/>
  <c r="S18" i="35"/>
  <c r="S17" i="35"/>
  <c r="S18" i="19"/>
  <c r="S17" i="19"/>
  <c r="K67" i="21" l="1"/>
  <c r="K72" i="21" s="1"/>
  <c r="M29" i="39"/>
  <c r="M35" i="39" s="1"/>
  <c r="S64" i="49"/>
  <c r="S58" i="49"/>
  <c r="N76" i="21"/>
  <c r="K66" i="21"/>
  <c r="L66" i="21" s="1"/>
  <c r="M66" i="21" s="1"/>
  <c r="N66" i="21" s="1"/>
  <c r="O66" i="21" s="1"/>
  <c r="P66" i="21" s="1"/>
  <c r="Q66" i="21" s="1"/>
  <c r="P76" i="21"/>
  <c r="S59" i="49"/>
  <c r="K70" i="21"/>
  <c r="L67" i="21"/>
  <c r="L68" i="21"/>
  <c r="O76" i="21"/>
  <c r="P61" i="49"/>
  <c r="P67" i="49" s="1"/>
  <c r="O67" i="49"/>
  <c r="Q76" i="21"/>
  <c r="M76" i="21"/>
  <c r="S60" i="49"/>
  <c r="S61" i="49" s="1"/>
  <c r="M61" i="49"/>
  <c r="N61" i="49"/>
  <c r="Q67" i="49"/>
  <c r="Q66" i="49"/>
  <c r="B59" i="20"/>
  <c r="Q28" i="39"/>
  <c r="Q29" i="39" s="1"/>
  <c r="Q35" i="39" s="1"/>
  <c r="P28" i="39"/>
  <c r="P29" i="39" s="1"/>
  <c r="P35" i="39" s="1"/>
  <c r="O28" i="39"/>
  <c r="O29" i="39" s="1"/>
  <c r="O35" i="39" s="1"/>
  <c r="N28" i="39"/>
  <c r="N29" i="39" s="1"/>
  <c r="N35" i="39" s="1"/>
  <c r="F8" i="48"/>
  <c r="B88" i="21"/>
  <c r="B21" i="35"/>
  <c r="B91" i="21"/>
  <c r="B18" i="35"/>
  <c r="F12" i="48"/>
  <c r="F7" i="48"/>
  <c r="B83" i="21"/>
  <c r="B21" i="19"/>
  <c r="B18" i="19"/>
  <c r="F11" i="48"/>
  <c r="P66" i="49" l="1"/>
  <c r="K71" i="21"/>
  <c r="K74" i="21" s="1"/>
  <c r="S35" i="39"/>
  <c r="M68" i="21"/>
  <c r="L70" i="21"/>
  <c r="L71" i="21"/>
  <c r="M67" i="21"/>
  <c r="L72" i="21"/>
  <c r="S76" i="21"/>
  <c r="N66" i="49"/>
  <c r="N67" i="49"/>
  <c r="M67" i="49"/>
  <c r="M66" i="49"/>
  <c r="H11" i="48"/>
  <c r="N11" i="48"/>
  <c r="O11" i="48"/>
  <c r="Q11" i="48"/>
  <c r="M11" i="48"/>
  <c r="P11" i="48"/>
  <c r="M77" i="21" l="1"/>
  <c r="Q77" i="21"/>
  <c r="O77" i="21"/>
  <c r="P77" i="21"/>
  <c r="N77" i="21"/>
  <c r="L74" i="21"/>
  <c r="M70" i="21"/>
  <c r="M71" i="21"/>
  <c r="N68" i="21"/>
  <c r="M72" i="21"/>
  <c r="N67" i="21"/>
  <c r="S66" i="49"/>
  <c r="S67" i="49"/>
  <c r="S11" i="48"/>
  <c r="S77" i="21" l="1"/>
  <c r="N72" i="21"/>
  <c r="O67" i="21"/>
  <c r="M74" i="21"/>
  <c r="M78" i="21" s="1"/>
  <c r="N70" i="21"/>
  <c r="N71" i="21"/>
  <c r="O68" i="21"/>
  <c r="O71" i="21" l="1"/>
  <c r="P68" i="21"/>
  <c r="O70" i="21"/>
  <c r="M82" i="21"/>
  <c r="P67" i="21"/>
  <c r="O72" i="21"/>
  <c r="N74" i="21"/>
  <c r="N78" i="21" s="1"/>
  <c r="N82" i="21" s="1"/>
  <c r="N83" i="21" s="1"/>
  <c r="N88" i="21" s="1"/>
  <c r="M83" i="21" l="1"/>
  <c r="M88" i="21" s="1"/>
  <c r="O74" i="21"/>
  <c r="O78" i="21" s="1"/>
  <c r="O82" i="21" s="1"/>
  <c r="O83" i="21" s="1"/>
  <c r="O88" i="21" s="1"/>
  <c r="P71" i="21"/>
  <c r="Q68" i="21"/>
  <c r="P70" i="21"/>
  <c r="P74" i="21" s="1"/>
  <c r="P78" i="21" s="1"/>
  <c r="P82" i="21" s="1"/>
  <c r="P83" i="21" s="1"/>
  <c r="P88" i="21" s="1"/>
  <c r="Q67" i="21"/>
  <c r="Q72" i="21" s="1"/>
  <c r="P72" i="21"/>
  <c r="Q70" i="21" l="1"/>
  <c r="Q71" i="21"/>
  <c r="Q74" i="21" l="1"/>
  <c r="Q78" i="21" s="1"/>
  <c r="Q82" i="21" l="1"/>
  <c r="S78" i="21"/>
  <c r="Q83" i="21" l="1"/>
  <c r="Q88" i="21" s="1"/>
  <c r="S82" i="21"/>
  <c r="S83" i="21" l="1"/>
  <c r="S88" i="21" l="1"/>
  <c r="Q36" i="3" l="1"/>
  <c r="P36" i="3"/>
  <c r="O36" i="3"/>
  <c r="N36" i="3" l="1"/>
  <c r="N37" i="3" s="1"/>
  <c r="R36" i="3"/>
  <c r="O21" i="19" l="1"/>
  <c r="M21" i="19"/>
  <c r="P21" i="19"/>
  <c r="O37" i="3"/>
  <c r="N21" i="19"/>
  <c r="Q21" i="19"/>
  <c r="M21" i="35"/>
  <c r="M70" i="49"/>
  <c r="M91" i="21"/>
  <c r="M8" i="48"/>
  <c r="M10" i="48"/>
  <c r="Q7" i="48"/>
  <c r="N7" i="48"/>
  <c r="M12" i="48"/>
  <c r="O7" i="48"/>
  <c r="P7" i="48"/>
  <c r="M9" i="48"/>
  <c r="M7" i="48"/>
  <c r="S7" i="48" l="1"/>
  <c r="M18" i="48"/>
  <c r="P37" i="3"/>
  <c r="N21" i="35"/>
  <c r="N70" i="49"/>
  <c r="N91" i="21"/>
  <c r="S21" i="19"/>
  <c r="N12" i="48"/>
  <c r="N9" i="48"/>
  <c r="N8" i="48"/>
  <c r="N10" i="48"/>
  <c r="N18" i="48" l="1"/>
  <c r="O21" i="35"/>
  <c r="Q37" i="3"/>
  <c r="O70" i="49"/>
  <c r="O91" i="21"/>
  <c r="O8" i="48"/>
  <c r="O9" i="48"/>
  <c r="O12" i="48"/>
  <c r="O10" i="48"/>
  <c r="O18" i="48" l="1"/>
  <c r="P21" i="35"/>
  <c r="R37" i="3"/>
  <c r="P70" i="49"/>
  <c r="P91" i="21"/>
  <c r="P9" i="48"/>
  <c r="P10" i="48"/>
  <c r="P8" i="48"/>
  <c r="P12" i="48"/>
  <c r="P18" i="48" l="1"/>
  <c r="Q21" i="35"/>
  <c r="Q70" i="49"/>
  <c r="Q91" i="21"/>
  <c r="Q9" i="48"/>
  <c r="Q8" i="48"/>
  <c r="Q12" i="48"/>
  <c r="Q10" i="48"/>
  <c r="S9" i="48" l="1"/>
  <c r="S12" i="48"/>
  <c r="S10" i="48"/>
  <c r="Q18" i="48"/>
  <c r="S8" i="48"/>
  <c r="S70" i="49"/>
  <c r="S21" i="35"/>
  <c r="S91" i="21"/>
  <c r="S59" i="20"/>
  <c r="C10" i="48" l="1"/>
  <c r="D10" i="48" s="1"/>
  <c r="C12" i="48"/>
  <c r="D12" i="48" s="1"/>
  <c r="C8" i="48"/>
  <c r="D8" i="48" s="1"/>
  <c r="S18" i="48"/>
  <c r="C11" i="48"/>
  <c r="D11" i="48" s="1"/>
  <c r="S19" i="48"/>
  <c r="A8" i="6" s="1"/>
  <c r="C7" i="48"/>
  <c r="D7" i="48" s="1"/>
  <c r="C9" i="48"/>
  <c r="D9" i="48" s="1"/>
  <c r="P7" i="6" l="1"/>
  <c r="N7" i="6"/>
  <c r="O7" i="6"/>
  <c r="Q7" i="6"/>
  <c r="B7" i="6"/>
  <c r="M7" i="6"/>
  <c r="A9" i="6"/>
  <c r="Q8" i="6"/>
  <c r="P8" i="6"/>
  <c r="B8" i="6"/>
  <c r="O8" i="6"/>
  <c r="N8" i="6"/>
  <c r="M8" i="6"/>
  <c r="S8" i="6" l="1"/>
  <c r="P9" i="6"/>
  <c r="Q9" i="6"/>
  <c r="M9" i="6"/>
  <c r="O9" i="6"/>
  <c r="N9" i="6"/>
  <c r="B9" i="6"/>
  <c r="A10" i="6"/>
  <c r="S7" i="6"/>
  <c r="A11" i="6" l="1"/>
  <c r="N10" i="6"/>
  <c r="P10" i="6"/>
  <c r="B10" i="6"/>
  <c r="M10" i="6"/>
  <c r="O10" i="6"/>
  <c r="Q10" i="6"/>
  <c r="S9" i="6"/>
  <c r="S10" i="6" l="1"/>
  <c r="Q11" i="6"/>
  <c r="A12" i="6"/>
  <c r="O11" i="6"/>
  <c r="N11" i="6"/>
  <c r="M11" i="6"/>
  <c r="B11" i="6"/>
  <c r="P11" i="6"/>
  <c r="S11" i="6" l="1"/>
  <c r="M12" i="6"/>
  <c r="O12" i="6"/>
  <c r="Q12" i="6"/>
  <c r="N12" i="6"/>
  <c r="A13" i="6"/>
  <c r="B12" i="6"/>
  <c r="P12" i="6"/>
  <c r="B13" i="6" l="1"/>
  <c r="N13" i="6"/>
  <c r="P13" i="6"/>
  <c r="M13" i="6"/>
  <c r="A14" i="6"/>
  <c r="Q13" i="6"/>
  <c r="O13" i="6"/>
  <c r="S12" i="6"/>
  <c r="S13" i="6" l="1"/>
  <c r="M14" i="6"/>
  <c r="N14" i="6"/>
  <c r="P14" i="6"/>
  <c r="O14" i="6"/>
  <c r="Q14" i="6"/>
  <c r="A15" i="6"/>
  <c r="B14" i="6"/>
  <c r="N15" i="6" l="1"/>
  <c r="M15" i="6"/>
  <c r="B15" i="6"/>
  <c r="Q15" i="6"/>
  <c r="P15" i="6"/>
  <c r="O15" i="6"/>
  <c r="A16" i="6"/>
  <c r="S14" i="6"/>
  <c r="P16" i="6" l="1"/>
  <c r="B16" i="6"/>
  <c r="M16" i="6"/>
  <c r="O16" i="6"/>
  <c r="Q16" i="6"/>
  <c r="A17" i="6"/>
  <c r="N16" i="6"/>
  <c r="S15" i="6"/>
  <c r="S16" i="6" l="1"/>
  <c r="A18" i="6"/>
  <c r="N17" i="6"/>
  <c r="N20" i="6" s="1"/>
  <c r="B17" i="6"/>
  <c r="Q17" i="6"/>
  <c r="Q20" i="6" s="1"/>
  <c r="M17" i="6"/>
  <c r="P17" i="6"/>
  <c r="P20" i="6" s="1"/>
  <c r="O17" i="6"/>
  <c r="O20" i="6" s="1"/>
  <c r="S17" i="6" l="1"/>
  <c r="M20" i="6"/>
  <c r="S20" i="6" s="1"/>
  <c r="P18" i="6"/>
  <c r="O18" i="6"/>
  <c r="M18" i="6"/>
  <c r="Q18" i="6"/>
  <c r="B18" i="6"/>
  <c r="N18" i="6"/>
  <c r="D2" i="6"/>
  <c r="S18" i="6" l="1"/>
</calcChain>
</file>

<file path=xl/sharedStrings.xml><?xml version="1.0" encoding="utf-8"?>
<sst xmlns="http://schemas.openxmlformats.org/spreadsheetml/2006/main" count="390" uniqueCount="165">
  <si>
    <t>Opex Step Changes</t>
  </si>
  <si>
    <t>Inflation</t>
  </si>
  <si>
    <t>General assumptions</t>
  </si>
  <si>
    <t>Business</t>
  </si>
  <si>
    <t>VPN</t>
  </si>
  <si>
    <t>Total</t>
  </si>
  <si>
    <t>Customer numbers</t>
  </si>
  <si>
    <t>Powercor</t>
  </si>
  <si>
    <t>Calculations</t>
  </si>
  <si>
    <t>Check</t>
  </si>
  <si>
    <t>Step change</t>
  </si>
  <si>
    <t>Year of currency for inputs</t>
  </si>
  <si>
    <t>CP_cust_share</t>
  </si>
  <si>
    <t>PAL_cust_share</t>
  </si>
  <si>
    <t>The indentified need</t>
  </si>
  <si>
    <t>Reported Dollars for 2021-26</t>
  </si>
  <si>
    <t>2019/20</t>
  </si>
  <si>
    <t>2020/21</t>
  </si>
  <si>
    <t>2021/22</t>
  </si>
  <si>
    <t>2022/23</t>
  </si>
  <si>
    <t>2023/24</t>
  </si>
  <si>
    <t>2024/25</t>
  </si>
  <si>
    <t>2025/26</t>
  </si>
  <si>
    <t>Assumptions</t>
  </si>
  <si>
    <t>5 minute settlement</t>
  </si>
  <si>
    <t>per ZSS</t>
  </si>
  <si>
    <t>per feeder</t>
  </si>
  <si>
    <t>Camperdown</t>
  </si>
  <si>
    <t>Colac</t>
  </si>
  <si>
    <t>Castlemaine</t>
  </si>
  <si>
    <t>Maryborough</t>
  </si>
  <si>
    <t>Winchelsea</t>
  </si>
  <si>
    <t>Eaglehawk</t>
  </si>
  <si>
    <t>Ballarat North</t>
  </si>
  <si>
    <t>Ballarat South</t>
  </si>
  <si>
    <t>Bendigo TS</t>
  </si>
  <si>
    <t>Bendigo</t>
  </si>
  <si>
    <t>Charlton</t>
  </si>
  <si>
    <t>Stawell</t>
  </si>
  <si>
    <t>Ararat</t>
  </si>
  <si>
    <t>Koroit</t>
  </si>
  <si>
    <t>Terang</t>
  </si>
  <si>
    <t>Hamilton</t>
  </si>
  <si>
    <t>Merbein</t>
  </si>
  <si>
    <t>Technical support</t>
  </si>
  <si>
    <t>Rebalancing works</t>
  </si>
  <si>
    <t>Compliance testing</t>
  </si>
  <si>
    <t>Unit cost of incremental technical support</t>
  </si>
  <si>
    <t>Unit cost of incremental re-balancing works</t>
  </si>
  <si>
    <t>Unit cost of incremental re-balancing works - per feeder</t>
  </si>
  <si>
    <t>Unit cost of incremental compliance testing - per feeder</t>
  </si>
  <si>
    <t>IT cloud solutions</t>
  </si>
  <si>
    <t>Woodend</t>
  </si>
  <si>
    <t>Incremental cost</t>
  </si>
  <si>
    <t>Solar enablement</t>
  </si>
  <si>
    <t>2018/19</t>
  </si>
  <si>
    <t>Gisborne</t>
  </si>
  <si>
    <t>Source</t>
  </si>
  <si>
    <t>The step change will have no affect on capital expenditure</t>
  </si>
  <si>
    <t>Effect on opex and capex</t>
  </si>
  <si>
    <r>
      <t>2021</t>
    </r>
    <r>
      <rPr>
        <b/>
        <sz val="10"/>
        <color theme="1"/>
        <rFont val="Verdana"/>
        <family val="2"/>
      </rPr>
      <t>−</t>
    </r>
    <r>
      <rPr>
        <b/>
        <sz val="10"/>
        <color theme="1"/>
        <rFont val="Calibri"/>
        <family val="2"/>
        <scheme val="minor"/>
      </rPr>
      <t>2026</t>
    </r>
  </si>
  <si>
    <t>The identified need</t>
  </si>
  <si>
    <t>The step change will result in an increase in IT-related operating expenditure incremental to the base year, increasing total operating expenditure</t>
  </si>
  <si>
    <t>The step change will result in an increase in REFCL-related operating expenditure incremental to the base year, increasing total operating expenditure</t>
  </si>
  <si>
    <t>The step change is in addition to the capital expenditure related to REFCLs</t>
  </si>
  <si>
    <t>The step change is in addition to the capital expenditure related to 5-minute settlement</t>
  </si>
  <si>
    <t>The step change will result in an increase in insurance premiums operating expenditure incremental to the base year, increasing total operating expenditure</t>
  </si>
  <si>
    <t>The step change does not impact capital expenditure</t>
  </si>
  <si>
    <t>Bushfire insurance premiums</t>
  </si>
  <si>
    <t>The step change will result in an increase in IT and corporate services operating expenditure incremental to the base year, increasing total operating expenditure.</t>
  </si>
  <si>
    <t>Zone Sub Stations with REFCLs</t>
  </si>
  <si>
    <t>Opex starts</t>
  </si>
  <si>
    <t>Number</t>
  </si>
  <si>
    <t>Base year</t>
  </si>
  <si>
    <t>Input</t>
  </si>
  <si>
    <t>Summary</t>
  </si>
  <si>
    <t>Total step change</t>
  </si>
  <si>
    <t>Year</t>
  </si>
  <si>
    <t>CitiPower proportion of costs</t>
  </si>
  <si>
    <t>Powercor proportion of costs</t>
  </si>
  <si>
    <t>With real escalation</t>
  </si>
  <si>
    <t>PAL_wtd_ave_price</t>
  </si>
  <si>
    <t xml:space="preserve"> Less 2019 base year cost</t>
  </si>
  <si>
    <t>year ending September</t>
  </si>
  <si>
    <t>Ranking</t>
  </si>
  <si>
    <t>Total step changes</t>
  </si>
  <si>
    <t>Allocation between Powercor and CitiPower</t>
  </si>
  <si>
    <t>Code</t>
  </si>
  <si>
    <t>Sheet Name</t>
  </si>
  <si>
    <t>Step change name</t>
  </si>
  <si>
    <t>Number of step changes</t>
  </si>
  <si>
    <t>Waurn Ponds</t>
  </si>
  <si>
    <t>Torquay</t>
  </si>
  <si>
    <t>Ballarat West</t>
  </si>
  <si>
    <t>Powercor Summary</t>
  </si>
  <si>
    <t>Recurrent in nature, starting 2021/22</t>
  </si>
  <si>
    <t>Real price change</t>
  </si>
  <si>
    <t>The step change will result in an efficient trade-off between operating expenditure and capital expenditure, with a reduction in IT infrastructure capital expenditure.</t>
  </si>
  <si>
    <t>Feeders - Rebalancing</t>
  </si>
  <si>
    <t>Feeders - Testing</t>
  </si>
  <si>
    <t>Gheringhap</t>
  </si>
  <si>
    <t>Installation of additional GFNs and associated incremental feeders for testing</t>
  </si>
  <si>
    <t>Feeders - re-balancing</t>
  </si>
  <si>
    <t>Feeders - compliance testing</t>
  </si>
  <si>
    <t>Completed ZSS</t>
  </si>
  <si>
    <t>Approved allowance</t>
  </si>
  <si>
    <t>Tranche 1</t>
  </si>
  <si>
    <t>Tranche 2</t>
  </si>
  <si>
    <t>Total required</t>
  </si>
  <si>
    <t>Less 2020 opex allowance</t>
  </si>
  <si>
    <t>Les 2019 actual opex incurred</t>
  </si>
  <si>
    <t>Current costs</t>
  </si>
  <si>
    <t>$k nominal</t>
  </si>
  <si>
    <t>$k $2020/21</t>
  </si>
  <si>
    <t>Cost for 2019</t>
  </si>
  <si>
    <t>Price change</t>
  </si>
  <si>
    <t>Labour (Average of DAE and BIS Oxford)</t>
  </si>
  <si>
    <t>Non Labour</t>
  </si>
  <si>
    <t>Weightings</t>
  </si>
  <si>
    <t>Labour</t>
  </si>
  <si>
    <t>Annual</t>
  </si>
  <si>
    <t>Cumulative</t>
  </si>
  <si>
    <t>AER draft decision</t>
  </si>
  <si>
    <t>Conversion from nominal to $ June 2021</t>
  </si>
  <si>
    <t>Cost ($2019)</t>
  </si>
  <si>
    <t>Tap cost</t>
  </si>
  <si>
    <t>Number of transformers tapped</t>
  </si>
  <si>
    <t>Current non compliance (2019 customer numbers)</t>
  </si>
  <si>
    <t xml:space="preserve">Greater that 1A export not conigured </t>
  </si>
  <si>
    <t xml:space="preserve">kW export greater than registered </t>
  </si>
  <si>
    <t>kW export greater than inverster size for 81+ summer days</t>
  </si>
  <si>
    <t>Solar customer numbers (2019)</t>
  </si>
  <si>
    <t>PAL</t>
  </si>
  <si>
    <t>CP</t>
  </si>
  <si>
    <t>Subtotal customer numbers</t>
  </si>
  <si>
    <t>Non-compliant</t>
  </si>
  <si>
    <t>Non-compliant %</t>
  </si>
  <si>
    <t>Compliance and Monitoring - UE ($ 2019)</t>
  </si>
  <si>
    <t>FTE cost pa (inc on-costs and overheads)</t>
  </si>
  <si>
    <t>FTE per hr</t>
  </si>
  <si>
    <t>Forecast non-compliance</t>
  </si>
  <si>
    <t>Non-compliance</t>
  </si>
  <si>
    <t>FTEs</t>
  </si>
  <si>
    <t>Implementation FTEs</t>
  </si>
  <si>
    <t>Maintenance FTEs</t>
  </si>
  <si>
    <t>Compliance opex</t>
  </si>
  <si>
    <t xml:space="preserve">Implementation </t>
  </si>
  <si>
    <t>Maintenance</t>
  </si>
  <si>
    <t>Adressing non-compliances</t>
  </si>
  <si>
    <t>Total compliance opex</t>
  </si>
  <si>
    <t>Tapping opex</t>
  </si>
  <si>
    <t>Total non-compliance VPN</t>
  </si>
  <si>
    <t>Allocation</t>
  </si>
  <si>
    <t>Subtotal</t>
  </si>
  <si>
    <t>Allocation based on customer numbers</t>
  </si>
  <si>
    <t>CitiPower % share of VPN</t>
  </si>
  <si>
    <t>Powercor % share of VPN</t>
  </si>
  <si>
    <t>Total opex</t>
  </si>
  <si>
    <t>RRP change</t>
  </si>
  <si>
    <t>REFCL on-going operating expenditure</t>
  </si>
  <si>
    <t>Security of Critical Infrastructure</t>
  </si>
  <si>
    <t>Draft determination</t>
  </si>
  <si>
    <t>$k 2020/21</t>
  </si>
  <si>
    <t>Source: AER - Powercor distribution determination - REFCL contingent project T2 - PTRM - PUBLIC - September 2018.xlsx</t>
  </si>
  <si>
    <t>Source: AER - Powercor distribution determination - REFCL contingent project - PTRM - September 2017.xlsm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</si>
</sst>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8" formatCode="&quot;$&quot;#,##0.00;[Red]\-&quot;$&quot;#,##0.00"/>
    <numFmt numFmtId="44" formatCode="_-&quot;$&quot;* #,##0.00_-;\-&quot;$&quot;* #,##0.00_-;_-&quot;$&quot;* &quot;-&quot;??_-;_-@_-"/>
    <numFmt numFmtId="43" formatCode="_-* #,##0.00_-;\-* #,##0.00_-;_-* &quot;-&quot;??_-;_-@_-"/>
    <numFmt numFmtId="164" formatCode="0.0000"/>
    <numFmt numFmtId="165" formatCode="#,##0;[Red]\(#,##0\);&quot;-&quot;"/>
    <numFmt numFmtId="166" formatCode="#,##0;\(#,##0\);&quot;-&quot;"/>
    <numFmt numFmtId="167" formatCode="0.0%"/>
    <numFmt numFmtId="168" formatCode="#,##0.0000;\(#,##0.0000\);&quot;-&quot;"/>
    <numFmt numFmtId="169" formatCode="#,##0.0000000;\(#,##0.0000000\);&quot;-&quot;"/>
    <numFmt numFmtId="170" formatCode="0.000"/>
    <numFmt numFmtId="171" formatCode="_-* #,##0_-;\-* #,##0_-;_-* &quot;-&quot;??_-;_-@_-"/>
    <numFmt numFmtId="172" formatCode="&quot;$k $&quot;#"/>
    <numFmt numFmtId="173" formatCode="_-&quot;$&quot;* #,##0_-;\-&quot;$&quot;* #,##0_-;_-&quot;$&quot;* &quot;-&quot;??_-;_-@_-"/>
    <numFmt numFmtId="174" formatCode="&quot;$&quot;#,##0;[Red]\-&quot;$&quot;#,##0;\ &quot;-&quot;"/>
    <numFmt numFmtId="175" formatCode="#;\ \-#;\ &quot;-&quot;"/>
    <numFmt numFmtId="176" formatCode="0.0"/>
    <numFmt numFmtId="177" formatCode="&quot;$&quot;#"/>
    <numFmt numFmtId="178" formatCode="#,##0;[Red]\-#,##0;\ &quot;-&quot;"/>
    <numFmt numFmtId="179" formatCode="#,##0_ ;[Red]\-#,##0\ ;\ &quot;-&quot;"/>
    <numFmt numFmtId="180" formatCode="&quot;$k &quot;#"/>
    <numFmt numFmtId="181" formatCode="_-* #,##0;\-* #,##0_-;* &quot;-&quot;??_-;_-@_-"/>
    <numFmt numFmtId="182" formatCode="#,##0.0"/>
    <numFmt numFmtId="183" formatCode="_-* #,##0.0_-;\-* #,##0.0_-;_-* &quot;-&quot;??_-;_-@_-"/>
    <numFmt numFmtId="184" formatCode="&quot;$&quot;#.0"/>
  </numFmts>
  <fonts count="41" x14ac:knownFonts="1">
    <font>
      <sz val="10"/>
      <color theme="1"/>
      <name val="Verdana"/>
      <family val="2"/>
    </font>
    <font>
      <sz val="10"/>
      <color theme="1"/>
      <name val="Calibri"/>
      <family val="2"/>
    </font>
    <font>
      <sz val="10"/>
      <color theme="1"/>
      <name val="Verdana"/>
      <family val="2"/>
    </font>
    <font>
      <b/>
      <sz val="10"/>
      <color theme="1"/>
      <name val="Calibri"/>
      <family val="2"/>
    </font>
    <font>
      <sz val="10"/>
      <color theme="1"/>
      <name val="Calibri"/>
      <family val="2"/>
      <scheme val="minor"/>
    </font>
    <font>
      <b/>
      <sz val="10"/>
      <color theme="1"/>
      <name val="Calibri"/>
      <family val="2"/>
      <scheme val="minor"/>
    </font>
    <font>
      <b/>
      <sz val="16"/>
      <color theme="1"/>
      <name val="Calibri"/>
      <family val="2"/>
      <scheme val="minor"/>
    </font>
    <font>
      <sz val="10"/>
      <name val="Calibri"/>
      <family val="2"/>
      <scheme val="minor"/>
    </font>
    <font>
      <i/>
      <sz val="9"/>
      <color theme="1"/>
      <name val="Calibri"/>
      <family val="2"/>
      <scheme val="minor"/>
    </font>
    <font>
      <i/>
      <sz val="14"/>
      <name val="Calibri"/>
      <family val="2"/>
    </font>
    <font>
      <sz val="10"/>
      <color rgb="FFFF0000"/>
      <name val="Calibri"/>
      <family val="2"/>
      <scheme val="minor"/>
    </font>
    <font>
      <sz val="10"/>
      <color theme="1"/>
      <name val="Wingdings 2"/>
      <family val="1"/>
      <charset val="2"/>
    </font>
    <font>
      <b/>
      <sz val="10"/>
      <name val="Calibri"/>
      <family val="2"/>
      <scheme val="minor"/>
    </font>
    <font>
      <b/>
      <sz val="16"/>
      <color indexed="9"/>
      <name val="Arial"/>
      <family val="2"/>
    </font>
    <font>
      <b/>
      <sz val="12"/>
      <color theme="0"/>
      <name val="Arial"/>
      <family val="2"/>
    </font>
    <font>
      <i/>
      <sz val="9"/>
      <name val="Calibri"/>
      <family val="2"/>
      <scheme val="minor"/>
    </font>
    <font>
      <b/>
      <i/>
      <sz val="9"/>
      <color theme="1"/>
      <name val="Calibri"/>
      <family val="2"/>
      <scheme val="minor"/>
    </font>
    <font>
      <i/>
      <sz val="10"/>
      <color theme="1"/>
      <name val="Calibri"/>
      <family val="2"/>
      <scheme val="minor"/>
    </font>
    <font>
      <i/>
      <sz val="10"/>
      <color theme="1" tint="0.499984740745262"/>
      <name val="Calibri"/>
      <family val="2"/>
      <scheme val="minor"/>
    </font>
    <font>
      <sz val="10"/>
      <color rgb="FF0000FF"/>
      <name val="Calibri"/>
      <family val="2"/>
      <scheme val="minor"/>
    </font>
    <font>
      <b/>
      <sz val="10"/>
      <color rgb="FFFF0000"/>
      <name val="Calibri"/>
      <family val="2"/>
      <scheme val="minor"/>
    </font>
    <font>
      <b/>
      <sz val="11"/>
      <color rgb="FFFF33CC"/>
      <name val="Calibri"/>
      <family val="2"/>
      <scheme val="minor"/>
    </font>
    <font>
      <b/>
      <sz val="10"/>
      <color theme="1"/>
      <name val="Verdana"/>
      <family val="2"/>
    </font>
    <font>
      <b/>
      <i/>
      <sz val="10"/>
      <color theme="1"/>
      <name val="Calibri"/>
      <family val="2"/>
      <scheme val="minor"/>
    </font>
    <font>
      <b/>
      <sz val="10"/>
      <color rgb="FF000000"/>
      <name val="Calibri"/>
      <family val="2"/>
    </font>
    <font>
      <sz val="10"/>
      <color rgb="FF000000"/>
      <name val="Calibri"/>
      <family val="2"/>
    </font>
    <font>
      <sz val="10"/>
      <color theme="3"/>
      <name val="Arial"/>
      <family val="2"/>
    </font>
    <font>
      <sz val="10"/>
      <color theme="3" tint="-0.499984740745262"/>
      <name val="Calibri"/>
      <family val="2"/>
      <scheme val="minor"/>
    </font>
    <font>
      <sz val="10"/>
      <color theme="1" tint="0.499984740745262"/>
      <name val="Calibri"/>
      <family val="2"/>
      <scheme val="minor"/>
    </font>
    <font>
      <sz val="9"/>
      <color theme="1"/>
      <name val="Calibri"/>
      <family val="2"/>
      <scheme val="minor"/>
    </font>
    <font>
      <b/>
      <sz val="9"/>
      <color theme="1"/>
      <name val="Calibri"/>
      <family val="2"/>
      <scheme val="minor"/>
    </font>
    <font>
      <i/>
      <sz val="10"/>
      <name val="Calibri"/>
      <family val="2"/>
    </font>
    <font>
      <sz val="8"/>
      <color theme="1" tint="0.499984740745262"/>
      <name val="Calibri"/>
      <family val="2"/>
      <scheme val="minor"/>
    </font>
    <font>
      <sz val="9"/>
      <color theme="1" tint="0.499984740745262"/>
      <name val="Calibri"/>
      <family val="2"/>
      <scheme val="minor"/>
    </font>
    <font>
      <sz val="10"/>
      <color rgb="FF00B050"/>
      <name val="Calibri"/>
      <family val="2"/>
      <scheme val="minor"/>
    </font>
    <font>
      <b/>
      <sz val="10"/>
      <color rgb="FF00B050"/>
      <name val="Calibri"/>
      <family val="2"/>
      <scheme val="minor"/>
    </font>
    <font>
      <sz val="8"/>
      <color rgb="FF0000FF"/>
      <name val="Calibri"/>
      <family val="2"/>
      <scheme val="minor"/>
    </font>
    <font>
      <sz val="8"/>
      <name val="Calibri"/>
      <family val="2"/>
      <scheme val="minor"/>
    </font>
    <font>
      <i/>
      <sz val="10"/>
      <color theme="1" tint="0.34998626667073579"/>
      <name val="Calibri"/>
      <family val="2"/>
      <scheme val="minor"/>
    </font>
    <font>
      <sz val="11"/>
      <color rgb="FF1A2331"/>
      <name val="Century Gothic"/>
      <family val="2"/>
    </font>
    <font>
      <i/>
      <sz val="10"/>
      <name val="Calibri"/>
      <family val="2"/>
      <scheme val="minor"/>
    </font>
  </fonts>
  <fills count="1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65"/>
        <bgColor theme="0"/>
      </patternFill>
    </fill>
    <fill>
      <patternFill patternType="solid">
        <fgColor theme="0"/>
        <bgColor theme="0"/>
      </patternFill>
    </fill>
    <fill>
      <patternFill patternType="solid">
        <fgColor rgb="FFFFFFCC"/>
        <bgColor theme="0"/>
      </patternFill>
    </fill>
    <fill>
      <patternFill patternType="solid">
        <fgColor theme="0" tint="-4.9989318521683403E-2"/>
        <bgColor indexed="64"/>
      </patternFill>
    </fill>
    <fill>
      <patternFill patternType="solid">
        <fgColor rgb="FF00FF00"/>
        <bgColor indexed="64"/>
      </patternFill>
    </fill>
    <fill>
      <patternFill patternType="solid">
        <fgColor rgb="FFFFFF00"/>
        <bgColor indexed="64"/>
      </patternFill>
    </fill>
    <fill>
      <patternFill patternType="solid">
        <fgColor rgb="FF00FF00"/>
        <bgColor theme="0"/>
      </patternFill>
    </fill>
  </fills>
  <borders count="12">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auto="1"/>
      </top>
      <bottom style="medium">
        <color auto="1"/>
      </bottom>
      <diagonal/>
    </border>
    <border>
      <left/>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diagonal/>
    </border>
    <border>
      <left/>
      <right/>
      <top/>
      <bottom style="hair">
        <color indexed="64"/>
      </bottom>
      <diagonal/>
    </border>
    <border>
      <left style="hair">
        <color indexed="64"/>
      </left>
      <right style="hair">
        <color indexed="64"/>
      </right>
      <top/>
      <bottom style="hair">
        <color indexed="64"/>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13" fillId="6" borderId="0">
      <alignment horizontal="left" vertical="center"/>
      <protection locked="0"/>
    </xf>
    <xf numFmtId="0" fontId="14" fillId="5" borderId="3">
      <alignment vertical="center"/>
    </xf>
    <xf numFmtId="44" fontId="2" fillId="0" borderId="0" applyFont="0" applyFill="0" applyBorder="0" applyAlignment="0" applyProtection="0"/>
    <xf numFmtId="0" fontId="26" fillId="3" borderId="5" applyNumberFormat="0" applyAlignment="0">
      <alignment horizontal="right"/>
      <protection locked="0"/>
    </xf>
  </cellStyleXfs>
  <cellXfs count="224">
    <xf numFmtId="0" fontId="0" fillId="0" borderId="0" xfId="0"/>
    <xf numFmtId="0" fontId="4" fillId="0" borderId="0" xfId="0" applyFont="1"/>
    <xf numFmtId="0" fontId="5" fillId="2" borderId="1" xfId="0" applyFont="1" applyFill="1" applyBorder="1"/>
    <xf numFmtId="0" fontId="6" fillId="0" borderId="0" xfId="0" applyFont="1"/>
    <xf numFmtId="164" fontId="4" fillId="0" borderId="0" xfId="0" applyNumberFormat="1" applyFont="1"/>
    <xf numFmtId="0" fontId="5" fillId="0" borderId="0" xfId="0" applyFont="1"/>
    <xf numFmtId="6" fontId="8" fillId="0" borderId="0" xfId="0" applyNumberFormat="1" applyFont="1" applyAlignment="1">
      <alignment horizontal="right"/>
    </xf>
    <xf numFmtId="0" fontId="5" fillId="2" borderId="1" xfId="0" applyFont="1" applyFill="1" applyBorder="1" applyAlignment="1">
      <alignment horizontal="right"/>
    </xf>
    <xf numFmtId="0" fontId="9" fillId="0" borderId="0" xfId="0" applyFont="1"/>
    <xf numFmtId="166" fontId="4" fillId="0" borderId="0" xfId="0" applyNumberFormat="1" applyFont="1"/>
    <xf numFmtId="166" fontId="5" fillId="0" borderId="0" xfId="0" applyNumberFormat="1" applyFont="1"/>
    <xf numFmtId="0" fontId="5" fillId="0" borderId="0" xfId="0" applyFont="1" applyFill="1" applyBorder="1"/>
    <xf numFmtId="0" fontId="5" fillId="0" borderId="0" xfId="0" applyFont="1" applyFill="1" applyBorder="1" applyAlignment="1">
      <alignment horizontal="right"/>
    </xf>
    <xf numFmtId="0" fontId="4" fillId="0" borderId="0" xfId="0" applyFont="1" applyFill="1"/>
    <xf numFmtId="165" fontId="7" fillId="0" borderId="0" xfId="0" applyNumberFormat="1" applyFont="1" applyFill="1"/>
    <xf numFmtId="10" fontId="4" fillId="0" borderId="0" xfId="2" applyNumberFormat="1" applyFont="1" applyFill="1"/>
    <xf numFmtId="168" fontId="4" fillId="0" borderId="0" xfId="0" applyNumberFormat="1" applyFont="1"/>
    <xf numFmtId="169" fontId="4" fillId="0" borderId="0" xfId="0" applyNumberFormat="1" applyFont="1"/>
    <xf numFmtId="0" fontId="10" fillId="0" borderId="0" xfId="0" applyFont="1"/>
    <xf numFmtId="166" fontId="4" fillId="0" borderId="2" xfId="0" applyNumberFormat="1" applyFont="1" applyBorder="1"/>
    <xf numFmtId="166" fontId="5" fillId="0" borderId="2" xfId="0" applyNumberFormat="1" applyFont="1" applyBorder="1"/>
    <xf numFmtId="0" fontId="11" fillId="0" borderId="0" xfId="0" applyFont="1" applyAlignment="1">
      <alignment horizontal="center" vertical="center"/>
    </xf>
    <xf numFmtId="166" fontId="10" fillId="0" borderId="0" xfId="0" applyNumberFormat="1" applyFont="1"/>
    <xf numFmtId="0" fontId="4" fillId="0" borderId="0" xfId="0" applyFont="1" applyAlignment="1">
      <alignment horizontal="right"/>
    </xf>
    <xf numFmtId="171" fontId="4" fillId="0" borderId="0" xfId="1" applyNumberFormat="1" applyFont="1"/>
    <xf numFmtId="0" fontId="4" fillId="4" borderId="0" xfId="0" applyFont="1" applyFill="1"/>
    <xf numFmtId="10" fontId="4" fillId="4" borderId="0" xfId="2" applyNumberFormat="1" applyFont="1" applyFill="1"/>
    <xf numFmtId="6" fontId="17" fillId="0" borderId="0" xfId="0" quotePrefix="1" applyNumberFormat="1" applyFont="1"/>
    <xf numFmtId="0" fontId="18" fillId="0" borderId="0" xfId="0" applyFont="1"/>
    <xf numFmtId="174" fontId="4" fillId="0" borderId="0" xfId="0" applyNumberFormat="1" applyFont="1"/>
    <xf numFmtId="0" fontId="5" fillId="0" borderId="0" xfId="0" applyFont="1" applyBorder="1"/>
    <xf numFmtId="0" fontId="4" fillId="0" borderId="0" xfId="0" applyFont="1" applyAlignment="1">
      <alignment vertical="top"/>
    </xf>
    <xf numFmtId="38" fontId="12" fillId="0" borderId="0" xfId="0" applyNumberFormat="1" applyFont="1" applyAlignment="1">
      <alignment horizontal="right" vertical="top"/>
    </xf>
    <xf numFmtId="0" fontId="5" fillId="0" borderId="2" xfId="0" applyFont="1" applyBorder="1"/>
    <xf numFmtId="6" fontId="4" fillId="0" borderId="0" xfId="0" quotePrefix="1" applyNumberFormat="1" applyFont="1"/>
    <xf numFmtId="0" fontId="4" fillId="0" borderId="0" xfId="0" applyFont="1" applyAlignment="1">
      <alignment wrapText="1"/>
    </xf>
    <xf numFmtId="0" fontId="5" fillId="0" borderId="0" xfId="0" applyFont="1" applyAlignment="1">
      <alignment horizontal="right"/>
    </xf>
    <xf numFmtId="165" fontId="12" fillId="0" borderId="0" xfId="0" applyNumberFormat="1" applyFont="1" applyFill="1"/>
    <xf numFmtId="0" fontId="20" fillId="0" borderId="0" xfId="0" applyFont="1"/>
    <xf numFmtId="43" fontId="4" fillId="0" borderId="0" xfId="0" applyNumberFormat="1" applyFont="1"/>
    <xf numFmtId="0" fontId="4" fillId="0" borderId="0" xfId="0" applyFont="1" applyBorder="1"/>
    <xf numFmtId="0" fontId="17" fillId="0" borderId="0" xfId="0" applyFont="1"/>
    <xf numFmtId="0" fontId="4" fillId="7" borderId="0" xfId="0" applyFont="1" applyFill="1"/>
    <xf numFmtId="0" fontId="9" fillId="7" borderId="0" xfId="0" applyFont="1" applyFill="1"/>
    <xf numFmtId="0" fontId="5" fillId="7" borderId="0" xfId="0" applyFont="1" applyFill="1" applyAlignment="1">
      <alignment horizontal="right"/>
    </xf>
    <xf numFmtId="166" fontId="4" fillId="7" borderId="0" xfId="0" applyNumberFormat="1" applyFont="1" applyFill="1"/>
    <xf numFmtId="171" fontId="4" fillId="7" borderId="0" xfId="1" applyNumberFormat="1" applyFont="1" applyFill="1"/>
    <xf numFmtId="0" fontId="4" fillId="7" borderId="0" xfId="0" applyFont="1" applyFill="1" applyAlignment="1">
      <alignment horizontal="right"/>
    </xf>
    <xf numFmtId="0" fontId="20" fillId="0" borderId="0" xfId="0" applyFont="1"/>
    <xf numFmtId="0" fontId="4" fillId="4" borderId="0" xfId="0" applyFont="1" applyFill="1" applyAlignment="1">
      <alignment wrapText="1"/>
    </xf>
    <xf numFmtId="175" fontId="4" fillId="0" borderId="0" xfId="0" applyNumberFormat="1" applyFont="1"/>
    <xf numFmtId="0" fontId="21" fillId="0" borderId="0" xfId="0" applyFont="1"/>
    <xf numFmtId="0" fontId="7" fillId="0" borderId="0" xfId="0" applyFont="1"/>
    <xf numFmtId="165" fontId="7" fillId="4" borderId="0" xfId="0" applyNumberFormat="1" applyFont="1" applyFill="1"/>
    <xf numFmtId="0" fontId="24" fillId="0" borderId="0" xfId="0" applyFont="1" applyAlignment="1">
      <alignment vertical="center"/>
    </xf>
    <xf numFmtId="0" fontId="25" fillId="0" borderId="0" xfId="0" applyFont="1" applyAlignment="1">
      <alignment vertical="center"/>
    </xf>
    <xf numFmtId="0" fontId="5" fillId="0" borderId="0" xfId="0" applyFont="1" applyAlignment="1">
      <alignment horizontal="left"/>
    </xf>
    <xf numFmtId="0" fontId="25" fillId="4" borderId="0" xfId="0" applyFont="1" applyFill="1" applyAlignment="1">
      <alignment vertical="center"/>
    </xf>
    <xf numFmtId="0" fontId="4" fillId="8" borderId="0" xfId="0" applyFont="1" applyFill="1"/>
    <xf numFmtId="176" fontId="4" fillId="0" borderId="0" xfId="0" applyNumberFormat="1" applyFont="1"/>
    <xf numFmtId="0" fontId="4" fillId="0" borderId="0" xfId="0" applyFont="1" applyAlignment="1">
      <alignment horizontal="left" wrapText="1"/>
    </xf>
    <xf numFmtId="9" fontId="4" fillId="0" borderId="0" xfId="2" applyFont="1"/>
    <xf numFmtId="0" fontId="4" fillId="0" borderId="0" xfId="0" applyFont="1" applyAlignment="1">
      <alignment horizontal="left"/>
    </xf>
    <xf numFmtId="0" fontId="25" fillId="0" borderId="0" xfId="0" applyFont="1" applyAlignment="1">
      <alignment horizontal="left" vertical="center"/>
    </xf>
    <xf numFmtId="173" fontId="19" fillId="3" borderId="0" xfId="5" applyNumberFormat="1" applyFont="1" applyFill="1" applyBorder="1" applyAlignment="1">
      <alignment horizontal="right" vertical="top"/>
    </xf>
    <xf numFmtId="0" fontId="19" fillId="3" borderId="0" xfId="0" applyFont="1" applyFill="1" applyAlignment="1">
      <alignment horizontal="center"/>
    </xf>
    <xf numFmtId="0" fontId="5" fillId="0" borderId="0" xfId="0" applyFont="1" applyAlignment="1"/>
    <xf numFmtId="0" fontId="17" fillId="7" borderId="0" xfId="0" applyFont="1" applyFill="1"/>
    <xf numFmtId="10" fontId="19" fillId="3" borderId="0" xfId="6" applyNumberFormat="1" applyFont="1" applyFill="1" applyBorder="1" applyAlignment="1">
      <alignment horizontal="left"/>
      <protection locked="0"/>
    </xf>
    <xf numFmtId="0" fontId="4" fillId="0" borderId="0" xfId="0" applyFont="1" applyAlignment="1">
      <alignment horizontal="center"/>
    </xf>
    <xf numFmtId="0" fontId="5" fillId="0" borderId="4" xfId="0" applyFont="1" applyBorder="1"/>
    <xf numFmtId="0" fontId="4" fillId="0" borderId="0" xfId="0" applyFont="1" applyAlignment="1">
      <alignment horizontal="left" wrapText="1"/>
    </xf>
    <xf numFmtId="0" fontId="28" fillId="0" borderId="0" xfId="0" applyFont="1"/>
    <xf numFmtId="0" fontId="3" fillId="2" borderId="1" xfId="0" applyFont="1" applyFill="1" applyBorder="1"/>
    <xf numFmtId="174" fontId="5" fillId="0" borderId="7" xfId="0" applyNumberFormat="1" applyFont="1" applyBorder="1"/>
    <xf numFmtId="178" fontId="5" fillId="0" borderId="7" xfId="0" applyNumberFormat="1" applyFont="1" applyBorder="1"/>
    <xf numFmtId="174" fontId="4" fillId="0" borderId="8" xfId="0" applyNumberFormat="1" applyFont="1" applyBorder="1"/>
    <xf numFmtId="178" fontId="4" fillId="0" borderId="8" xfId="0" applyNumberFormat="1" applyFont="1" applyBorder="1"/>
    <xf numFmtId="171" fontId="19" fillId="9" borderId="0" xfId="1" applyNumberFormat="1" applyFont="1" applyFill="1"/>
    <xf numFmtId="178" fontId="5" fillId="0" borderId="8" xfId="0" applyNumberFormat="1" applyFont="1" applyBorder="1"/>
    <xf numFmtId="9" fontId="19" fillId="3" borderId="0" xfId="0" applyNumberFormat="1" applyFont="1" applyFill="1"/>
    <xf numFmtId="0" fontId="4" fillId="7" borderId="0" xfId="0" applyFont="1" applyFill="1" applyAlignment="1">
      <alignment horizontal="left" indent="1"/>
    </xf>
    <xf numFmtId="171" fontId="4" fillId="7" borderId="0" xfId="0" applyNumberFormat="1" applyFont="1" applyFill="1"/>
    <xf numFmtId="0" fontId="5" fillId="2" borderId="1" xfId="0" applyFont="1" applyFill="1" applyBorder="1" applyAlignment="1">
      <alignment horizontal="left"/>
    </xf>
    <xf numFmtId="174" fontId="16" fillId="0" borderId="7" xfId="0" applyNumberFormat="1" applyFont="1" applyBorder="1" applyAlignment="1">
      <alignment horizontal="left"/>
    </xf>
    <xf numFmtId="0" fontId="5" fillId="0" borderId="0" xfId="0" applyFont="1" applyFill="1" applyBorder="1" applyAlignment="1">
      <alignment horizontal="left"/>
    </xf>
    <xf numFmtId="174" fontId="17" fillId="0" borderId="0" xfId="0" applyNumberFormat="1" applyFont="1" applyBorder="1" applyAlignment="1">
      <alignment horizontal="left"/>
    </xf>
    <xf numFmtId="174" fontId="5" fillId="0" borderId="7" xfId="0" applyNumberFormat="1" applyFont="1" applyBorder="1" applyAlignment="1">
      <alignment horizontal="left"/>
    </xf>
    <xf numFmtId="0" fontId="4" fillId="7" borderId="0" xfId="0" applyFont="1" applyFill="1" applyAlignment="1">
      <alignment horizontal="left"/>
    </xf>
    <xf numFmtId="0" fontId="4" fillId="8" borderId="0" xfId="0" applyFont="1" applyFill="1" applyAlignment="1">
      <alignment horizontal="left"/>
    </xf>
    <xf numFmtId="0" fontId="5" fillId="0" borderId="2" xfId="0" applyFont="1" applyBorder="1" applyAlignment="1">
      <alignment horizontal="left"/>
    </xf>
    <xf numFmtId="0" fontId="4" fillId="0" borderId="4" xfId="0" applyFont="1" applyBorder="1" applyAlignment="1">
      <alignment horizontal="left"/>
    </xf>
    <xf numFmtId="0" fontId="4" fillId="0" borderId="0" xfId="0" applyFont="1" applyBorder="1" applyAlignment="1">
      <alignment horizontal="left"/>
    </xf>
    <xf numFmtId="0" fontId="5" fillId="0" borderId="0" xfId="0" applyFont="1" applyBorder="1" applyAlignment="1">
      <alignment horizontal="left"/>
    </xf>
    <xf numFmtId="174" fontId="4" fillId="0" borderId="8" xfId="0" applyNumberFormat="1" applyFont="1" applyBorder="1" applyAlignment="1">
      <alignment horizontal="left"/>
    </xf>
    <xf numFmtId="0" fontId="4" fillId="0" borderId="0" xfId="0" applyFont="1" applyFill="1" applyAlignment="1">
      <alignment horizontal="left"/>
    </xf>
    <xf numFmtId="0" fontId="5" fillId="0" borderId="4" xfId="0" applyFont="1" applyBorder="1" applyAlignment="1">
      <alignment horizontal="left"/>
    </xf>
    <xf numFmtId="0" fontId="29" fillId="0" borderId="0" xfId="0" applyFont="1" applyAlignment="1">
      <alignment horizontal="left"/>
    </xf>
    <xf numFmtId="174" fontId="8" fillId="0" borderId="0" xfId="0" applyNumberFormat="1" applyFont="1" applyBorder="1" applyAlignment="1">
      <alignment horizontal="left"/>
    </xf>
    <xf numFmtId="0" fontId="30" fillId="0" borderId="0" xfId="0" applyFont="1" applyFill="1" applyBorder="1" applyAlignment="1">
      <alignment horizontal="left"/>
    </xf>
    <xf numFmtId="0" fontId="31" fillId="0" borderId="0" xfId="0" applyFont="1"/>
    <xf numFmtId="0" fontId="32" fillId="0" borderId="0" xfId="0" applyFont="1"/>
    <xf numFmtId="0" fontId="28" fillId="0" borderId="0" xfId="0" applyFont="1" applyAlignment="1">
      <alignment horizontal="right"/>
    </xf>
    <xf numFmtId="0" fontId="3" fillId="2" borderId="1" xfId="0" applyFont="1" applyFill="1" applyBorder="1" applyAlignment="1">
      <alignment horizontal="center"/>
    </xf>
    <xf numFmtId="43" fontId="5" fillId="0" borderId="0" xfId="0" applyNumberFormat="1" applyFont="1"/>
    <xf numFmtId="179" fontId="5" fillId="0" borderId="2" xfId="0" applyNumberFormat="1" applyFont="1" applyBorder="1"/>
    <xf numFmtId="0" fontId="4" fillId="0" borderId="1" xfId="0" applyFont="1" applyBorder="1"/>
    <xf numFmtId="0" fontId="19" fillId="3" borderId="0" xfId="0" applyFont="1" applyFill="1" applyAlignment="1">
      <alignment horizontal="right"/>
    </xf>
    <xf numFmtId="9" fontId="19" fillId="3" borderId="0" xfId="2" applyFont="1" applyFill="1" applyAlignment="1">
      <alignment horizontal="right"/>
    </xf>
    <xf numFmtId="0" fontId="33" fillId="0" borderId="0" xfId="0" applyFont="1"/>
    <xf numFmtId="0" fontId="33" fillId="0" borderId="0" xfId="0" applyFont="1" applyAlignment="1">
      <alignment horizontal="center"/>
    </xf>
    <xf numFmtId="0" fontId="34" fillId="0" borderId="0" xfId="0" applyFont="1" applyAlignment="1">
      <alignment horizontal="left"/>
    </xf>
    <xf numFmtId="0" fontId="4" fillId="10" borderId="0" xfId="0" applyFont="1" applyFill="1" applyAlignment="1">
      <alignment horizontal="right"/>
    </xf>
    <xf numFmtId="0" fontId="4" fillId="0" borderId="1" xfId="0" applyFont="1" applyBorder="1" applyAlignment="1">
      <alignment horizontal="left"/>
    </xf>
    <xf numFmtId="0" fontId="35" fillId="0" borderId="0" xfId="0" applyFont="1"/>
    <xf numFmtId="0" fontId="18" fillId="3" borderId="0" xfId="0" applyFont="1" applyFill="1" applyAlignment="1">
      <alignment horizontal="left"/>
    </xf>
    <xf numFmtId="0" fontId="18" fillId="0" borderId="0" xfId="0" applyFont="1" applyAlignment="1">
      <alignment horizontal="left"/>
    </xf>
    <xf numFmtId="0" fontId="18" fillId="0" borderId="0" xfId="0" applyFont="1" applyAlignment="1">
      <alignment horizontal="center"/>
    </xf>
    <xf numFmtId="166" fontId="18" fillId="0" borderId="0" xfId="0" applyNumberFormat="1" applyFont="1"/>
    <xf numFmtId="174" fontId="5" fillId="0" borderId="8" xfId="0" applyNumberFormat="1" applyFont="1" applyBorder="1"/>
    <xf numFmtId="174" fontId="5" fillId="0" borderId="8" xfId="0" applyNumberFormat="1" applyFont="1" applyBorder="1" applyAlignment="1">
      <alignment horizontal="left"/>
    </xf>
    <xf numFmtId="0" fontId="19" fillId="3" borderId="0" xfId="0" quotePrefix="1" applyFont="1" applyFill="1" applyAlignment="1">
      <alignment horizontal="right"/>
    </xf>
    <xf numFmtId="0" fontId="5" fillId="0" borderId="1" xfId="0" applyFont="1" applyBorder="1"/>
    <xf numFmtId="177" fontId="7" fillId="0" borderId="0" xfId="0" applyNumberFormat="1" applyFont="1" applyFill="1" applyAlignment="1">
      <alignment horizontal="left"/>
    </xf>
    <xf numFmtId="180" fontId="37" fillId="0" borderId="0" xfId="0" applyNumberFormat="1" applyFont="1" applyFill="1" applyAlignment="1">
      <alignment horizontal="left"/>
    </xf>
    <xf numFmtId="180" fontId="37" fillId="0" borderId="7" xfId="0" applyNumberFormat="1" applyFont="1" applyFill="1" applyBorder="1" applyAlignment="1">
      <alignment horizontal="left"/>
    </xf>
    <xf numFmtId="180" fontId="37" fillId="0" borderId="0" xfId="0" applyNumberFormat="1" applyFont="1" applyFill="1" applyBorder="1" applyAlignment="1">
      <alignment horizontal="left"/>
    </xf>
    <xf numFmtId="180" fontId="37" fillId="0" borderId="0" xfId="0" applyNumberFormat="1" applyFont="1" applyFill="1" applyAlignment="1">
      <alignment horizontal="right"/>
    </xf>
    <xf numFmtId="0" fontId="5" fillId="0" borderId="2" xfId="0" applyFont="1" applyBorder="1" applyAlignment="1">
      <alignment horizontal="right"/>
    </xf>
    <xf numFmtId="180" fontId="37" fillId="0" borderId="7" xfId="0" applyNumberFormat="1" applyFont="1" applyFill="1" applyBorder="1" applyAlignment="1">
      <alignment horizontal="right"/>
    </xf>
    <xf numFmtId="0" fontId="29" fillId="0" borderId="0" xfId="0" applyFont="1" applyAlignment="1">
      <alignment horizontal="right"/>
    </xf>
    <xf numFmtId="180" fontId="37" fillId="0" borderId="0" xfId="0" applyNumberFormat="1" applyFont="1" applyFill="1" applyBorder="1" applyAlignment="1">
      <alignment horizontal="right"/>
    </xf>
    <xf numFmtId="177" fontId="36" fillId="3" borderId="0" xfId="0" applyNumberFormat="1" applyFont="1" applyFill="1" applyAlignment="1">
      <alignment horizontal="center"/>
    </xf>
    <xf numFmtId="0" fontId="5" fillId="2" borderId="1" xfId="0" quotePrefix="1" applyFont="1" applyFill="1" applyBorder="1" applyAlignment="1">
      <alignment horizontal="right"/>
    </xf>
    <xf numFmtId="8" fontId="17" fillId="0" borderId="0" xfId="0" applyNumberFormat="1" applyFont="1" applyAlignment="1">
      <alignment horizontal="left"/>
    </xf>
    <xf numFmtId="180" fontId="7" fillId="0" borderId="0" xfId="0" applyNumberFormat="1" applyFont="1" applyAlignment="1">
      <alignment horizontal="right"/>
    </xf>
    <xf numFmtId="3" fontId="4" fillId="0" borderId="0" xfId="0" applyNumberFormat="1" applyFont="1"/>
    <xf numFmtId="8" fontId="38" fillId="0" borderId="0" xfId="0" applyNumberFormat="1" applyFont="1" applyAlignment="1">
      <alignment horizontal="left"/>
    </xf>
    <xf numFmtId="180" fontId="12" fillId="0" borderId="4" xfId="0" applyNumberFormat="1" applyFont="1" applyBorder="1" applyAlignment="1">
      <alignment horizontal="right"/>
    </xf>
    <xf numFmtId="3" fontId="5" fillId="0" borderId="4" xfId="0" applyNumberFormat="1" applyFont="1" applyBorder="1"/>
    <xf numFmtId="0" fontId="5" fillId="0" borderId="0" xfId="0" applyFont="1" applyBorder="1" applyAlignment="1">
      <alignment horizontal="right"/>
    </xf>
    <xf numFmtId="179" fontId="5" fillId="0" borderId="0" xfId="0" applyNumberFormat="1" applyFont="1" applyBorder="1"/>
    <xf numFmtId="38" fontId="7" fillId="0" borderId="0" xfId="0" applyNumberFormat="1" applyFont="1" applyAlignment="1">
      <alignment horizontal="right" vertical="top"/>
    </xf>
    <xf numFmtId="178" fontId="4" fillId="0" borderId="0" xfId="0" applyNumberFormat="1" applyFont="1"/>
    <xf numFmtId="180" fontId="12" fillId="0" borderId="8" xfId="0" applyNumberFormat="1" applyFont="1" applyBorder="1" applyAlignment="1">
      <alignment horizontal="right"/>
    </xf>
    <xf numFmtId="172" fontId="15" fillId="0" borderId="0" xfId="0" applyNumberFormat="1" applyFont="1" applyAlignment="1">
      <alignment horizontal="left"/>
    </xf>
    <xf numFmtId="174" fontId="8" fillId="0" borderId="0" xfId="0" applyNumberFormat="1" applyFont="1" applyAlignment="1">
      <alignment horizontal="left"/>
    </xf>
    <xf numFmtId="181" fontId="4" fillId="7" borderId="0" xfId="0" applyNumberFormat="1" applyFont="1" applyFill="1"/>
    <xf numFmtId="10" fontId="4" fillId="3" borderId="0" xfId="2" applyNumberFormat="1" applyFont="1" applyFill="1"/>
    <xf numFmtId="0" fontId="5" fillId="4" borderId="0" xfId="0" applyFont="1" applyFill="1"/>
    <xf numFmtId="9" fontId="4" fillId="0" borderId="0" xfId="2" applyFont="1" applyFill="1"/>
    <xf numFmtId="170" fontId="19" fillId="3" borderId="0" xfId="0" applyNumberFormat="1" applyFont="1" applyFill="1"/>
    <xf numFmtId="0" fontId="1" fillId="0" borderId="0" xfId="0" applyFont="1"/>
    <xf numFmtId="174" fontId="17" fillId="0" borderId="0" xfId="0" applyNumberFormat="1" applyFont="1" applyBorder="1"/>
    <xf numFmtId="0" fontId="4" fillId="0" borderId="2" xfId="0" applyFont="1" applyBorder="1"/>
    <xf numFmtId="0" fontId="32" fillId="0" borderId="2" xfId="0" applyFont="1" applyBorder="1"/>
    <xf numFmtId="174" fontId="17" fillId="0" borderId="2" xfId="0" applyNumberFormat="1" applyFont="1" applyBorder="1" applyAlignment="1">
      <alignment horizontal="left"/>
    </xf>
    <xf numFmtId="0" fontId="4" fillId="0" borderId="2" xfId="0" applyFont="1" applyBorder="1" applyAlignment="1">
      <alignment horizontal="left"/>
    </xf>
    <xf numFmtId="43" fontId="4" fillId="0" borderId="2" xfId="0" applyNumberFormat="1" applyFont="1" applyBorder="1"/>
    <xf numFmtId="165" fontId="7" fillId="4" borderId="2" xfId="0" applyNumberFormat="1" applyFont="1" applyFill="1" applyBorder="1"/>
    <xf numFmtId="165" fontId="7" fillId="0" borderId="0" xfId="0" applyNumberFormat="1" applyFont="1"/>
    <xf numFmtId="0" fontId="23" fillId="0" borderId="0" xfId="0" applyFont="1"/>
    <xf numFmtId="177" fontId="15" fillId="0" borderId="0" xfId="0" applyNumberFormat="1" applyFont="1" applyAlignment="1">
      <alignment horizontal="left"/>
    </xf>
    <xf numFmtId="174" fontId="17" fillId="0" borderId="0" xfId="0" applyNumberFormat="1" applyFont="1" applyAlignment="1">
      <alignment horizontal="left"/>
    </xf>
    <xf numFmtId="165" fontId="12" fillId="0" borderId="0" xfId="0" applyNumberFormat="1" applyFont="1"/>
    <xf numFmtId="10" fontId="4" fillId="0" borderId="9" xfId="2" applyNumberFormat="1" applyFont="1" applyFill="1" applyBorder="1"/>
    <xf numFmtId="170" fontId="4" fillId="0" borderId="6" xfId="0" applyNumberFormat="1" applyFont="1" applyBorder="1"/>
    <xf numFmtId="171" fontId="19" fillId="3" borderId="6" xfId="1" applyNumberFormat="1" applyFont="1" applyFill="1" applyBorder="1"/>
    <xf numFmtId="0" fontId="5" fillId="0" borderId="10" xfId="0" applyFont="1" applyBorder="1" applyAlignment="1">
      <alignment horizontal="right"/>
    </xf>
    <xf numFmtId="171" fontId="4" fillId="0" borderId="0" xfId="0" applyNumberFormat="1" applyFont="1"/>
    <xf numFmtId="0" fontId="19" fillId="3" borderId="11" xfId="0" applyFont="1" applyFill="1" applyBorder="1"/>
    <xf numFmtId="171" fontId="4" fillId="0" borderId="6" xfId="1" applyNumberFormat="1" applyFont="1" applyBorder="1"/>
    <xf numFmtId="0" fontId="5" fillId="0" borderId="10" xfId="0" applyFont="1" applyBorder="1"/>
    <xf numFmtId="9" fontId="4" fillId="0" borderId="0" xfId="0" applyNumberFormat="1" applyFont="1"/>
    <xf numFmtId="1" fontId="5" fillId="0" borderId="10" xfId="0" applyNumberFormat="1" applyFont="1" applyBorder="1"/>
    <xf numFmtId="171" fontId="4" fillId="0" borderId="0" xfId="1" applyNumberFormat="1" applyFont="1" applyBorder="1"/>
    <xf numFmtId="167" fontId="12" fillId="0" borderId="0" xfId="1" applyNumberFormat="1" applyFont="1" applyFill="1" applyBorder="1"/>
    <xf numFmtId="6" fontId="5" fillId="0" borderId="0" xfId="0" quotePrefix="1" applyNumberFormat="1" applyFont="1" applyAlignment="1">
      <alignment horizontal="right"/>
    </xf>
    <xf numFmtId="3" fontId="19" fillId="3" borderId="6" xfId="0" applyNumberFormat="1" applyFont="1" applyFill="1" applyBorder="1"/>
    <xf numFmtId="0" fontId="19" fillId="3" borderId="6" xfId="0" applyFont="1" applyFill="1" applyBorder="1"/>
    <xf numFmtId="171" fontId="4" fillId="0" borderId="0" xfId="1" applyNumberFormat="1" applyFont="1" applyFill="1" applyBorder="1" applyAlignment="1">
      <alignment horizontal="right"/>
    </xf>
    <xf numFmtId="43" fontId="19" fillId="3" borderId="6" xfId="1" applyFont="1" applyFill="1" applyBorder="1"/>
    <xf numFmtId="0" fontId="23" fillId="0" borderId="10" xfId="0" applyFont="1" applyBorder="1"/>
    <xf numFmtId="0" fontId="4" fillId="0" borderId="10" xfId="0" applyFont="1" applyBorder="1"/>
    <xf numFmtId="3" fontId="4" fillId="0" borderId="0" xfId="0" applyNumberFormat="1" applyFont="1" applyAlignment="1">
      <alignment horizontal="right"/>
    </xf>
    <xf numFmtId="3" fontId="4" fillId="0" borderId="10" xfId="0" applyNumberFormat="1" applyFont="1" applyBorder="1"/>
    <xf numFmtId="3" fontId="5" fillId="0" borderId="0" xfId="0" applyNumberFormat="1" applyFont="1"/>
    <xf numFmtId="3" fontId="5" fillId="0" borderId="8" xfId="0" applyNumberFormat="1" applyFont="1" applyBorder="1"/>
    <xf numFmtId="182" fontId="4" fillId="0" borderId="0" xfId="0" applyNumberFormat="1" applyFont="1"/>
    <xf numFmtId="183" fontId="4" fillId="0" borderId="0" xfId="0" applyNumberFormat="1" applyFont="1"/>
    <xf numFmtId="178" fontId="5" fillId="0" borderId="0" xfId="0" applyNumberFormat="1" applyFont="1"/>
    <xf numFmtId="4" fontId="4" fillId="7" borderId="0" xfId="0" applyNumberFormat="1" applyFont="1" applyFill="1"/>
    <xf numFmtId="9" fontId="19" fillId="3" borderId="6" xfId="1" applyNumberFormat="1" applyFont="1" applyFill="1" applyBorder="1"/>
    <xf numFmtId="0" fontId="4" fillId="0" borderId="0" xfId="0" applyFont="1" applyAlignment="1"/>
    <xf numFmtId="172" fontId="15" fillId="3" borderId="0" xfId="0" applyNumberFormat="1" applyFont="1" applyFill="1" applyAlignment="1">
      <alignment horizontal="left"/>
    </xf>
    <xf numFmtId="174" fontId="4" fillId="0" borderId="10" xfId="0" applyNumberFormat="1" applyFont="1" applyBorder="1"/>
    <xf numFmtId="166" fontId="27" fillId="11" borderId="0" xfId="0" applyNumberFormat="1" applyFont="1" applyFill="1"/>
    <xf numFmtId="166" fontId="27" fillId="12" borderId="0" xfId="0" applyNumberFormat="1" applyFont="1" applyFill="1"/>
    <xf numFmtId="164" fontId="19" fillId="12" borderId="0" xfId="6" applyNumberFormat="1" applyFont="1" applyFill="1" applyBorder="1" applyAlignment="1">
      <alignment horizontal="center"/>
      <protection locked="0"/>
    </xf>
    <xf numFmtId="9" fontId="19" fillId="12" borderId="0" xfId="2" applyFont="1" applyFill="1" applyAlignment="1">
      <alignment horizontal="right"/>
    </xf>
    <xf numFmtId="165" fontId="7" fillId="12" borderId="0" xfId="0" applyNumberFormat="1" applyFont="1" applyFill="1"/>
    <xf numFmtId="3" fontId="39" fillId="0" borderId="0" xfId="0" applyNumberFormat="1" applyFont="1" applyAlignment="1">
      <alignment horizontal="right" readingOrder="1"/>
    </xf>
    <xf numFmtId="172" fontId="8" fillId="0" borderId="10" xfId="0" applyNumberFormat="1" applyFont="1" applyBorder="1" applyAlignment="1">
      <alignment horizontal="left"/>
    </xf>
    <xf numFmtId="10" fontId="4" fillId="11" borderId="0" xfId="2" applyNumberFormat="1" applyFont="1" applyFill="1"/>
    <xf numFmtId="171" fontId="19" fillId="11" borderId="6" xfId="1" applyNumberFormat="1" applyFont="1" applyFill="1" applyBorder="1"/>
    <xf numFmtId="3" fontId="19" fillId="13" borderId="0" xfId="1" applyNumberFormat="1" applyFont="1" applyFill="1"/>
    <xf numFmtId="171" fontId="19" fillId="13" borderId="0" xfId="1" applyNumberFormat="1" applyFont="1" applyFill="1"/>
    <xf numFmtId="10" fontId="19" fillId="12" borderId="0" xfId="2" applyNumberFormat="1" applyFont="1" applyFill="1"/>
    <xf numFmtId="178" fontId="4" fillId="11" borderId="8" xfId="0" applyNumberFormat="1" applyFont="1" applyFill="1" applyBorder="1"/>
    <xf numFmtId="178" fontId="5" fillId="11" borderId="7" xfId="0" applyNumberFormat="1" applyFont="1" applyFill="1" applyBorder="1"/>
    <xf numFmtId="0" fontId="5" fillId="5" borderId="0" xfId="0" applyFont="1" applyFill="1"/>
    <xf numFmtId="0" fontId="4" fillId="5" borderId="0" xfId="0" applyFont="1" applyFill="1"/>
    <xf numFmtId="180" fontId="19" fillId="5" borderId="0" xfId="0" applyNumberFormat="1" applyFont="1" applyFill="1" applyAlignment="1">
      <alignment horizontal="left"/>
    </xf>
    <xf numFmtId="0" fontId="7" fillId="5" borderId="0" xfId="0" applyFont="1" applyFill="1"/>
    <xf numFmtId="166" fontId="19" fillId="5" borderId="0" xfId="0" applyNumberFormat="1" applyFont="1" applyFill="1"/>
    <xf numFmtId="0" fontId="4" fillId="5" borderId="0" xfId="0" applyFont="1" applyFill="1" applyAlignment="1">
      <alignment horizontal="left"/>
    </xf>
    <xf numFmtId="172" fontId="15" fillId="5" borderId="0" xfId="0" applyNumberFormat="1" applyFont="1" applyFill="1" applyAlignment="1">
      <alignment horizontal="left"/>
    </xf>
    <xf numFmtId="184" fontId="40" fillId="5" borderId="0" xfId="0" applyNumberFormat="1" applyFont="1" applyFill="1" applyAlignment="1">
      <alignment horizontal="left"/>
    </xf>
    <xf numFmtId="165" fontId="7" fillId="5" borderId="0" xfId="0" applyNumberFormat="1" applyFont="1" applyFill="1"/>
    <xf numFmtId="0" fontId="0" fillId="5" borderId="0" xfId="0" applyFill="1"/>
    <xf numFmtId="9" fontId="19" fillId="5" borderId="0" xfId="0" applyNumberFormat="1" applyFont="1" applyFill="1"/>
    <xf numFmtId="174" fontId="17" fillId="5" borderId="0" xfId="0" applyNumberFormat="1" applyFont="1" applyFill="1" applyAlignment="1">
      <alignment horizontal="left"/>
    </xf>
    <xf numFmtId="43" fontId="4" fillId="5" borderId="0" xfId="0" applyNumberFormat="1" applyFont="1" applyFill="1"/>
    <xf numFmtId="0" fontId="4" fillId="0" borderId="0" xfId="0" applyFont="1" applyAlignment="1">
      <alignment horizontal="left" wrapText="1"/>
    </xf>
  </cellXfs>
  <cellStyles count="7">
    <cellStyle name="Comma" xfId="1" builtinId="3"/>
    <cellStyle name="Currency" xfId="5" builtinId="4"/>
    <cellStyle name="dms_1" xfId="4" xr:uid="{00000000-0005-0000-0000-000002000000}"/>
    <cellStyle name="Normal" xfId="0" builtinId="0"/>
    <cellStyle name="Percent" xfId="2" builtinId="5"/>
    <cellStyle name="TableLvl2" xfId="3" xr:uid="{00000000-0005-0000-0000-000009000000}"/>
    <cellStyle name="User_Input_Actual" xfId="6" xr:uid="{00000000-0005-0000-0000-00000A000000}"/>
  </cellStyles>
  <dxfs count="1">
    <dxf>
      <font>
        <b/>
        <i val="0"/>
        <color theme="0"/>
      </font>
      <fill>
        <patternFill>
          <bgColor rgb="FFFF0000"/>
        </patternFill>
      </fill>
    </dxf>
  </dxfs>
  <tableStyles count="0" defaultTableStyle="TableStyleMedium2" defaultPivotStyle="PivotStyleLight16"/>
  <colors>
    <mruColors>
      <color rgb="FF00FF00"/>
      <color rgb="FF0000FF"/>
      <color rgb="FFFFFFCC"/>
      <color rgb="FFFF33CC"/>
      <color rgb="FFFF99FF"/>
      <color rgb="FF1F497D"/>
      <color rgb="FF00FFFF"/>
      <color rgb="FFFF66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85724</xdr:colOff>
      <xdr:row>5</xdr:row>
      <xdr:rowOff>47625</xdr:rowOff>
    </xdr:from>
    <xdr:to>
      <xdr:col>9</xdr:col>
      <xdr:colOff>0</xdr:colOff>
      <xdr:row>8</xdr:row>
      <xdr:rowOff>57150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85724" y="2819400"/>
          <a:ext cx="726757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Starting 1 December 2022, all meters installed from 1 December 2018 will be required to provide 5-minute usage data. This will result in growth in need for data storage and manual meter read exceptions handling.</a:t>
          </a:r>
        </a:p>
        <a:p>
          <a:pPr algn="l"/>
          <a:endParaRPr lang="en-AU"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127187</xdr:colOff>
      <xdr:row>5</xdr:row>
      <xdr:rowOff>141755</xdr:rowOff>
    </xdr:from>
    <xdr:to>
      <xdr:col>9</xdr:col>
      <xdr:colOff>22412</xdr:colOff>
      <xdr:row>10</xdr:row>
      <xdr:rowOff>80122</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127187" y="1141880"/>
          <a:ext cx="9598819" cy="7718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The critical infrastructure system and data control requirements are new 'regulatory obligations or requirements' (within the meaning given to that term by the National Electricity Law) associated with the provision of standard control services. Compliance with those requirements is required in order to achieve the operating expenditure objective set out in clause 6.5.6(a)(2) of the National Electricity Rules or, in the alternative, clause 6.5.6(a)(1), (a)(3) and/or (a)(4) of the Rules.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134470</xdr:rowOff>
    </xdr:from>
    <xdr:to>
      <xdr:col>9</xdr:col>
      <xdr:colOff>143015</xdr:colOff>
      <xdr:row>7</xdr:row>
      <xdr:rowOff>23672</xdr:rowOff>
    </xdr:to>
    <xdr:sp macro="" textlink="">
      <xdr:nvSpPr>
        <xdr:cNvPr id="2" name="Rectangle 1">
          <a:extLst>
            <a:ext uri="{FF2B5EF4-FFF2-40B4-BE49-F238E27FC236}">
              <a16:creationId xmlns:a16="http://schemas.microsoft.com/office/drawing/2014/main" id="{6C211C97-4662-43D6-9F4D-D99DBD02BEB6}"/>
            </a:ext>
          </a:extLst>
        </xdr:cNvPr>
        <xdr:cNvSpPr/>
      </xdr:nvSpPr>
      <xdr:spPr>
        <a:xfrm>
          <a:off x="0" y="806823"/>
          <a:ext cx="8222456" cy="5167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There is an opportunity to increase customer benefits by allowing more solar on the network. This will result in material changes in operating expenditure.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5</xdr:row>
      <xdr:rowOff>57150</xdr:rowOff>
    </xdr:from>
    <xdr:to>
      <xdr:col>8</xdr:col>
      <xdr:colOff>0</xdr:colOff>
      <xdr:row>8</xdr:row>
      <xdr:rowOff>38100</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85725" y="2095500"/>
          <a:ext cx="7267575" cy="466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To ensure compliance with the Amended Bushfire Mitigation Regulations, we will incur</a:t>
          </a:r>
          <a:r>
            <a:rPr lang="en-AU" sz="1000" baseline="0">
              <a:solidFill>
                <a:sysClr val="windowText" lastClr="000000"/>
              </a:solidFill>
            </a:rPr>
            <a:t> </a:t>
          </a:r>
          <a:r>
            <a:rPr lang="en-AU" sz="1000">
              <a:solidFill>
                <a:sysClr val="windowText" lastClr="000000"/>
              </a:solidFill>
            </a:rPr>
            <a:t>ongoing operating expenditure associated with re-balancing works, compliance testing and technical support for Rapid Earth Fault Current Limiters (</a:t>
          </a:r>
          <a:r>
            <a:rPr lang="en-AU" sz="1000" b="1">
              <a:solidFill>
                <a:sysClr val="windowText" lastClr="000000"/>
              </a:solidFill>
            </a:rPr>
            <a:t>REFCL</a:t>
          </a:r>
          <a:r>
            <a:rPr lang="en-AU" sz="1000">
              <a:solidFill>
                <a:sysClr val="windowText" lastClr="000000"/>
              </a:solidFill>
            </a:rPr>
            <a:t>)  which is incremental</a:t>
          </a:r>
          <a:r>
            <a:rPr lang="en-AU" sz="1000" baseline="0">
              <a:solidFill>
                <a:sysClr val="windowText" lastClr="000000"/>
              </a:solidFill>
            </a:rPr>
            <a:t> to our base operating expenditure.</a:t>
          </a:r>
          <a:endParaRPr lang="en-AU" sz="10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5</xdr:row>
      <xdr:rowOff>47625</xdr:rowOff>
    </xdr:from>
    <xdr:to>
      <xdr:col>9</xdr:col>
      <xdr:colOff>133350</xdr:colOff>
      <xdr:row>8</xdr:row>
      <xdr:rowOff>28575</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95250" y="1847850"/>
          <a:ext cx="7267575" cy="466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AU" sz="1000">
              <a:solidFill>
                <a:sysClr val="windowText" lastClr="000000"/>
              </a:solidFill>
              <a:effectLst/>
              <a:latin typeface="+mn-lt"/>
              <a:ea typeface="+mn-ea"/>
              <a:cs typeface="+mn-cs"/>
            </a:rPr>
            <a:t>There is an opportunity to reduce</a:t>
          </a:r>
          <a:r>
            <a:rPr lang="en-AU" sz="1000" baseline="0">
              <a:solidFill>
                <a:sysClr val="windowText" lastClr="000000"/>
              </a:solidFill>
              <a:effectLst/>
              <a:latin typeface="+mn-lt"/>
              <a:ea typeface="+mn-ea"/>
              <a:cs typeface="+mn-cs"/>
            </a:rPr>
            <a:t> costs and deliver </a:t>
          </a:r>
          <a:r>
            <a:rPr lang="en-AU" sz="1000">
              <a:solidFill>
                <a:sysClr val="windowText" lastClr="000000"/>
              </a:solidFill>
              <a:effectLst/>
              <a:latin typeface="+mn-lt"/>
              <a:ea typeface="+mn-ea"/>
              <a:cs typeface="+mn-cs"/>
            </a:rPr>
            <a:t>customer benefits by migrating some IT infrastcuture from on-premise to cloud-hosting.</a:t>
          </a:r>
          <a:endParaRPr lang="en-AU" sz="800">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5</xdr:row>
      <xdr:rowOff>47626</xdr:rowOff>
    </xdr:from>
    <xdr:to>
      <xdr:col>8</xdr:col>
      <xdr:colOff>0</xdr:colOff>
      <xdr:row>6</xdr:row>
      <xdr:rowOff>114301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85725" y="2171701"/>
          <a:ext cx="726757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Due to worsening global insurance market conditions, our premiums for efficient insurance cover are increasing</a:t>
          </a:r>
        </a:p>
      </xdr:txBody>
    </xdr:sp>
    <xdr:clientData/>
  </xdr:twoCellAnchor>
  <xdr:twoCellAnchor>
    <xdr:from>
      <xdr:col>0</xdr:col>
      <xdr:colOff>85725</xdr:colOff>
      <xdr:row>5</xdr:row>
      <xdr:rowOff>47626</xdr:rowOff>
    </xdr:from>
    <xdr:to>
      <xdr:col>8</xdr:col>
      <xdr:colOff>0</xdr:colOff>
      <xdr:row>6</xdr:row>
      <xdr:rowOff>114301</xdr:rowOff>
    </xdr:to>
    <xdr:sp macro="" textlink="">
      <xdr:nvSpPr>
        <xdr:cNvPr id="3" name="Rectangle 2">
          <a:extLst>
            <a:ext uri="{FF2B5EF4-FFF2-40B4-BE49-F238E27FC236}">
              <a16:creationId xmlns:a16="http://schemas.microsoft.com/office/drawing/2014/main" id="{A7F5E240-547D-4A8D-A079-EDE93E3CE98D}"/>
            </a:ext>
          </a:extLst>
        </xdr:cNvPr>
        <xdr:cNvSpPr/>
      </xdr:nvSpPr>
      <xdr:spPr>
        <a:xfrm>
          <a:off x="85725" y="1038226"/>
          <a:ext cx="927735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Due to worsening global insurance market conditions, our premiums for efficient insurance cover are expected to increase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20Final%20Revised%20Proposal/2%20Powercor/4%20Models/01%20SCS/PAL%20RRP%20MOD%2010.06%20-%20Opex%20-%20Dec2020%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RP Amendments"/>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sheetData sheetId="1"/>
      <sheetData sheetId="2"/>
      <sheetData sheetId="3"/>
      <sheetData sheetId="4">
        <row r="88">
          <cell r="C88" t="str">
            <v>Emergency recoverable works</v>
          </cell>
        </row>
      </sheetData>
      <sheetData sheetId="5">
        <row r="27">
          <cell r="E27" t="str">
            <v>index</v>
          </cell>
        </row>
        <row r="40">
          <cell r="Q40">
            <v>7.762137192630263E-3</v>
          </cell>
          <cell r="R40">
            <v>4.9608934391037352E-3</v>
          </cell>
          <cell r="S40">
            <v>6.512577699459102E-3</v>
          </cell>
          <cell r="T40">
            <v>9.9346404822831889E-3</v>
          </cell>
          <cell r="U40">
            <v>1.3075423782207421E-2</v>
          </cell>
        </row>
      </sheetData>
      <sheetData sheetId="6">
        <row r="12">
          <cell r="C12" t="str">
            <v>Increasing insurance premiums</v>
          </cell>
        </row>
      </sheetData>
      <sheetData sheetId="7">
        <row r="13">
          <cell r="M13">
            <v>241.06595549428499</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FFFF"/>
    <pageSetUpPr fitToPage="1"/>
  </sheetPr>
  <dimension ref="A1:Y51"/>
  <sheetViews>
    <sheetView showGridLines="0" zoomScale="80" zoomScaleNormal="80" workbookViewId="0">
      <pane xSplit="2" ySplit="5" topLeftCell="C6" activePane="bottomRight" state="frozen"/>
      <selection pane="topRight" activeCell="C1" sqref="C1"/>
      <selection pane="bottomLeft" activeCell="A6" sqref="A6"/>
      <selection pane="bottomRight" activeCell="C6" sqref="C6"/>
    </sheetView>
  </sheetViews>
  <sheetFormatPr defaultColWidth="9" defaultRowHeight="12.75" x14ac:dyDescent="0.2"/>
  <cols>
    <col min="1" max="1" width="4.125" style="1" customWidth="1"/>
    <col min="2" max="2" width="40.625" style="1" customWidth="1"/>
    <col min="3" max="3" width="0.875" style="1" customWidth="1"/>
    <col min="4" max="4" width="11.5" style="1" customWidth="1"/>
    <col min="5" max="11" width="2.625" style="1" customWidth="1"/>
    <col min="12" max="12" width="9" style="1" customWidth="1"/>
    <col min="13" max="17" width="10.25" style="1" customWidth="1"/>
    <col min="18" max="18" width="2.375" style="1" customWidth="1"/>
    <col min="19" max="19" width="9" style="1"/>
    <col min="20" max="20" width="9.625" style="1" bestFit="1" customWidth="1"/>
    <col min="21" max="16384" width="9" style="1"/>
  </cols>
  <sheetData>
    <row r="1" spans="1:25" ht="21" x14ac:dyDescent="0.35">
      <c r="A1" s="3" t="s">
        <v>7</v>
      </c>
    </row>
    <row r="2" spans="1:25" ht="18.75" x14ac:dyDescent="0.3">
      <c r="A2" s="8" t="str">
        <f ca="1">RIGHT(CELL("filename",A1),LEN(CELL("filename",A1))-FIND("]",CELL("filename",A1),1))</f>
        <v>Output</v>
      </c>
      <c r="D2" s="111" t="b">
        <f ca="1">MAX($A$7:$A$18)=PAL_count</f>
        <v>1</v>
      </c>
      <c r="P2" s="18"/>
    </row>
    <row r="4" spans="1:25" x14ac:dyDescent="0.2">
      <c r="K4" s="36"/>
      <c r="L4" s="36"/>
      <c r="M4" s="36"/>
      <c r="N4" s="36"/>
      <c r="O4" s="36"/>
      <c r="P4" s="36"/>
      <c r="Q4" s="36"/>
    </row>
    <row r="5" spans="1:25" x14ac:dyDescent="0.2">
      <c r="A5" s="73" t="s">
        <v>0</v>
      </c>
      <c r="B5" s="73"/>
      <c r="C5" s="73"/>
      <c r="D5" s="73"/>
      <c r="E5" s="73"/>
      <c r="F5" s="73"/>
      <c r="G5" s="73"/>
      <c r="H5" s="73"/>
      <c r="I5" s="73"/>
      <c r="J5" s="2"/>
      <c r="K5" s="2"/>
      <c r="L5" s="7"/>
      <c r="M5" s="7" t="s">
        <v>18</v>
      </c>
      <c r="N5" s="7" t="s">
        <v>19</v>
      </c>
      <c r="O5" s="7" t="s">
        <v>20</v>
      </c>
      <c r="P5" s="7" t="s">
        <v>21</v>
      </c>
      <c r="Q5" s="7" t="s">
        <v>22</v>
      </c>
      <c r="S5" s="7" t="s">
        <v>60</v>
      </c>
    </row>
    <row r="7" spans="1:25" x14ac:dyDescent="0.2">
      <c r="A7" s="115">
        <v>1</v>
      </c>
      <c r="B7" s="9" t="str">
        <f ca="1">IF(A7="", "", INDEX(Summary!H$7:H$22, MATCH($A$1&amp;$A7, Summary!$D$7:$D$22,0)))</f>
        <v>Increasing insurance premiums</v>
      </c>
      <c r="G7" s="21"/>
      <c r="K7" s="9"/>
      <c r="L7" s="9"/>
      <c r="M7" s="9">
        <f ca="1">IF($A7="", "", INDEX(Summary!M$7:M$22, MATCH($A$1&amp;$A7, Summary!$D$7:$D$22,0)))</f>
        <v>5616.7702237106705</v>
      </c>
      <c r="N7" s="9">
        <f ca="1">IF($A7="", "", INDEX(Summary!N$7:N$22, MATCH($A$1&amp;$A7, Summary!$D$7:$D$22,0)))</f>
        <v>5616.7702237106705</v>
      </c>
      <c r="O7" s="9">
        <f ca="1">IF($A7="", "", INDEX(Summary!O$7:O$22, MATCH($A$1&amp;$A7, Summary!$D$7:$D$22,0)))</f>
        <v>5616.7702237106705</v>
      </c>
      <c r="P7" s="9">
        <f ca="1">IF($A7="", "", INDEX(Summary!P$7:P$22, MATCH($A$1&amp;$A7, Summary!$D$7:$D$22,0)))</f>
        <v>5616.7702237106705</v>
      </c>
      <c r="Q7" s="9">
        <f ca="1">IF($A7="", "", INDEX(Summary!Q$7:Q$22, MATCH($A$1&amp;$A7, Summary!$D$7:$D$22,0)))</f>
        <v>5616.7702237106705</v>
      </c>
      <c r="S7" s="10">
        <f t="shared" ref="S7:S18" ca="1" si="0">SUM(M7:Q7)</f>
        <v>28083.851118553353</v>
      </c>
    </row>
    <row r="8" spans="1:25" x14ac:dyDescent="0.2">
      <c r="A8" s="116">
        <f t="shared" ref="A8:A18" ca="1" si="1">IF($A7&lt;IF(A$1="Powercor", PAL_count, CP_count), A7+1, "")</f>
        <v>2</v>
      </c>
      <c r="B8" s="9" t="str">
        <f ca="1">IF(A8="", "", INDEX(Summary!H$7:H$22, MATCH($A$1&amp;$A8, Summary!$D$7:$D$22,0)))</f>
        <v>Security of Critical Infrastructure</v>
      </c>
      <c r="G8" s="21"/>
      <c r="H8" s="6"/>
      <c r="K8" s="9"/>
      <c r="L8" s="9"/>
      <c r="M8" s="9">
        <f ca="1">IF($A8="", "", INDEX(Summary!M$7:M$22, MATCH($A$1&amp;$A8, Summary!$D$7:$D$22,0)))</f>
        <v>2416.1422739717573</v>
      </c>
      <c r="N8" s="9">
        <f ca="1">IF($A8="", "", INDEX(Summary!N$7:N$22, MATCH($A$1&amp;$A8, Summary!$D$7:$D$22,0)))</f>
        <v>1709.7629208919104</v>
      </c>
      <c r="O8" s="9">
        <f ca="1">IF($A8="", "", INDEX(Summary!O$7:O$22, MATCH($A$1&amp;$A8, Summary!$D$7:$D$22,0)))</f>
        <v>1652.8670470000197</v>
      </c>
      <c r="P8" s="9">
        <f ca="1">IF($A8="", "", INDEX(Summary!P$7:P$22, MATCH($A$1&amp;$A8, Summary!$D$7:$D$22,0)))</f>
        <v>1534.3399241136399</v>
      </c>
      <c r="Q8" s="9">
        <f ca="1">IF($A8="", "", INDEX(Summary!Q$7:Q$22, MATCH($A$1&amp;$A8, Summary!$D$7:$D$22,0)))</f>
        <v>1546.2167137960173</v>
      </c>
      <c r="S8" s="10">
        <f t="shared" ca="1" si="0"/>
        <v>8859.3288797733439</v>
      </c>
      <c r="T8" s="59"/>
      <c r="U8" s="59"/>
      <c r="V8" s="59"/>
      <c r="W8" s="59"/>
      <c r="X8" s="59"/>
      <c r="Y8" s="59"/>
    </row>
    <row r="9" spans="1:25" x14ac:dyDescent="0.2">
      <c r="A9" s="116">
        <f t="shared" ca="1" si="1"/>
        <v>3</v>
      </c>
      <c r="B9" s="9" t="str">
        <f ca="1">IF(A9="", "", INDEX(Summary!H$7:H$22, MATCH($A$1&amp;$A9, Summary!$D$7:$D$22,0)))</f>
        <v>IT cloud solutions</v>
      </c>
      <c r="G9" s="21"/>
      <c r="H9" s="6"/>
      <c r="K9" s="9"/>
      <c r="L9" s="9"/>
      <c r="M9" s="9">
        <f ca="1">IF($A9="", "", INDEX(Summary!M$7:M$22, MATCH($A$1&amp;$A9, Summary!$D$7:$D$22,0)))</f>
        <v>830.68560383111594</v>
      </c>
      <c r="N9" s="9">
        <f ca="1">IF($A9="", "", INDEX(Summary!N$7:N$22, MATCH($A$1&amp;$A9, Summary!$D$7:$D$22,0)))</f>
        <v>821.96714935313082</v>
      </c>
      <c r="O9" s="9">
        <f ca="1">IF($A9="", "", INDEX(Summary!O$7:O$22, MATCH($A$1&amp;$A9, Summary!$D$7:$D$22,0)))</f>
        <v>1175.9294126678221</v>
      </c>
      <c r="P9" s="9">
        <f ca="1">IF($A9="", "", INDEX(Summary!P$7:P$22, MATCH($A$1&amp;$A9, Summary!$D$7:$D$22,0)))</f>
        <v>1395.6344563719942</v>
      </c>
      <c r="Q9" s="9">
        <f ca="1">IF($A9="", "", INDEX(Summary!Q$7:Q$22, MATCH($A$1&amp;$A9, Summary!$D$7:$D$22,0)))</f>
        <v>1390.6049205681329</v>
      </c>
      <c r="S9" s="10">
        <f t="shared" ca="1" si="0"/>
        <v>5614.8215427921959</v>
      </c>
    </row>
    <row r="10" spans="1:25" x14ac:dyDescent="0.2">
      <c r="A10" s="116">
        <f t="shared" ca="1" si="1"/>
        <v>4</v>
      </c>
      <c r="B10" s="9" t="str">
        <f ca="1">IF(A10="", "", INDEX(Summary!H$7:H$22, MATCH($A$1&amp;$A10, Summary!$D$7:$D$22,0)))</f>
        <v>Solar enablement</v>
      </c>
      <c r="H10" s="6"/>
      <c r="M10" s="9">
        <f ca="1">IF($A10="", "", INDEX(Summary!M$7:M$22, MATCH($A$1&amp;$A10, Summary!$D$7:$D$22,0)))</f>
        <v>1096.1547963490291</v>
      </c>
      <c r="N10" s="9">
        <f ca="1">IF($A10="", "", INDEX(Summary!N$7:N$22, MATCH($A$1&amp;$A10, Summary!$D$7:$D$22,0)))</f>
        <v>1037.0107590207526</v>
      </c>
      <c r="O10" s="9">
        <f ca="1">IF($A10="", "", INDEX(Summary!O$7:O$22, MATCH($A$1&amp;$A10, Summary!$D$7:$D$22,0)))</f>
        <v>1171.4861059625666</v>
      </c>
      <c r="P10" s="9">
        <f ca="1">IF($A10="", "", INDEX(Summary!P$7:P$22, MATCH($A$1&amp;$A10, Summary!$D$7:$D$22,0)))</f>
        <v>729.66001040777155</v>
      </c>
      <c r="Q10" s="9">
        <f ca="1">IF($A10="", "", INDEX(Summary!Q$7:Q$22, MATCH($A$1&amp;$A10, Summary!$D$7:$D$22,0)))</f>
        <v>748.89535596604082</v>
      </c>
      <c r="S10" s="10">
        <f t="shared" ca="1" si="0"/>
        <v>4783.2070277061612</v>
      </c>
    </row>
    <row r="11" spans="1:25" x14ac:dyDescent="0.2">
      <c r="A11" s="116">
        <f t="shared" ca="1" si="1"/>
        <v>5</v>
      </c>
      <c r="B11" s="9" t="str">
        <f ca="1">IF(A11="", "", INDEX(Summary!H$7:H$22, MATCH($A$1&amp;$A11, Summary!$D$7:$D$22,0)))</f>
        <v>5 minute settlement</v>
      </c>
      <c r="G11" s="21"/>
      <c r="H11" s="6"/>
      <c r="K11" s="9"/>
      <c r="L11" s="9"/>
      <c r="M11" s="9">
        <f ca="1">IF($A11="", "", INDEX(Summary!M$7:M$22, MATCH($A$1&amp;$A11, Summary!$D$7:$D$22,0)))</f>
        <v>504.96484412224805</v>
      </c>
      <c r="N11" s="9">
        <f ca="1">IF($A11="", "", INDEX(Summary!N$7:N$22, MATCH($A$1&amp;$A11, Summary!$D$7:$D$22,0)))</f>
        <v>705.15332795959432</v>
      </c>
      <c r="O11" s="9">
        <f ca="1">IF($A11="", "", INDEX(Summary!O$7:O$22, MATCH($A$1&amp;$A11, Summary!$D$7:$D$22,0)))</f>
        <v>895.57656441694087</v>
      </c>
      <c r="P11" s="9">
        <f ca="1">IF($A11="", "", INDEX(Summary!P$7:P$22, MATCH($A$1&amp;$A11, Summary!$D$7:$D$22,0)))</f>
        <v>1091.9039308815745</v>
      </c>
      <c r="Q11" s="9">
        <f ca="1">IF($A11="", "", INDEX(Summary!Q$7:Q$22, MATCH($A$1&amp;$A11, Summary!$D$7:$D$22,0)))</f>
        <v>1301.4108705527337</v>
      </c>
      <c r="S11" s="10">
        <f t="shared" ca="1" si="0"/>
        <v>4499.0095379330915</v>
      </c>
    </row>
    <row r="12" spans="1:25" x14ac:dyDescent="0.2">
      <c r="A12" s="116">
        <f t="shared" ca="1" si="1"/>
        <v>6</v>
      </c>
      <c r="B12" s="9" t="str">
        <f ca="1">IF(A12="", "", INDEX(Summary!H$7:H$22, MATCH($A$1&amp;$A12, Summary!$D$7:$D$22,0)))</f>
        <v>REFCL on-going operating expenditure</v>
      </c>
      <c r="H12" s="6"/>
      <c r="K12" s="9"/>
      <c r="L12" s="9"/>
      <c r="M12" s="9">
        <f ca="1">IF($A12="", "", INDEX(Summary!M$7:M$22, MATCH($A$1&amp;$A12, Summary!$D$7:$D$22,0)))</f>
        <v>298.31194263240303</v>
      </c>
      <c r="N12" s="9">
        <f ca="1">IF($A12="", "", INDEX(Summary!N$7:N$22, MATCH($A$1&amp;$A12, Summary!$D$7:$D$22,0)))</f>
        <v>395.40999388132411</v>
      </c>
      <c r="O12" s="9">
        <f ca="1">IF($A12="", "", INDEX(Summary!O$7:O$22, MATCH($A$1&amp;$A12, Summary!$D$7:$D$22,0)))</f>
        <v>910.33224283276934</v>
      </c>
      <c r="P12" s="9">
        <f ca="1">IF($A12="", "", INDEX(Summary!P$7:P$22, MATCH($A$1&amp;$A12, Summary!$D$7:$D$22,0)))</f>
        <v>1029.5936271080479</v>
      </c>
      <c r="Q12" s="9">
        <f ca="1">IF($A12="", "", INDEX(Summary!Q$7:Q$22, MATCH($A$1&amp;$A12, Summary!$D$7:$D$22,0)))</f>
        <v>1037.5633519228033</v>
      </c>
      <c r="S12" s="10">
        <f t="shared" ca="1" si="0"/>
        <v>3671.2111583773476</v>
      </c>
    </row>
    <row r="13" spans="1:25" x14ac:dyDescent="0.2">
      <c r="A13" s="116" t="str">
        <f t="shared" ca="1" si="1"/>
        <v/>
      </c>
      <c r="B13" s="9" t="str">
        <f ca="1">IF(A13="", "", INDEX(Summary!H$7:H$22, MATCH($A$1&amp;$A13, Summary!$D$7:$D$22,0)))</f>
        <v/>
      </c>
      <c r="H13" s="6"/>
      <c r="K13" s="9"/>
      <c r="L13" s="9"/>
      <c r="M13" s="9" t="str">
        <f ca="1">IF($A13="", "", INDEX(Summary!M$7:M$22, MATCH($A$1&amp;$A13, Summary!$D$7:$D$22,0)))</f>
        <v/>
      </c>
      <c r="N13" s="9" t="str">
        <f ca="1">IF($A13="", "", INDEX(Summary!N$7:N$22, MATCH($A$1&amp;$A13, Summary!$D$7:$D$22,0)))</f>
        <v/>
      </c>
      <c r="O13" s="9" t="str">
        <f ca="1">IF($A13="", "", INDEX(Summary!O$7:O$22, MATCH($A$1&amp;$A13, Summary!$D$7:$D$22,0)))</f>
        <v/>
      </c>
      <c r="P13" s="9" t="str">
        <f ca="1">IF($A13="", "", INDEX(Summary!P$7:P$22, MATCH($A$1&amp;$A13, Summary!$D$7:$D$22,0)))</f>
        <v/>
      </c>
      <c r="Q13" s="9" t="str">
        <f ca="1">IF($A13="", "", INDEX(Summary!Q$7:Q$22, MATCH($A$1&amp;$A13, Summary!$D$7:$D$22,0)))</f>
        <v/>
      </c>
      <c r="S13" s="10">
        <f t="shared" ca="1" si="0"/>
        <v>0</v>
      </c>
    </row>
    <row r="14" spans="1:25" x14ac:dyDescent="0.2">
      <c r="A14" s="116" t="str">
        <f t="shared" ca="1" si="1"/>
        <v/>
      </c>
      <c r="B14" s="9" t="str">
        <f ca="1">IF(A14="", "", INDEX(Summary!H$7:H$22, MATCH($A$1&amp;$A14, Summary!$D$7:$D$22,0)))</f>
        <v/>
      </c>
      <c r="H14" s="6"/>
      <c r="M14" s="9" t="str">
        <f ca="1">IF($A14="", "", INDEX(Summary!M$7:M$22, MATCH($A$1&amp;$A14, Summary!$D$7:$D$22,0)))</f>
        <v/>
      </c>
      <c r="N14" s="9" t="str">
        <f ca="1">IF($A14="", "", INDEX(Summary!N$7:N$22, MATCH($A$1&amp;$A14, Summary!$D$7:$D$22,0)))</f>
        <v/>
      </c>
      <c r="O14" s="9" t="str">
        <f ca="1">IF($A14="", "", INDEX(Summary!O$7:O$22, MATCH($A$1&amp;$A14, Summary!$D$7:$D$22,0)))</f>
        <v/>
      </c>
      <c r="P14" s="9" t="str">
        <f ca="1">IF($A14="", "", INDEX(Summary!P$7:P$22, MATCH($A$1&amp;$A14, Summary!$D$7:$D$22,0)))</f>
        <v/>
      </c>
      <c r="Q14" s="9" t="str">
        <f ca="1">IF($A14="", "", INDEX(Summary!Q$7:Q$22, MATCH($A$1&amp;$A14, Summary!$D$7:$D$22,0)))</f>
        <v/>
      </c>
      <c r="S14" s="10">
        <f t="shared" ca="1" si="0"/>
        <v>0</v>
      </c>
    </row>
    <row r="15" spans="1:25" x14ac:dyDescent="0.2">
      <c r="A15" s="116" t="str">
        <f t="shared" ca="1" si="1"/>
        <v/>
      </c>
      <c r="B15" s="9" t="str">
        <f ca="1">IF(A15="", "", INDEX(Summary!H$7:H$22, MATCH($A$1&amp;$A15, Summary!$D$7:$D$22,0)))</f>
        <v/>
      </c>
      <c r="H15" s="6"/>
      <c r="K15" s="9"/>
      <c r="L15" s="9"/>
      <c r="M15" s="9" t="str">
        <f ca="1">IF($A15="", "", INDEX(Summary!M$7:M$22, MATCH($A$1&amp;$A15, Summary!$D$7:$D$22,0)))</f>
        <v/>
      </c>
      <c r="N15" s="9" t="str">
        <f ca="1">IF($A15="", "", INDEX(Summary!N$7:N$22, MATCH($A$1&amp;$A15, Summary!$D$7:$D$22,0)))</f>
        <v/>
      </c>
      <c r="O15" s="9" t="str">
        <f ca="1">IF($A15="", "", INDEX(Summary!O$7:O$22, MATCH($A$1&amp;$A15, Summary!$D$7:$D$22,0)))</f>
        <v/>
      </c>
      <c r="P15" s="9" t="str">
        <f ca="1">IF($A15="", "", INDEX(Summary!P$7:P$22, MATCH($A$1&amp;$A15, Summary!$D$7:$D$22,0)))</f>
        <v/>
      </c>
      <c r="Q15" s="9" t="str">
        <f ca="1">IF($A15="", "", INDEX(Summary!Q$7:Q$22, MATCH($A$1&amp;$A15, Summary!$D$7:$D$22,0)))</f>
        <v/>
      </c>
      <c r="S15" s="10">
        <f t="shared" ca="1" si="0"/>
        <v>0</v>
      </c>
    </row>
    <row r="16" spans="1:25" x14ac:dyDescent="0.2">
      <c r="A16" s="116" t="str">
        <f t="shared" ca="1" si="1"/>
        <v/>
      </c>
      <c r="B16" s="9" t="str">
        <f ca="1">IF(A16="", "", INDEX(Summary!H$7:H$22, MATCH($A$1&amp;$A16, Summary!$D$7:$D$22,0)))</f>
        <v/>
      </c>
      <c r="H16" s="6"/>
      <c r="K16" s="9"/>
      <c r="L16" s="9"/>
      <c r="M16" s="9" t="str">
        <f ca="1">IF($A16="", "", INDEX(Summary!M$7:M$22, MATCH($A$1&amp;$A16, Summary!$D$7:$D$22,0)))</f>
        <v/>
      </c>
      <c r="N16" s="9" t="str">
        <f ca="1">IF($A16="", "", INDEX(Summary!N$7:N$22, MATCH($A$1&amp;$A16, Summary!$D$7:$D$22,0)))</f>
        <v/>
      </c>
      <c r="O16" s="9" t="str">
        <f ca="1">IF($A16="", "", INDEX(Summary!O$7:O$22, MATCH($A$1&amp;$A16, Summary!$D$7:$D$22,0)))</f>
        <v/>
      </c>
      <c r="P16" s="9" t="str">
        <f ca="1">IF($A16="", "", INDEX(Summary!P$7:P$22, MATCH($A$1&amp;$A16, Summary!$D$7:$D$22,0)))</f>
        <v/>
      </c>
      <c r="Q16" s="9" t="str">
        <f ca="1">IF($A16="", "", INDEX(Summary!Q$7:Q$22, MATCH($A$1&amp;$A16, Summary!$D$7:$D$22,0)))</f>
        <v/>
      </c>
      <c r="S16" s="10">
        <f t="shared" ca="1" si="0"/>
        <v>0</v>
      </c>
    </row>
    <row r="17" spans="1:23" x14ac:dyDescent="0.2">
      <c r="A17" s="116" t="str">
        <f t="shared" ca="1" si="1"/>
        <v/>
      </c>
      <c r="B17" s="9" t="str">
        <f ca="1">IF(A17="", "", INDEX(Summary!H$7:H$22, MATCH($A$1&amp;$A17, Summary!$D$7:$D$22,0)))</f>
        <v/>
      </c>
      <c r="H17" s="6"/>
      <c r="K17" s="9"/>
      <c r="L17" s="9"/>
      <c r="M17" s="9" t="str">
        <f ca="1">IF($A17="", "", INDEX(Summary!M$7:M$22, MATCH($A$1&amp;$A17, Summary!$D$7:$D$22,0)))</f>
        <v/>
      </c>
      <c r="N17" s="9" t="str">
        <f ca="1">IF($A17="", "", INDEX(Summary!N$7:N$22, MATCH($A$1&amp;$A17, Summary!$D$7:$D$22,0)))</f>
        <v/>
      </c>
      <c r="O17" s="9" t="str">
        <f ca="1">IF($A17="", "", INDEX(Summary!O$7:O$22, MATCH($A$1&amp;$A17, Summary!$D$7:$D$22,0)))</f>
        <v/>
      </c>
      <c r="P17" s="9" t="str">
        <f ca="1">IF($A17="", "", INDEX(Summary!P$7:P$22, MATCH($A$1&amp;$A17, Summary!$D$7:$D$22,0)))</f>
        <v/>
      </c>
      <c r="Q17" s="9" t="str">
        <f ca="1">IF($A17="", "", INDEX(Summary!Q$7:Q$22, MATCH($A$1&amp;$A17, Summary!$D$7:$D$22,0)))</f>
        <v/>
      </c>
      <c r="S17" s="10">
        <f t="shared" ca="1" si="0"/>
        <v>0</v>
      </c>
    </row>
    <row r="18" spans="1:23" x14ac:dyDescent="0.2">
      <c r="A18" s="62" t="str">
        <f t="shared" ca="1" si="1"/>
        <v/>
      </c>
      <c r="B18" s="9" t="str">
        <f ca="1">IF(A18="", "", INDEX(Summary!H$7:H$22, MATCH($A$1&amp;$A18, Summary!$D$7:$D$22,0)))</f>
        <v/>
      </c>
      <c r="H18" s="6"/>
      <c r="K18" s="9"/>
      <c r="L18" s="9"/>
      <c r="M18" s="9" t="str">
        <f ca="1">IF($A18="", "", INDEX(Summary!M$7:M$22, MATCH($A$1&amp;$A18, Summary!$D$7:$D$22,0)))</f>
        <v/>
      </c>
      <c r="N18" s="9" t="str">
        <f ca="1">IF($A18="", "", INDEX(Summary!N$7:N$22, MATCH($A$1&amp;$A18, Summary!$D$7:$D$22,0)))</f>
        <v/>
      </c>
      <c r="O18" s="9" t="str">
        <f ca="1">IF($A18="", "", INDEX(Summary!O$7:O$22, MATCH($A$1&amp;$A18, Summary!$D$7:$D$22,0)))</f>
        <v/>
      </c>
      <c r="P18" s="9" t="str">
        <f ca="1">IF($A18="", "", INDEX(Summary!P$7:P$22, MATCH($A$1&amp;$A18, Summary!$D$7:$D$22,0)))</f>
        <v/>
      </c>
      <c r="Q18" s="9" t="str">
        <f ca="1">IF($A18="", "", INDEX(Summary!Q$7:Q$22, MATCH($A$1&amp;$A18, Summary!$D$7:$D$22,0)))</f>
        <v/>
      </c>
      <c r="S18" s="10">
        <f t="shared" ca="1" si="0"/>
        <v>0</v>
      </c>
    </row>
    <row r="19" spans="1:23" x14ac:dyDescent="0.2">
      <c r="A19" s="62"/>
      <c r="H19" s="6"/>
      <c r="K19" s="9"/>
      <c r="L19" s="9"/>
      <c r="M19" s="17"/>
      <c r="N19" s="17"/>
      <c r="O19" s="17"/>
      <c r="P19" s="17"/>
      <c r="Q19" s="17"/>
    </row>
    <row r="20" spans="1:23" ht="13.5" thickBot="1" x14ac:dyDescent="0.25">
      <c r="A20" s="62"/>
      <c r="B20" s="20" t="s">
        <v>5</v>
      </c>
      <c r="C20" s="20"/>
      <c r="D20" s="20"/>
      <c r="E20" s="19"/>
      <c r="F20" s="19"/>
      <c r="G20" s="19"/>
      <c r="H20" s="19"/>
      <c r="I20" s="19"/>
      <c r="J20" s="19"/>
      <c r="K20" s="19"/>
      <c r="L20" s="19"/>
      <c r="M20" s="20">
        <f ca="1">SUM(M7:M17)</f>
        <v>10763.029684617224</v>
      </c>
      <c r="N20" s="20">
        <f t="shared" ref="N20:Q20" ca="1" si="2">SUM(N7:N17)</f>
        <v>10286.074374817383</v>
      </c>
      <c r="O20" s="20">
        <f t="shared" ca="1" si="2"/>
        <v>11422.961596590791</v>
      </c>
      <c r="P20" s="20">
        <f t="shared" ca="1" si="2"/>
        <v>11397.9021725937</v>
      </c>
      <c r="Q20" s="20">
        <f t="shared" ca="1" si="2"/>
        <v>11641.4614365164</v>
      </c>
      <c r="R20" s="5"/>
      <c r="S20" s="20">
        <f ca="1">SUM(M20:Q20)</f>
        <v>55511.429265135499</v>
      </c>
      <c r="W20" s="9"/>
    </row>
    <row r="21" spans="1:23" ht="13.5" thickTop="1" x14ac:dyDescent="0.2">
      <c r="K21" s="9"/>
      <c r="L21" s="9"/>
    </row>
    <row r="22" spans="1:23" x14ac:dyDescent="0.2">
      <c r="K22" s="9"/>
      <c r="L22" s="9"/>
      <c r="M22" s="24"/>
      <c r="N22" s="24"/>
      <c r="O22" s="24"/>
      <c r="P22" s="24"/>
      <c r="Q22" s="24"/>
    </row>
    <row r="23" spans="1:23" x14ac:dyDescent="0.2">
      <c r="K23" s="9"/>
      <c r="L23" s="9"/>
      <c r="M23" s="9"/>
      <c r="N23" s="22"/>
      <c r="O23" s="9"/>
      <c r="P23" s="9"/>
      <c r="Q23" s="9"/>
    </row>
    <row r="24" spans="1:23" x14ac:dyDescent="0.2">
      <c r="K24" s="9"/>
      <c r="L24" s="9"/>
      <c r="M24" s="9"/>
      <c r="N24" s="9"/>
      <c r="O24" s="9"/>
      <c r="P24" s="9"/>
      <c r="Q24" s="9"/>
    </row>
    <row r="25" spans="1:23" x14ac:dyDescent="0.2">
      <c r="K25" s="9"/>
      <c r="L25" s="9"/>
      <c r="M25" s="9"/>
      <c r="N25" s="9"/>
      <c r="O25" s="9"/>
      <c r="P25" s="9"/>
      <c r="Q25" s="9"/>
    </row>
    <row r="26" spans="1:23" x14ac:dyDescent="0.2">
      <c r="K26" s="9"/>
      <c r="L26" s="9"/>
      <c r="M26" s="9"/>
      <c r="N26" s="9"/>
      <c r="O26" s="9"/>
      <c r="P26" s="9"/>
      <c r="Q26" s="9"/>
    </row>
    <row r="27" spans="1:23" x14ac:dyDescent="0.2">
      <c r="K27" s="9"/>
      <c r="L27" s="9"/>
      <c r="M27" s="9"/>
      <c r="N27" s="9"/>
      <c r="O27" s="9"/>
      <c r="P27" s="9"/>
      <c r="Q27" s="9"/>
    </row>
    <row r="28" spans="1:23" x14ac:dyDescent="0.2">
      <c r="K28" s="9"/>
      <c r="L28" s="9"/>
      <c r="M28" s="9"/>
      <c r="N28" s="9"/>
      <c r="O28" s="9"/>
      <c r="P28" s="9"/>
      <c r="Q28" s="9"/>
    </row>
    <row r="29" spans="1:23" x14ac:dyDescent="0.2">
      <c r="K29" s="9"/>
      <c r="L29" s="9"/>
      <c r="M29" s="9"/>
      <c r="N29" s="9"/>
      <c r="O29" s="9"/>
      <c r="P29" s="9"/>
      <c r="Q29" s="9"/>
    </row>
    <row r="30" spans="1:23" x14ac:dyDescent="0.2">
      <c r="K30" s="9"/>
      <c r="L30" s="9"/>
      <c r="M30" s="9"/>
      <c r="N30" s="9"/>
      <c r="O30" s="9"/>
      <c r="P30" s="9"/>
      <c r="Q30" s="9"/>
    </row>
    <row r="31" spans="1:23" x14ac:dyDescent="0.2">
      <c r="K31" s="9"/>
      <c r="L31" s="9"/>
      <c r="M31" s="9"/>
      <c r="N31" s="9"/>
      <c r="O31" s="9"/>
      <c r="P31" s="9"/>
      <c r="Q31" s="9"/>
    </row>
    <row r="32" spans="1:23" x14ac:dyDescent="0.2">
      <c r="K32" s="9"/>
      <c r="L32" s="9"/>
      <c r="M32" s="9"/>
      <c r="N32" s="9"/>
      <c r="O32" s="9"/>
      <c r="P32" s="9"/>
      <c r="Q32" s="9"/>
    </row>
    <row r="33" spans="11:17" x14ac:dyDescent="0.2">
      <c r="K33" s="9"/>
      <c r="L33" s="9"/>
      <c r="M33" s="9"/>
      <c r="N33" s="9"/>
      <c r="O33" s="9"/>
      <c r="P33" s="9"/>
      <c r="Q33" s="9"/>
    </row>
    <row r="34" spans="11:17" x14ac:dyDescent="0.2">
      <c r="K34" s="9"/>
      <c r="L34" s="9"/>
      <c r="M34" s="9"/>
      <c r="N34" s="9"/>
      <c r="O34" s="9"/>
      <c r="P34" s="9"/>
      <c r="Q34" s="9"/>
    </row>
    <row r="35" spans="11:17" x14ac:dyDescent="0.2">
      <c r="K35" s="9"/>
      <c r="L35" s="9"/>
      <c r="M35" s="9"/>
      <c r="N35" s="9"/>
      <c r="O35" s="9"/>
      <c r="P35" s="9"/>
      <c r="Q35" s="9"/>
    </row>
    <row r="36" spans="11:17" x14ac:dyDescent="0.2">
      <c r="K36" s="9"/>
      <c r="L36" s="9"/>
      <c r="M36" s="9"/>
      <c r="N36" s="9"/>
      <c r="O36" s="9"/>
      <c r="P36" s="9"/>
      <c r="Q36" s="9"/>
    </row>
    <row r="37" spans="11:17" x14ac:dyDescent="0.2">
      <c r="K37" s="9"/>
      <c r="L37" s="9"/>
      <c r="M37" s="9"/>
      <c r="N37" s="9"/>
      <c r="O37" s="9"/>
      <c r="P37" s="9"/>
      <c r="Q37" s="9"/>
    </row>
    <row r="38" spans="11:17" x14ac:dyDescent="0.2">
      <c r="K38" s="9"/>
      <c r="L38" s="9"/>
      <c r="M38" s="9"/>
      <c r="N38" s="9"/>
      <c r="O38" s="9"/>
      <c r="P38" s="9"/>
      <c r="Q38" s="9"/>
    </row>
    <row r="39" spans="11:17" x14ac:dyDescent="0.2">
      <c r="K39" s="9"/>
      <c r="L39" s="9"/>
    </row>
    <row r="40" spans="11:17" x14ac:dyDescent="0.2">
      <c r="K40" s="9"/>
      <c r="L40" s="9"/>
      <c r="M40" s="9"/>
      <c r="N40" s="9"/>
      <c r="O40" s="9"/>
      <c r="P40" s="9"/>
      <c r="Q40" s="9"/>
    </row>
    <row r="41" spans="11:17" x14ac:dyDescent="0.2">
      <c r="K41" s="9"/>
      <c r="L41" s="9"/>
      <c r="M41" s="9"/>
      <c r="N41" s="9"/>
      <c r="O41" s="9"/>
      <c r="P41" s="9"/>
      <c r="Q41" s="9"/>
    </row>
    <row r="42" spans="11:17" x14ac:dyDescent="0.2">
      <c r="K42" s="9"/>
      <c r="L42" s="9"/>
      <c r="M42" s="9"/>
      <c r="N42" s="9"/>
      <c r="O42" s="9"/>
      <c r="P42" s="9"/>
      <c r="Q42" s="9"/>
    </row>
    <row r="43" spans="11:17" x14ac:dyDescent="0.2">
      <c r="M43" s="9"/>
      <c r="N43" s="9"/>
      <c r="O43" s="9"/>
      <c r="P43" s="9"/>
      <c r="Q43" s="9"/>
    </row>
    <row r="44" spans="11:17" x14ac:dyDescent="0.2">
      <c r="M44" s="9"/>
      <c r="N44" s="9"/>
      <c r="O44" s="9"/>
      <c r="P44" s="9"/>
      <c r="Q44" s="9"/>
    </row>
    <row r="45" spans="11:17" x14ac:dyDescent="0.2">
      <c r="M45" s="9"/>
      <c r="N45" s="9"/>
      <c r="O45" s="9"/>
      <c r="P45" s="9"/>
      <c r="Q45" s="9"/>
    </row>
    <row r="46" spans="11:17" x14ac:dyDescent="0.2">
      <c r="M46" s="9"/>
      <c r="N46" s="9"/>
      <c r="O46" s="9"/>
      <c r="P46" s="9"/>
      <c r="Q46" s="9"/>
    </row>
    <row r="47" spans="11:17" x14ac:dyDescent="0.2">
      <c r="M47" s="9"/>
      <c r="N47" s="9"/>
      <c r="O47" s="9"/>
      <c r="P47" s="9"/>
      <c r="Q47" s="9"/>
    </row>
    <row r="48" spans="11:17" x14ac:dyDescent="0.2">
      <c r="M48" s="9"/>
      <c r="N48" s="9"/>
      <c r="O48" s="9"/>
      <c r="P48" s="9"/>
      <c r="Q48" s="9"/>
    </row>
    <row r="49" spans="13:17" x14ac:dyDescent="0.2">
      <c r="M49" s="9"/>
      <c r="N49" s="9"/>
      <c r="O49" s="9"/>
      <c r="P49" s="9"/>
      <c r="Q49" s="9"/>
    </row>
    <row r="50" spans="13:17" x14ac:dyDescent="0.2">
      <c r="M50" s="9"/>
      <c r="N50" s="9"/>
      <c r="O50" s="9"/>
      <c r="P50" s="9"/>
      <c r="Q50" s="9"/>
    </row>
    <row r="51" spans="13:17" x14ac:dyDescent="0.2">
      <c r="M51" s="9"/>
      <c r="N51" s="9"/>
      <c r="O51" s="9"/>
      <c r="P51" s="9"/>
      <c r="Q51" s="9"/>
    </row>
  </sheetData>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pageSetUpPr fitToPage="1"/>
  </sheetPr>
  <dimension ref="A1:Z34"/>
  <sheetViews>
    <sheetView showGridLines="0" zoomScale="80" zoomScaleNormal="80" workbookViewId="0">
      <pane xSplit="7" ySplit="5" topLeftCell="H6" activePane="bottomRight" state="frozen"/>
      <selection pane="topRight" activeCell="H1" sqref="H1"/>
      <selection pane="bottomLeft" activeCell="A6" sqref="A6"/>
      <selection pane="bottomRight" activeCell="H6" sqref="H6"/>
    </sheetView>
  </sheetViews>
  <sheetFormatPr defaultColWidth="9" defaultRowHeight="12.75" x14ac:dyDescent="0.2"/>
  <cols>
    <col min="1" max="1" width="3.125" style="1" customWidth="1"/>
    <col min="2" max="2" width="8.5" style="1" customWidth="1"/>
    <col min="3" max="3" width="5.875" style="69" customWidth="1"/>
    <col min="4" max="4" width="9.5" style="1" customWidth="1"/>
    <col min="5" max="5" width="4.5" style="1" customWidth="1"/>
    <col min="6" max="6" width="4.125" style="1" customWidth="1"/>
    <col min="7" max="7" width="17.625" style="1" customWidth="1"/>
    <col min="8" max="9" width="2.5" style="1" customWidth="1"/>
    <col min="10" max="12" width="9" style="1" customWidth="1"/>
    <col min="13" max="17" width="10.25" style="1" customWidth="1"/>
    <col min="18" max="18" width="2.375" style="1" customWidth="1"/>
    <col min="19" max="20" width="9" style="1"/>
    <col min="21" max="21" width="9.625" style="1" bestFit="1" customWidth="1"/>
    <col min="22" max="16384" width="9" style="1"/>
  </cols>
  <sheetData>
    <row r="1" spans="1:26" ht="21" x14ac:dyDescent="0.35">
      <c r="A1" s="3" t="s">
        <v>94</v>
      </c>
    </row>
    <row r="2" spans="1:26" ht="18.75" x14ac:dyDescent="0.3">
      <c r="A2" s="8" t="str">
        <f ca="1">RIGHT(CELL("filename",A1),LEN(CELL("filename",A1))-FIND("]",CELL("filename",A1),1))</f>
        <v>Summary</v>
      </c>
      <c r="P2" s="18"/>
    </row>
    <row r="3" spans="1:26" x14ac:dyDescent="0.2">
      <c r="A3" s="41" t="s">
        <v>85</v>
      </c>
      <c r="M3" s="102" t="str">
        <f>SUBSTITUTE(ADDRESS(1,COLUMN(M5),4),"1","")</f>
        <v>M</v>
      </c>
      <c r="N3" s="102" t="str">
        <f>SUBSTITUTE(ADDRESS(1,COLUMN(N5),4),"1","")</f>
        <v>N</v>
      </c>
      <c r="O3" s="102" t="str">
        <f>SUBSTITUTE(ADDRESS(1,COLUMN(O5),4),"1","")</f>
        <v>O</v>
      </c>
      <c r="P3" s="102" t="str">
        <f>SUBSTITUTE(ADDRESS(1,COLUMN(P5),4),"1","")</f>
        <v>P</v>
      </c>
      <c r="Q3" s="102" t="str">
        <f>SUBSTITUTE(ADDRESS(1,COLUMN(Q5),4),"1","")</f>
        <v>Q</v>
      </c>
    </row>
    <row r="4" spans="1:26" x14ac:dyDescent="0.2">
      <c r="L4" s="36"/>
      <c r="M4" s="36"/>
      <c r="N4" s="36"/>
      <c r="O4" s="36"/>
      <c r="P4" s="36"/>
      <c r="Q4" s="36"/>
    </row>
    <row r="5" spans="1:26" x14ac:dyDescent="0.2">
      <c r="A5" s="73"/>
      <c r="B5" s="73" t="s">
        <v>3</v>
      </c>
      <c r="C5" s="103" t="s">
        <v>84</v>
      </c>
      <c r="D5" s="73" t="s">
        <v>87</v>
      </c>
      <c r="E5" s="73"/>
      <c r="F5" s="73" t="s">
        <v>88</v>
      </c>
      <c r="G5" s="73"/>
      <c r="H5" s="73" t="s">
        <v>89</v>
      </c>
      <c r="I5" s="73"/>
      <c r="J5" s="73"/>
      <c r="K5" s="2"/>
      <c r="L5" s="7"/>
      <c r="M5" s="7" t="s">
        <v>18</v>
      </c>
      <c r="N5" s="7" t="s">
        <v>19</v>
      </c>
      <c r="O5" s="7" t="s">
        <v>20</v>
      </c>
      <c r="P5" s="7" t="s">
        <v>21</v>
      </c>
      <c r="Q5" s="7" t="s">
        <v>22</v>
      </c>
      <c r="S5" s="7" t="s">
        <v>60</v>
      </c>
    </row>
    <row r="7" spans="1:26" x14ac:dyDescent="0.2">
      <c r="B7" s="28" t="s">
        <v>7</v>
      </c>
      <c r="C7" s="117">
        <f t="shared" ref="C7:C12" ca="1" si="0">RANK(S7, $S$7:$S$12, 0)</f>
        <v>5</v>
      </c>
      <c r="D7" s="28" t="str">
        <f ca="1">B7&amp;C7</f>
        <v>Powercor5</v>
      </c>
      <c r="F7" s="1" t="str">
        <f ca="1">'5 minute settlement'!$A2</f>
        <v>5 minute settlement</v>
      </c>
      <c r="H7" s="1" t="str">
        <f>'5 minute settlement'!$A3</f>
        <v>5 minute settlement</v>
      </c>
      <c r="M7" s="9">
        <f ca="1">INDEX(INDIRECT("'"&amp;$F7&amp;"'!"&amp;M$3&amp;":"&amp;M$3), MATCH($B7&amp;" "&amp;$F7, INDIRECT("'"&amp;$F7&amp;"'!b:b"), 0))</f>
        <v>504.96484412224805</v>
      </c>
      <c r="N7" s="9">
        <f ca="1">INDEX(INDIRECT("'"&amp;$F7&amp;"'!"&amp;N$3&amp;":"&amp;N$3), MATCH($B7&amp;" "&amp;$F7, INDIRECT("'"&amp;$F7&amp;"'!b:b"), 0))</f>
        <v>705.15332795959432</v>
      </c>
      <c r="O7" s="9">
        <f ca="1">INDEX(INDIRECT("'"&amp;$F7&amp;"'!"&amp;O$3&amp;":"&amp;O$3), MATCH($B7&amp;" "&amp;$F7, INDIRECT("'"&amp;$F7&amp;"'!b:b"), 0))</f>
        <v>895.57656441694087</v>
      </c>
      <c r="P7" s="9">
        <f ca="1">INDEX(INDIRECT("'"&amp;$F7&amp;"'!"&amp;P$3&amp;":"&amp;P$3), MATCH($B7&amp;" "&amp;$F7, INDIRECT("'"&amp;$F7&amp;"'!b:b"), 0))</f>
        <v>1091.9039308815745</v>
      </c>
      <c r="Q7" s="9">
        <f ca="1">INDEX(INDIRECT("'"&amp;$F7&amp;"'!"&amp;Q$3&amp;":"&amp;Q$3), MATCH($B7&amp;" "&amp;$F7, INDIRECT("'"&amp;$F7&amp;"'!b:b"), 0))</f>
        <v>1301.4108705527337</v>
      </c>
      <c r="S7" s="10">
        <f t="shared" ref="S7:S12" ca="1" si="1">SUM(M7:Q7)</f>
        <v>4499.0095379330915</v>
      </c>
      <c r="T7" s="9"/>
    </row>
    <row r="8" spans="1:26" x14ac:dyDescent="0.2">
      <c r="B8" s="28" t="s">
        <v>7</v>
      </c>
      <c r="C8" s="117">
        <f t="shared" ca="1" si="0"/>
        <v>2</v>
      </c>
      <c r="D8" s="28" t="str">
        <f t="shared" ref="D8:D12" ca="1" si="2">B8&amp;C8</f>
        <v>Powercor2</v>
      </c>
      <c r="F8" s="1" t="str">
        <f ca="1">'Security of Critical Infr'!$A2</f>
        <v>Security of Critical Infr</v>
      </c>
      <c r="H8" s="1" t="str">
        <f>'Security of Critical Infr'!$A3</f>
        <v>Security of Critical Infrastructure</v>
      </c>
      <c r="M8" s="9">
        <f t="shared" ref="M8:M12" ca="1" si="3">INDEX(INDIRECT("'"&amp;$F8&amp;"'!"&amp;M$3&amp;":"&amp;M$3), MATCH($B8&amp;" "&amp;$F8, INDIRECT("'"&amp;$F8&amp;"'!b:b"), 0))</f>
        <v>2416.1422739717573</v>
      </c>
      <c r="N8" s="9">
        <f t="shared" ref="N8:Q12" ca="1" si="4">INDEX(INDIRECT("'"&amp;$F8&amp;"'!"&amp;N$3&amp;":"&amp;N$3), MATCH($B8&amp;" "&amp;$F8, INDIRECT("'"&amp;$F8&amp;"'!b:b"), 0))</f>
        <v>1709.7629208919104</v>
      </c>
      <c r="O8" s="9">
        <f t="shared" ca="1" si="4"/>
        <v>1652.8670470000197</v>
      </c>
      <c r="P8" s="9">
        <f t="shared" ca="1" si="4"/>
        <v>1534.3399241136399</v>
      </c>
      <c r="Q8" s="9">
        <f t="shared" ca="1" si="4"/>
        <v>1546.2167137960173</v>
      </c>
      <c r="S8" s="10">
        <f t="shared" ca="1" si="1"/>
        <v>8859.3288797733439</v>
      </c>
      <c r="T8" s="9"/>
      <c r="U8" s="59"/>
      <c r="V8" s="59"/>
      <c r="W8" s="59"/>
      <c r="X8" s="59"/>
      <c r="Y8" s="59"/>
      <c r="Z8" s="59"/>
    </row>
    <row r="9" spans="1:26" x14ac:dyDescent="0.2">
      <c r="B9" s="28" t="s">
        <v>7</v>
      </c>
      <c r="C9" s="117">
        <f t="shared" ca="1" si="0"/>
        <v>4</v>
      </c>
      <c r="D9" s="28" t="str">
        <f t="shared" ca="1" si="2"/>
        <v>Powercor4</v>
      </c>
      <c r="F9" s="1" t="str">
        <f>'Solar enablement'!$A2</f>
        <v>Solar enablement</v>
      </c>
      <c r="H9" s="1" t="str">
        <f>'Solar enablement'!$A3</f>
        <v>Solar enablement</v>
      </c>
      <c r="M9" s="9">
        <f t="shared" ca="1" si="3"/>
        <v>1096.1547963490291</v>
      </c>
      <c r="N9" s="9">
        <f t="shared" ca="1" si="4"/>
        <v>1037.0107590207526</v>
      </c>
      <c r="O9" s="9">
        <f t="shared" ca="1" si="4"/>
        <v>1171.4861059625666</v>
      </c>
      <c r="P9" s="9">
        <f t="shared" ca="1" si="4"/>
        <v>729.66001040777155</v>
      </c>
      <c r="Q9" s="9">
        <f t="shared" ca="1" si="4"/>
        <v>748.89535596604082</v>
      </c>
      <c r="S9" s="10">
        <f t="shared" ca="1" si="1"/>
        <v>4783.2070277061612</v>
      </c>
      <c r="T9" s="9"/>
    </row>
    <row r="10" spans="1:26" x14ac:dyDescent="0.2">
      <c r="B10" s="28" t="s">
        <v>7</v>
      </c>
      <c r="C10" s="117">
        <f t="shared" ca="1" si="0"/>
        <v>6</v>
      </c>
      <c r="D10" s="28" t="str">
        <f t="shared" ca="1" si="2"/>
        <v>Powercor6</v>
      </c>
      <c r="F10" s="1" t="str">
        <f ca="1">'REFCL opex'!$A2</f>
        <v>REFCL opex</v>
      </c>
      <c r="H10" s="1" t="str">
        <f>'REFCL opex'!$A3</f>
        <v>REFCL on-going operating expenditure</v>
      </c>
      <c r="M10" s="9">
        <f t="shared" ca="1" si="3"/>
        <v>298.31194263240303</v>
      </c>
      <c r="N10" s="9">
        <f t="shared" ca="1" si="4"/>
        <v>395.40999388132411</v>
      </c>
      <c r="O10" s="9">
        <f t="shared" ca="1" si="4"/>
        <v>910.33224283276934</v>
      </c>
      <c r="P10" s="9">
        <f t="shared" ca="1" si="4"/>
        <v>1029.5936271080479</v>
      </c>
      <c r="Q10" s="9">
        <f t="shared" ca="1" si="4"/>
        <v>1037.5633519228033</v>
      </c>
      <c r="S10" s="10">
        <f t="shared" ca="1" si="1"/>
        <v>3671.2111583773476</v>
      </c>
      <c r="T10" s="9"/>
    </row>
    <row r="11" spans="1:26" x14ac:dyDescent="0.2">
      <c r="B11" s="28" t="s">
        <v>7</v>
      </c>
      <c r="C11" s="117">
        <f t="shared" ca="1" si="0"/>
        <v>1</v>
      </c>
      <c r="D11" s="28" t="str">
        <f t="shared" ca="1" si="2"/>
        <v>Powercor1</v>
      </c>
      <c r="F11" s="13" t="str">
        <f ca="1">'Increasing insurance premiums'!$A2</f>
        <v>Increasing insurance premiums</v>
      </c>
      <c r="H11" s="1" t="str">
        <f ca="1">F11</f>
        <v>Increasing insurance premiums</v>
      </c>
      <c r="M11" s="9">
        <f t="shared" ca="1" si="3"/>
        <v>5616.7702237106705</v>
      </c>
      <c r="N11" s="9">
        <f t="shared" ca="1" si="4"/>
        <v>5616.7702237106705</v>
      </c>
      <c r="O11" s="9">
        <f t="shared" ca="1" si="4"/>
        <v>5616.7702237106705</v>
      </c>
      <c r="P11" s="9">
        <f t="shared" ca="1" si="4"/>
        <v>5616.7702237106705</v>
      </c>
      <c r="Q11" s="9">
        <f t="shared" ca="1" si="4"/>
        <v>5616.7702237106705</v>
      </c>
      <c r="S11" s="10">
        <f t="shared" ca="1" si="1"/>
        <v>28083.851118553353</v>
      </c>
      <c r="T11" s="9"/>
    </row>
    <row r="12" spans="1:26" x14ac:dyDescent="0.2">
      <c r="B12" s="28" t="s">
        <v>7</v>
      </c>
      <c r="C12" s="117">
        <f t="shared" ca="1" si="0"/>
        <v>3</v>
      </c>
      <c r="D12" s="28" t="str">
        <f t="shared" ca="1" si="2"/>
        <v>Powercor3</v>
      </c>
      <c r="F12" s="1" t="str">
        <f ca="1">'IT cloud solutions'!$A2</f>
        <v>IT cloud solutions</v>
      </c>
      <c r="H12" s="13" t="str">
        <f>'IT cloud solutions'!$A3</f>
        <v>IT cloud solutions</v>
      </c>
      <c r="M12" s="9">
        <f t="shared" ca="1" si="3"/>
        <v>830.68560383111594</v>
      </c>
      <c r="N12" s="9">
        <f t="shared" ca="1" si="4"/>
        <v>821.96714935313082</v>
      </c>
      <c r="O12" s="9">
        <f t="shared" ca="1" si="4"/>
        <v>1175.9294126678221</v>
      </c>
      <c r="P12" s="9">
        <f t="shared" ca="1" si="4"/>
        <v>1395.6344563719942</v>
      </c>
      <c r="Q12" s="9">
        <f t="shared" ca="1" si="4"/>
        <v>1390.6049205681329</v>
      </c>
      <c r="S12" s="10">
        <f t="shared" ca="1" si="1"/>
        <v>5614.8215427921959</v>
      </c>
    </row>
    <row r="13" spans="1:26" x14ac:dyDescent="0.2">
      <c r="B13" s="28"/>
      <c r="C13" s="117"/>
      <c r="D13" s="28"/>
      <c r="H13" s="13" t="str">
        <f>""</f>
        <v/>
      </c>
      <c r="M13" s="9"/>
      <c r="N13" s="9"/>
      <c r="O13" s="9"/>
      <c r="P13" s="9"/>
      <c r="Q13" s="9"/>
      <c r="S13" s="10"/>
    </row>
    <row r="14" spans="1:26" x14ac:dyDescent="0.2">
      <c r="B14" s="28"/>
      <c r="C14" s="117"/>
      <c r="D14" s="28"/>
      <c r="H14" s="13" t="str">
        <f>""</f>
        <v/>
      </c>
      <c r="M14" s="9"/>
      <c r="N14" s="9"/>
      <c r="O14" s="9"/>
      <c r="P14" s="9"/>
      <c r="Q14" s="9"/>
      <c r="S14" s="10"/>
    </row>
    <row r="15" spans="1:26" x14ac:dyDescent="0.2">
      <c r="B15" s="28"/>
      <c r="C15" s="117"/>
      <c r="D15" s="28"/>
      <c r="H15" s="13" t="str">
        <f>""</f>
        <v/>
      </c>
      <c r="M15" s="9"/>
      <c r="N15" s="9"/>
      <c r="O15" s="9"/>
      <c r="P15" s="9"/>
      <c r="Q15" s="9"/>
      <c r="S15" s="10"/>
    </row>
    <row r="16" spans="1:26" x14ac:dyDescent="0.2">
      <c r="B16" s="109"/>
      <c r="C16" s="110"/>
      <c r="D16" s="109"/>
      <c r="H16" s="13" t="str">
        <f>""</f>
        <v/>
      </c>
      <c r="M16" s="17"/>
      <c r="N16" s="17"/>
      <c r="O16" s="17"/>
      <c r="P16" s="17"/>
      <c r="Q16" s="17"/>
      <c r="R16" s="5"/>
      <c r="S16" s="17"/>
    </row>
    <row r="17" spans="2:25" x14ac:dyDescent="0.2">
      <c r="B17" s="109"/>
      <c r="C17" s="110"/>
      <c r="D17" s="109"/>
      <c r="H17" s="13" t="str">
        <f>""</f>
        <v/>
      </c>
      <c r="M17" s="17"/>
      <c r="N17" s="17"/>
      <c r="O17" s="17"/>
      <c r="P17" s="17"/>
      <c r="Q17" s="17"/>
      <c r="R17" s="5"/>
      <c r="S17" s="17"/>
    </row>
    <row r="18" spans="2:25" ht="13.5" thickBot="1" x14ac:dyDescent="0.25">
      <c r="B18" s="109"/>
      <c r="C18" s="110"/>
      <c r="D18" s="109"/>
      <c r="F18" s="19" t="s">
        <v>5</v>
      </c>
      <c r="G18" s="19"/>
      <c r="H18" s="19"/>
      <c r="I18" s="19"/>
      <c r="J18" s="19"/>
      <c r="K18" s="19"/>
      <c r="L18" s="19"/>
      <c r="M18" s="19">
        <f ca="1">SUM(M7:M16)</f>
        <v>10763.029684617224</v>
      </c>
      <c r="N18" s="19">
        <f ca="1">SUM(N7:N16)</f>
        <v>10286.074374817385</v>
      </c>
      <c r="O18" s="19">
        <f ca="1">SUM(O7:O16)</f>
        <v>11422.961596590789</v>
      </c>
      <c r="P18" s="19">
        <f ca="1">SUM(P7:P16)</f>
        <v>11397.902172593698</v>
      </c>
      <c r="Q18" s="19">
        <f ca="1">SUM(Q7:Q16)</f>
        <v>11641.461436516398</v>
      </c>
      <c r="S18" s="19">
        <f ca="1">SUM(S7:S16)</f>
        <v>55511.429265135492</v>
      </c>
      <c r="U18" s="9"/>
      <c r="Y18" s="9"/>
    </row>
    <row r="19" spans="2:25" ht="13.5" thickTop="1" x14ac:dyDescent="0.2">
      <c r="B19" s="109"/>
      <c r="C19" s="110"/>
      <c r="D19" s="109"/>
      <c r="F19" s="28" t="s">
        <v>90</v>
      </c>
      <c r="G19" s="28"/>
      <c r="H19" s="28"/>
      <c r="I19" s="28"/>
      <c r="J19" s="28"/>
      <c r="K19" s="28"/>
      <c r="L19" s="28"/>
      <c r="M19" s="28"/>
      <c r="N19" s="28"/>
      <c r="O19" s="28"/>
      <c r="P19" s="28"/>
      <c r="Q19" s="28"/>
      <c r="R19" s="28"/>
      <c r="S19" s="118">
        <f ca="1">COUNT(S7:S12)-COUNTIF(S7:S12, 0)</f>
        <v>6</v>
      </c>
    </row>
    <row r="20" spans="2:25" x14ac:dyDescent="0.2">
      <c r="B20" s="109"/>
      <c r="C20" s="110"/>
      <c r="D20" s="109"/>
      <c r="N20" s="24"/>
      <c r="O20" s="24"/>
      <c r="P20" s="24"/>
      <c r="Q20" s="24"/>
      <c r="T20" s="24"/>
    </row>
    <row r="21" spans="2:25" x14ac:dyDescent="0.2">
      <c r="B21" s="109"/>
      <c r="C21" s="110"/>
      <c r="D21" s="109"/>
      <c r="T21" s="24"/>
    </row>
    <row r="22" spans="2:25" x14ac:dyDescent="0.2">
      <c r="B22" s="109"/>
      <c r="C22" s="110"/>
      <c r="D22" s="109"/>
      <c r="T22" s="24"/>
    </row>
    <row r="23" spans="2:25" x14ac:dyDescent="0.2">
      <c r="M23" s="9"/>
      <c r="N23" s="9"/>
      <c r="O23" s="9"/>
      <c r="P23" s="9"/>
      <c r="Q23" s="9"/>
    </row>
    <row r="24" spans="2:25" x14ac:dyDescent="0.2">
      <c r="M24" s="9"/>
      <c r="N24" s="9"/>
      <c r="O24" s="9"/>
      <c r="P24" s="9"/>
      <c r="Q24" s="9"/>
    </row>
    <row r="25" spans="2:25" x14ac:dyDescent="0.2">
      <c r="M25" s="9"/>
      <c r="N25" s="9"/>
      <c r="O25" s="9"/>
      <c r="P25" s="9"/>
      <c r="Q25" s="9"/>
    </row>
    <row r="26" spans="2:25" x14ac:dyDescent="0.2">
      <c r="M26" s="9"/>
      <c r="N26" s="9"/>
      <c r="O26" s="9"/>
      <c r="P26" s="9"/>
      <c r="Q26" s="9"/>
    </row>
    <row r="27" spans="2:25" x14ac:dyDescent="0.2">
      <c r="M27" s="9"/>
      <c r="N27" s="9"/>
      <c r="O27" s="9"/>
      <c r="P27" s="9"/>
      <c r="Q27" s="9"/>
    </row>
    <row r="28" spans="2:25" x14ac:dyDescent="0.2">
      <c r="M28" s="9"/>
      <c r="N28" s="9"/>
      <c r="O28" s="9"/>
      <c r="P28" s="9"/>
      <c r="Q28" s="9"/>
    </row>
    <row r="29" spans="2:25" x14ac:dyDescent="0.2">
      <c r="M29" s="9"/>
      <c r="N29" s="9"/>
      <c r="O29" s="9"/>
      <c r="P29" s="9"/>
      <c r="Q29" s="9"/>
    </row>
    <row r="30" spans="2:25" x14ac:dyDescent="0.2">
      <c r="M30" s="9"/>
      <c r="N30" s="9"/>
      <c r="O30" s="9"/>
      <c r="P30" s="9"/>
      <c r="Q30" s="9"/>
    </row>
    <row r="31" spans="2:25" x14ac:dyDescent="0.2">
      <c r="M31" s="9"/>
      <c r="N31" s="9"/>
      <c r="O31" s="9"/>
      <c r="P31" s="9"/>
      <c r="Q31" s="9"/>
    </row>
    <row r="32" spans="2:25" x14ac:dyDescent="0.2">
      <c r="M32" s="9"/>
      <c r="N32" s="9"/>
      <c r="O32" s="9"/>
      <c r="P32" s="9"/>
      <c r="Q32" s="9"/>
    </row>
    <row r="33" spans="13:17" x14ac:dyDescent="0.2">
      <c r="M33" s="9"/>
      <c r="N33" s="9"/>
      <c r="O33" s="9"/>
      <c r="P33" s="9"/>
      <c r="Q33" s="9"/>
    </row>
    <row r="34" spans="13:17" x14ac:dyDescent="0.2">
      <c r="M34" s="9"/>
      <c r="N34" s="9"/>
      <c r="O34" s="9"/>
      <c r="P34" s="9"/>
      <c r="Q34" s="9"/>
    </row>
  </sheetData>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CC"/>
  </sheetPr>
  <dimension ref="A1:U37"/>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A3" sqref="A3"/>
    </sheetView>
  </sheetViews>
  <sheetFormatPr defaultColWidth="9" defaultRowHeight="12.75" x14ac:dyDescent="0.2"/>
  <cols>
    <col min="1" max="1" width="2" style="1" customWidth="1"/>
    <col min="2" max="2" width="33.125" style="1" customWidth="1"/>
    <col min="3" max="3" width="10.5" style="1" customWidth="1"/>
    <col min="4" max="4" width="9" style="1"/>
    <col min="5" max="5" width="9.25" style="1" customWidth="1"/>
    <col min="6" max="6" width="8.5" style="1" customWidth="1"/>
    <col min="7" max="18" width="8.375" style="1" customWidth="1"/>
    <col min="19" max="16384" width="9" style="1"/>
  </cols>
  <sheetData>
    <row r="1" spans="1:18" ht="21" x14ac:dyDescent="0.35">
      <c r="A1" s="3" t="s">
        <v>4</v>
      </c>
      <c r="K1" s="197" t="s">
        <v>161</v>
      </c>
      <c r="L1" s="196" t="s">
        <v>158</v>
      </c>
    </row>
    <row r="2" spans="1:18" ht="18.75" x14ac:dyDescent="0.3">
      <c r="A2" s="8" t="str">
        <f ca="1">RIGHT(CELL("filename",A1),LEN(CELL("filename",A1))-FIND("]",CELL("filename",A1),1))</f>
        <v>Assumptions</v>
      </c>
      <c r="L2" s="36"/>
      <c r="M2" s="36"/>
      <c r="N2" s="36"/>
      <c r="O2" s="36"/>
      <c r="P2" s="36"/>
      <c r="Q2" s="36"/>
      <c r="R2" s="36"/>
    </row>
    <row r="4" spans="1:18" x14ac:dyDescent="0.2">
      <c r="A4" s="2" t="s">
        <v>2</v>
      </c>
      <c r="B4" s="2"/>
      <c r="C4" s="2"/>
      <c r="D4" s="2"/>
      <c r="E4" s="2"/>
      <c r="F4" s="2"/>
      <c r="G4" s="2"/>
      <c r="H4" s="2"/>
      <c r="I4" s="2"/>
      <c r="J4" s="2"/>
      <c r="K4" s="2"/>
      <c r="L4" s="2"/>
      <c r="M4" s="2"/>
      <c r="N4" s="2"/>
      <c r="O4" s="2"/>
      <c r="P4" s="2"/>
      <c r="Q4" s="2"/>
      <c r="R4" s="2"/>
    </row>
    <row r="6" spans="1:18" x14ac:dyDescent="0.2">
      <c r="B6" s="68" t="s">
        <v>74</v>
      </c>
    </row>
    <row r="11" spans="1:18" x14ac:dyDescent="0.2">
      <c r="B11" s="1" t="s">
        <v>78</v>
      </c>
      <c r="D11" s="108">
        <v>0.5</v>
      </c>
    </row>
    <row r="12" spans="1:18" x14ac:dyDescent="0.2">
      <c r="B12" s="1" t="s">
        <v>79</v>
      </c>
      <c r="D12" s="61">
        <f>1-CP_cost_split</f>
        <v>0.5</v>
      </c>
    </row>
    <row r="13" spans="1:18" x14ac:dyDescent="0.2">
      <c r="B13" s="1" t="s">
        <v>15</v>
      </c>
      <c r="D13" s="107" t="s">
        <v>17</v>
      </c>
    </row>
    <row r="14" spans="1:18" x14ac:dyDescent="0.2">
      <c r="B14" s="1" t="s">
        <v>73</v>
      </c>
      <c r="D14" s="107">
        <v>2019</v>
      </c>
    </row>
    <row r="16" spans="1:18" x14ac:dyDescent="0.2">
      <c r="A16" s="2" t="s">
        <v>1</v>
      </c>
      <c r="B16" s="2"/>
      <c r="C16" s="2"/>
      <c r="D16" s="2"/>
      <c r="E16" s="2"/>
      <c r="F16" s="2"/>
      <c r="G16" s="2">
        <v>2015</v>
      </c>
      <c r="H16" s="2">
        <f>G16+1</f>
        <v>2016</v>
      </c>
      <c r="I16" s="2">
        <f>H16+1</f>
        <v>2017</v>
      </c>
      <c r="J16" s="2">
        <f>I16+1</f>
        <v>2018</v>
      </c>
      <c r="K16" s="2">
        <v>2019</v>
      </c>
      <c r="L16" s="2">
        <v>2020</v>
      </c>
      <c r="M16" s="7" t="s">
        <v>17</v>
      </c>
    </row>
    <row r="18" spans="1:21" s="13" customFormat="1" x14ac:dyDescent="0.2">
      <c r="B18" s="13" t="s">
        <v>123</v>
      </c>
      <c r="F18" s="15"/>
      <c r="G18" s="198">
        <v>1.0961500442225942</v>
      </c>
      <c r="H18" s="198">
        <v>1.0790765766629278</v>
      </c>
      <c r="I18" s="198">
        <v>1.061119022886448</v>
      </c>
      <c r="J18" s="198">
        <v>1.0418798063797183</v>
      </c>
      <c r="K18" s="198">
        <v>1.0233339039577956</v>
      </c>
      <c r="L18" s="198">
        <v>1.0077657751950859</v>
      </c>
      <c r="M18" s="198">
        <v>1.0007625489781908</v>
      </c>
      <c r="N18" s="1"/>
      <c r="O18" s="1"/>
      <c r="P18" s="1"/>
      <c r="Q18" s="1"/>
      <c r="R18" s="1"/>
      <c r="S18" s="1"/>
    </row>
    <row r="19" spans="1:21" x14ac:dyDescent="0.2">
      <c r="G19" s="4"/>
      <c r="K19" s="9"/>
    </row>
    <row r="20" spans="1:21" x14ac:dyDescent="0.2">
      <c r="G20" s="9"/>
    </row>
    <row r="21" spans="1:21" x14ac:dyDescent="0.2">
      <c r="A21" s="73" t="s">
        <v>154</v>
      </c>
      <c r="B21" s="73"/>
      <c r="C21" s="73"/>
      <c r="D21" s="73"/>
      <c r="E21" s="73"/>
      <c r="F21" s="73"/>
      <c r="G21" s="2"/>
      <c r="H21" s="2"/>
      <c r="I21" s="2"/>
      <c r="J21" s="2"/>
      <c r="K21" s="2"/>
      <c r="L21" s="7"/>
      <c r="M21" s="7"/>
      <c r="N21" s="7"/>
      <c r="O21" s="7"/>
      <c r="P21" s="7"/>
      <c r="Q21" s="7"/>
      <c r="R21" s="7"/>
    </row>
    <row r="23" spans="1:21" x14ac:dyDescent="0.2">
      <c r="B23" s="1" t="s">
        <v>155</v>
      </c>
      <c r="C23" s="41" t="s">
        <v>122</v>
      </c>
      <c r="F23" s="199">
        <v>0.28352304972360076</v>
      </c>
      <c r="G23" s="9"/>
      <c r="H23" s="9"/>
      <c r="I23" s="9"/>
      <c r="J23" s="9"/>
      <c r="K23" s="9"/>
      <c r="L23" s="9"/>
      <c r="M23" s="9"/>
      <c r="N23" s="9"/>
      <c r="O23" s="9"/>
      <c r="P23" s="9"/>
      <c r="Q23" s="9"/>
      <c r="R23" s="9"/>
      <c r="S23" s="9"/>
      <c r="T23" s="9"/>
      <c r="U23" s="9"/>
    </row>
    <row r="24" spans="1:21" x14ac:dyDescent="0.2">
      <c r="B24" s="1" t="s">
        <v>156</v>
      </c>
      <c r="C24" s="41" t="s">
        <v>122</v>
      </c>
      <c r="F24" s="199">
        <v>0.71647695027639924</v>
      </c>
      <c r="G24" s="9"/>
      <c r="H24" s="9"/>
      <c r="I24" s="9"/>
      <c r="J24" s="9"/>
      <c r="K24" s="9"/>
      <c r="L24" s="9"/>
      <c r="M24" s="9"/>
      <c r="N24" s="9"/>
      <c r="O24" s="9"/>
      <c r="P24" s="9"/>
      <c r="Q24" s="9"/>
      <c r="R24" s="9"/>
      <c r="S24" s="9"/>
      <c r="T24" s="9"/>
      <c r="U24" s="9"/>
    </row>
    <row r="25" spans="1:21" x14ac:dyDescent="0.2">
      <c r="G25" s="9"/>
      <c r="H25" s="9"/>
      <c r="I25" s="9"/>
      <c r="J25" s="9"/>
      <c r="K25" s="9"/>
      <c r="L25" s="9"/>
      <c r="M25" s="9"/>
      <c r="N25" s="9"/>
      <c r="O25" s="9"/>
      <c r="P25" s="9"/>
      <c r="Q25" s="9"/>
      <c r="R25" s="9"/>
    </row>
    <row r="26" spans="1:21" x14ac:dyDescent="0.2">
      <c r="A26" s="2" t="s">
        <v>96</v>
      </c>
      <c r="B26" s="2"/>
      <c r="C26" s="2"/>
      <c r="D26" s="2"/>
      <c r="E26" s="2"/>
      <c r="F26" s="2"/>
      <c r="G26" s="2"/>
      <c r="H26" s="2"/>
      <c r="I26" s="2"/>
      <c r="J26" s="2"/>
      <c r="K26" s="2"/>
      <c r="L26" s="2" t="s">
        <v>16</v>
      </c>
      <c r="M26" s="2" t="s">
        <v>17</v>
      </c>
      <c r="N26" s="2" t="s">
        <v>18</v>
      </c>
      <c r="O26" s="2" t="s">
        <v>19</v>
      </c>
      <c r="P26" s="2" t="s">
        <v>20</v>
      </c>
      <c r="Q26" s="2" t="s">
        <v>21</v>
      </c>
      <c r="R26" s="2" t="s">
        <v>22</v>
      </c>
    </row>
    <row r="27" spans="1:21" x14ac:dyDescent="0.2">
      <c r="K27" s="9"/>
      <c r="L27" s="9"/>
      <c r="M27" s="9"/>
      <c r="N27" s="9"/>
      <c r="O27" s="9"/>
      <c r="P27" s="9"/>
      <c r="Q27" s="9"/>
      <c r="R27" s="9"/>
    </row>
    <row r="28" spans="1:21" x14ac:dyDescent="0.2">
      <c r="B28" s="5" t="s">
        <v>115</v>
      </c>
      <c r="K28" s="9"/>
      <c r="L28" s="9"/>
      <c r="M28" s="9"/>
      <c r="N28" s="9"/>
      <c r="O28" s="9"/>
      <c r="P28" s="9"/>
      <c r="Q28" s="9"/>
      <c r="R28" s="9"/>
    </row>
    <row r="29" spans="1:21" x14ac:dyDescent="0.2">
      <c r="B29" s="25" t="s">
        <v>116</v>
      </c>
      <c r="C29" s="25"/>
      <c r="D29" s="25"/>
      <c r="E29" s="25"/>
      <c r="F29" s="25"/>
      <c r="G29" s="25"/>
      <c r="H29" s="25"/>
      <c r="I29" s="25"/>
      <c r="J29" s="25"/>
      <c r="K29" s="26"/>
      <c r="L29" s="26"/>
      <c r="M29" s="26"/>
      <c r="N29" s="203">
        <f>'[1]Input|Rate of change'!Q$40</f>
        <v>7.762137192630263E-3</v>
      </c>
      <c r="O29" s="203">
        <f>'[1]Input|Rate of change'!R$40</f>
        <v>4.9608934391037352E-3</v>
      </c>
      <c r="P29" s="203">
        <f>'[1]Input|Rate of change'!S$40</f>
        <v>6.512577699459102E-3</v>
      </c>
      <c r="Q29" s="203">
        <f>'[1]Input|Rate of change'!T$40</f>
        <v>9.9346404822831889E-3</v>
      </c>
      <c r="R29" s="203">
        <f>'[1]Input|Rate of change'!U$40</f>
        <v>1.3075423782207421E-2</v>
      </c>
    </row>
    <row r="30" spans="1:21" x14ac:dyDescent="0.2">
      <c r="B30" s="25" t="s">
        <v>117</v>
      </c>
      <c r="C30" s="25"/>
      <c r="D30" s="25"/>
      <c r="E30" s="25"/>
      <c r="F30" s="25"/>
      <c r="G30" s="25"/>
      <c r="H30" s="25"/>
      <c r="I30" s="25"/>
      <c r="J30" s="25"/>
      <c r="K30" s="25"/>
      <c r="L30" s="25"/>
      <c r="M30" s="25"/>
      <c r="N30" s="148">
        <v>0</v>
      </c>
      <c r="O30" s="148">
        <v>0</v>
      </c>
      <c r="P30" s="148">
        <v>0</v>
      </c>
      <c r="Q30" s="148">
        <v>0</v>
      </c>
      <c r="R30" s="148">
        <v>0</v>
      </c>
      <c r="S30" s="25"/>
    </row>
    <row r="31" spans="1:21" x14ac:dyDescent="0.2">
      <c r="B31" s="25"/>
      <c r="C31" s="25"/>
      <c r="D31" s="25"/>
      <c r="E31" s="25"/>
      <c r="F31" s="25"/>
      <c r="G31" s="25"/>
      <c r="H31" s="25"/>
      <c r="I31" s="25"/>
      <c r="J31" s="25"/>
      <c r="K31" s="25"/>
      <c r="L31" s="25"/>
      <c r="M31" s="25"/>
      <c r="N31" s="25"/>
      <c r="O31" s="25"/>
      <c r="P31" s="25"/>
      <c r="Q31" s="25"/>
      <c r="R31" s="25"/>
      <c r="S31" s="25"/>
    </row>
    <row r="32" spans="1:21" x14ac:dyDescent="0.2">
      <c r="B32" s="149" t="s">
        <v>118</v>
      </c>
      <c r="C32" s="25"/>
      <c r="D32" s="25"/>
      <c r="E32" s="25"/>
      <c r="F32" s="25"/>
      <c r="G32" s="25"/>
      <c r="H32" s="25"/>
      <c r="I32" s="25"/>
      <c r="J32" s="25"/>
      <c r="K32" s="25"/>
      <c r="L32" s="25"/>
      <c r="M32" s="25"/>
      <c r="N32" s="25"/>
      <c r="O32" s="25"/>
      <c r="P32" s="25"/>
      <c r="Q32" s="25"/>
      <c r="R32" s="25"/>
      <c r="S32" s="25"/>
    </row>
    <row r="33" spans="2:19" x14ac:dyDescent="0.2">
      <c r="B33" s="1" t="s">
        <v>119</v>
      </c>
      <c r="D33" s="61"/>
      <c r="K33" s="9"/>
      <c r="L33" s="9"/>
      <c r="M33" s="9"/>
      <c r="N33" s="207">
        <v>0.59199999999999997</v>
      </c>
      <c r="O33" s="207">
        <v>0.59199999999999997</v>
      </c>
      <c r="P33" s="207">
        <v>0.59199999999999997</v>
      </c>
      <c r="Q33" s="207">
        <v>0.59199999999999997</v>
      </c>
      <c r="R33" s="207">
        <v>0.59199999999999997</v>
      </c>
      <c r="S33" s="25"/>
    </row>
    <row r="34" spans="2:19" x14ac:dyDescent="0.2">
      <c r="B34" s="1" t="s">
        <v>117</v>
      </c>
      <c r="D34" s="61"/>
      <c r="K34" s="9"/>
      <c r="L34" s="9"/>
      <c r="M34" s="9"/>
      <c r="N34" s="150">
        <f t="shared" ref="N34:R34" si="0">1-N33</f>
        <v>0.40800000000000003</v>
      </c>
      <c r="O34" s="150">
        <f t="shared" si="0"/>
        <v>0.40800000000000003</v>
      </c>
      <c r="P34" s="150">
        <f t="shared" si="0"/>
        <v>0.40800000000000003</v>
      </c>
      <c r="Q34" s="150">
        <f t="shared" si="0"/>
        <v>0.40800000000000003</v>
      </c>
      <c r="R34" s="150">
        <f t="shared" si="0"/>
        <v>0.40800000000000003</v>
      </c>
      <c r="S34" s="25"/>
    </row>
    <row r="35" spans="2:19" x14ac:dyDescent="0.2">
      <c r="D35" s="61"/>
      <c r="K35" s="9"/>
      <c r="L35" s="9"/>
      <c r="M35" s="9"/>
      <c r="N35" s="9"/>
      <c r="O35" s="9"/>
      <c r="P35" s="9"/>
      <c r="Q35" s="9"/>
      <c r="R35" s="9"/>
      <c r="S35" s="9"/>
    </row>
    <row r="36" spans="2:19" x14ac:dyDescent="0.2">
      <c r="B36" s="25" t="s">
        <v>120</v>
      </c>
      <c r="E36" s="72"/>
      <c r="G36" s="9"/>
      <c r="H36" s="9"/>
      <c r="I36" s="17"/>
      <c r="J36" s="17"/>
      <c r="K36" s="25"/>
      <c r="L36" s="25"/>
      <c r="M36" s="25"/>
      <c r="N36" s="165">
        <f>SUMPRODUCT(N33:N34, N29:N30)</f>
        <v>4.5951852180371152E-3</v>
      </c>
      <c r="O36" s="165">
        <f>SUMPRODUCT(O33:O34, O29:O30)</f>
        <v>2.9368489159494111E-3</v>
      </c>
      <c r="P36" s="165">
        <f>SUMPRODUCT(P33:P34, P29:P30)</f>
        <v>3.8554459980797884E-3</v>
      </c>
      <c r="Q36" s="165">
        <f>SUMPRODUCT(Q33:Q34, Q29:Q30)</f>
        <v>5.8813071655116475E-3</v>
      </c>
      <c r="R36" s="165">
        <f>SUMPRODUCT(R33:R34, R29:R30)</f>
        <v>7.7406508790667933E-3</v>
      </c>
    </row>
    <row r="37" spans="2:19" x14ac:dyDescent="0.2">
      <c r="B37" s="152" t="s">
        <v>121</v>
      </c>
      <c r="E37" s="72" t="s">
        <v>81</v>
      </c>
      <c r="G37" s="9"/>
      <c r="H37" s="9"/>
      <c r="I37" s="16"/>
      <c r="J37" s="16"/>
      <c r="K37" s="151">
        <v>1</v>
      </c>
      <c r="L37" s="166">
        <f t="shared" ref="L37:R37" si="1">K37*(1+L36)</f>
        <v>1</v>
      </c>
      <c r="M37" s="166">
        <f t="shared" si="1"/>
        <v>1</v>
      </c>
      <c r="N37" s="166">
        <f t="shared" si="1"/>
        <v>1.004595185218037</v>
      </c>
      <c r="O37" s="166">
        <f t="shared" si="1"/>
        <v>1.0075455294987126</v>
      </c>
      <c r="P37" s="166">
        <f t="shared" si="1"/>
        <v>1.0114300668783016</v>
      </c>
      <c r="Q37" s="166">
        <f t="shared" si="1"/>
        <v>1.017378597778047</v>
      </c>
      <c r="R37" s="166">
        <f t="shared" si="1"/>
        <v>1.0252537703152813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sheetPr>
  <dimension ref="A1:W23"/>
  <sheetViews>
    <sheetView showGridLines="0" zoomScale="80" zoomScaleNormal="80" workbookViewId="0">
      <pane xSplit="2" ySplit="2" topLeftCell="C3" activePane="bottomRight" state="frozen"/>
      <selection pane="topRight" activeCell="C1" sqref="C1"/>
      <selection pane="bottomLeft" activeCell="A3" sqref="A3"/>
      <selection pane="bottomRight" activeCell="A4" sqref="A4"/>
    </sheetView>
  </sheetViews>
  <sheetFormatPr defaultColWidth="9" defaultRowHeight="12.75" x14ac:dyDescent="0.2"/>
  <cols>
    <col min="1" max="1" width="2" style="1" customWidth="1"/>
    <col min="2" max="2" width="38.625" style="1" customWidth="1"/>
    <col min="3" max="3" width="17.25" style="1" customWidth="1"/>
    <col min="4" max="5" width="8" style="1" customWidth="1"/>
    <col min="6" max="6" width="12" style="1" customWidth="1"/>
    <col min="7" max="7" width="11.375" style="62" customWidth="1"/>
    <col min="8" max="8" width="5.75" style="62" customWidth="1"/>
    <col min="9" max="10" width="5.75" style="1" customWidth="1"/>
    <col min="11" max="17" width="11.75" style="1" customWidth="1"/>
    <col min="18" max="18" width="2.5" style="1" customWidth="1"/>
    <col min="19" max="19" width="11.125" style="1" customWidth="1"/>
    <col min="20" max="16384" width="9" style="1"/>
  </cols>
  <sheetData>
    <row r="1" spans="1:23" ht="21" x14ac:dyDescent="0.35">
      <c r="A1" s="3" t="s">
        <v>4</v>
      </c>
      <c r="K1" s="197" t="s">
        <v>161</v>
      </c>
      <c r="L1" s="196" t="s">
        <v>158</v>
      </c>
    </row>
    <row r="2" spans="1:23" ht="18.75" x14ac:dyDescent="0.3">
      <c r="A2" s="8" t="str">
        <f ca="1">RIGHT(CELL("filename",A1),LEN(CELL("filename",A1))-FIND("]",CELL("filename",A1),1))</f>
        <v>5 minute settlement</v>
      </c>
      <c r="J2" s="36"/>
      <c r="K2" s="36"/>
      <c r="L2" s="36"/>
      <c r="M2" s="36"/>
      <c r="N2" s="36"/>
      <c r="O2" s="36"/>
      <c r="P2" s="36"/>
      <c r="Q2" s="36"/>
      <c r="U2" s="112" t="s">
        <v>9</v>
      </c>
    </row>
    <row r="3" spans="1:23" x14ac:dyDescent="0.2">
      <c r="A3" s="1" t="s">
        <v>24</v>
      </c>
      <c r="U3" s="114" t="b">
        <f>ROUND(SUM(U6:U23),4)=0</f>
        <v>1</v>
      </c>
    </row>
    <row r="4" spans="1:23" x14ac:dyDescent="0.2">
      <c r="N4" s="9"/>
      <c r="O4" s="9"/>
      <c r="P4" s="9"/>
      <c r="Q4" s="9"/>
    </row>
    <row r="5" spans="1:23" x14ac:dyDescent="0.2">
      <c r="A5" s="2" t="s">
        <v>14</v>
      </c>
      <c r="B5" s="2"/>
      <c r="C5" s="2"/>
      <c r="D5" s="2"/>
      <c r="E5" s="2"/>
      <c r="F5" s="2"/>
      <c r="G5" s="83"/>
      <c r="H5" s="83"/>
      <c r="I5" s="2"/>
      <c r="J5" s="2"/>
      <c r="K5" s="7"/>
      <c r="L5" s="7"/>
      <c r="M5" s="7"/>
      <c r="N5" s="7"/>
      <c r="O5" s="7"/>
      <c r="P5" s="7"/>
      <c r="Q5" s="7"/>
    </row>
    <row r="6" spans="1:23" x14ac:dyDescent="0.2">
      <c r="B6" s="35"/>
      <c r="N6" s="9"/>
      <c r="O6" s="9"/>
      <c r="P6" s="9"/>
      <c r="Q6" s="9"/>
    </row>
    <row r="7" spans="1:23" x14ac:dyDescent="0.2">
      <c r="B7" s="35"/>
      <c r="N7" s="9"/>
      <c r="O7" s="9"/>
      <c r="P7" s="9"/>
      <c r="Q7" s="9"/>
    </row>
    <row r="8" spans="1:23" x14ac:dyDescent="0.2">
      <c r="K8" s="38"/>
      <c r="N8" s="9"/>
      <c r="O8" s="9"/>
      <c r="P8" s="9"/>
      <c r="Q8" s="9"/>
    </row>
    <row r="9" spans="1:23" x14ac:dyDescent="0.2">
      <c r="B9" s="54" t="s">
        <v>59</v>
      </c>
      <c r="K9" s="48"/>
      <c r="N9" s="9"/>
      <c r="O9" s="9"/>
      <c r="P9" s="9"/>
      <c r="Q9" s="9"/>
    </row>
    <row r="10" spans="1:23" x14ac:dyDescent="0.2">
      <c r="B10" s="63" t="s">
        <v>69</v>
      </c>
      <c r="K10" s="48"/>
      <c r="N10" s="9"/>
      <c r="O10" s="9"/>
      <c r="P10" s="9"/>
      <c r="Q10" s="9"/>
    </row>
    <row r="11" spans="1:23" x14ac:dyDescent="0.2">
      <c r="B11" s="63" t="s">
        <v>65</v>
      </c>
      <c r="K11" s="48"/>
      <c r="N11" s="9"/>
      <c r="O11" s="9"/>
      <c r="P11" s="9"/>
      <c r="Q11" s="9"/>
    </row>
    <row r="12" spans="1:23" x14ac:dyDescent="0.2">
      <c r="B12" s="63" t="s">
        <v>95</v>
      </c>
      <c r="K12" s="48"/>
      <c r="N12" s="9"/>
      <c r="O12" s="9"/>
      <c r="P12" s="9"/>
      <c r="Q12" s="9"/>
    </row>
    <row r="13" spans="1:23" x14ac:dyDescent="0.2">
      <c r="J13" s="39"/>
      <c r="K13" s="39"/>
      <c r="L13" s="39"/>
      <c r="M13" s="39"/>
      <c r="N13" s="39"/>
      <c r="O13" s="39"/>
      <c r="P13" s="39"/>
      <c r="Q13" s="39"/>
    </row>
    <row r="14" spans="1:23" x14ac:dyDescent="0.2">
      <c r="A14" s="2" t="s">
        <v>75</v>
      </c>
      <c r="B14" s="2"/>
      <c r="C14" s="2"/>
      <c r="D14" s="2"/>
      <c r="E14" s="2"/>
      <c r="F14" s="2"/>
      <c r="G14" s="83"/>
      <c r="H14" s="83"/>
      <c r="I14" s="2"/>
      <c r="J14" s="2"/>
      <c r="K14" s="7">
        <v>2019</v>
      </c>
      <c r="L14" s="7">
        <v>2020</v>
      </c>
      <c r="M14" s="7" t="s">
        <v>18</v>
      </c>
      <c r="N14" s="7" t="s">
        <v>19</v>
      </c>
      <c r="O14" s="7" t="s">
        <v>20</v>
      </c>
      <c r="P14" s="7" t="s">
        <v>21</v>
      </c>
      <c r="Q14" s="7" t="s">
        <v>22</v>
      </c>
      <c r="S14" s="7" t="s">
        <v>60</v>
      </c>
    </row>
    <row r="15" spans="1:23" s="13" customFormat="1" x14ac:dyDescent="0.2">
      <c r="A15" s="11"/>
      <c r="B15" s="11"/>
      <c r="C15" s="11"/>
      <c r="D15" s="11"/>
      <c r="E15" s="11"/>
      <c r="F15" s="11"/>
      <c r="G15" s="85"/>
      <c r="H15" s="85"/>
      <c r="I15" s="11"/>
      <c r="J15" s="11"/>
      <c r="K15" s="11"/>
      <c r="L15" s="11"/>
      <c r="M15" s="11"/>
      <c r="N15" s="11"/>
      <c r="O15" s="11"/>
      <c r="P15" s="11"/>
      <c r="Q15" s="11"/>
      <c r="R15" s="1"/>
    </row>
    <row r="16" spans="1:23" x14ac:dyDescent="0.2">
      <c r="J16" s="39"/>
      <c r="K16" s="39"/>
      <c r="L16" s="39"/>
      <c r="M16" s="39"/>
      <c r="N16" s="39"/>
      <c r="O16" s="39"/>
      <c r="P16" s="39"/>
      <c r="Q16" s="39"/>
      <c r="S16" s="39"/>
      <c r="T16" s="39"/>
      <c r="U16" s="39"/>
      <c r="V16" s="39"/>
      <c r="W16" s="39"/>
    </row>
    <row r="17" spans="2:23" x14ac:dyDescent="0.2">
      <c r="B17" s="1" t="str">
        <f ca="1">"Powercor "&amp;$A$2 &amp;" allocated cost"</f>
        <v>Powercor 5 minute settlement allocated cost</v>
      </c>
      <c r="C17" s="101" t="s">
        <v>13</v>
      </c>
      <c r="G17" s="86" t="s">
        <v>162</v>
      </c>
      <c r="J17" s="39"/>
      <c r="K17" s="39"/>
      <c r="L17" s="39"/>
      <c r="M17" s="200">
        <v>502.65505106183707</v>
      </c>
      <c r="N17" s="200">
        <v>701.92783952726995</v>
      </c>
      <c r="O17" s="200">
        <v>891.48004847600896</v>
      </c>
      <c r="P17" s="200">
        <v>1086.9093809608376</v>
      </c>
      <c r="Q17" s="200">
        <v>1295.4580010955119</v>
      </c>
      <c r="S17" s="14">
        <f>SUM(M17:Q17)</f>
        <v>4478.4303211214656</v>
      </c>
      <c r="T17" s="39"/>
      <c r="U17" s="39"/>
      <c r="V17" s="39"/>
      <c r="W17" s="39"/>
    </row>
    <row r="18" spans="2:23" x14ac:dyDescent="0.2">
      <c r="B18" s="1" t="str">
        <f ca="1">"CitiPower "&amp;$A$2 &amp;" allocated cost"</f>
        <v>CitiPower 5 minute settlement allocated cost</v>
      </c>
      <c r="C18" s="101" t="s">
        <v>12</v>
      </c>
      <c r="G18" s="86" t="s">
        <v>162</v>
      </c>
      <c r="H18" s="39"/>
      <c r="J18" s="39"/>
      <c r="K18" s="39"/>
      <c r="L18" s="39"/>
      <c r="M18" s="200">
        <v>198.90980858636945</v>
      </c>
      <c r="N18" s="200">
        <v>277.76570016927354</v>
      </c>
      <c r="O18" s="200">
        <v>352.77498042910491</v>
      </c>
      <c r="P18" s="200">
        <v>430.10994609711531</v>
      </c>
      <c r="Q18" s="200">
        <v>512.63645413540098</v>
      </c>
      <c r="S18" s="14">
        <f>SUM(M18:Q18)</f>
        <v>1772.1968894172642</v>
      </c>
      <c r="T18" s="39"/>
      <c r="U18" s="39"/>
      <c r="V18" s="39"/>
      <c r="W18" s="39"/>
    </row>
    <row r="19" spans="2:23" x14ac:dyDescent="0.2">
      <c r="J19" s="39"/>
      <c r="K19" s="39"/>
      <c r="L19" s="39"/>
      <c r="M19" s="39"/>
      <c r="N19" s="39"/>
      <c r="O19" s="39"/>
      <c r="P19" s="39"/>
      <c r="Q19" s="39"/>
      <c r="S19" s="39"/>
      <c r="T19" s="39"/>
      <c r="U19" s="39"/>
      <c r="V19" s="39"/>
      <c r="W19" s="39"/>
    </row>
    <row r="20" spans="2:23" x14ac:dyDescent="0.2">
      <c r="B20" s="5" t="s">
        <v>80</v>
      </c>
      <c r="J20" s="39"/>
      <c r="K20" s="39"/>
      <c r="L20" s="39"/>
      <c r="M20" s="39"/>
      <c r="N20" s="39"/>
      <c r="O20" s="39"/>
      <c r="P20" s="39"/>
      <c r="Q20" s="39"/>
      <c r="S20" s="39"/>
      <c r="T20" s="39"/>
      <c r="U20" s="39"/>
      <c r="V20" s="39"/>
      <c r="W20" s="39"/>
    </row>
    <row r="21" spans="2:23" ht="13.5" thickBot="1" x14ac:dyDescent="0.25">
      <c r="B21" s="154" t="str">
        <f ca="1">"Powercor "&amp;$A$2</f>
        <v>Powercor 5 minute settlement</v>
      </c>
      <c r="C21" s="155" t="s">
        <v>81</v>
      </c>
      <c r="D21" s="154"/>
      <c r="E21" s="154"/>
      <c r="F21" s="154"/>
      <c r="G21" s="156" t="s">
        <v>162</v>
      </c>
      <c r="H21" s="157"/>
      <c r="I21" s="154"/>
      <c r="J21" s="158"/>
      <c r="K21" s="158"/>
      <c r="L21" s="159"/>
      <c r="M21" s="159">
        <f>M17*Assumptions!$N$37</f>
        <v>504.96484412224805</v>
      </c>
      <c r="N21" s="159">
        <f>N17*Assumptions!$N$37</f>
        <v>705.15332795959432</v>
      </c>
      <c r="O21" s="159">
        <f>O17*Assumptions!$N$37</f>
        <v>895.57656441694087</v>
      </c>
      <c r="P21" s="159">
        <f>P17*Assumptions!$N$37</f>
        <v>1091.9039308815745</v>
      </c>
      <c r="Q21" s="159">
        <f>Q17*Assumptions!$N$37</f>
        <v>1301.4108705527337</v>
      </c>
      <c r="R21" s="53"/>
      <c r="S21" s="159">
        <f>SUM(M21:Q21)</f>
        <v>4499.0095379330915</v>
      </c>
      <c r="T21" s="39"/>
      <c r="U21" s="39"/>
      <c r="V21" s="39"/>
      <c r="W21" s="39"/>
    </row>
    <row r="22" spans="2:23" ht="13.5" thickTop="1" x14ac:dyDescent="0.2">
      <c r="C22" s="101"/>
      <c r="G22" s="86"/>
      <c r="J22" s="39"/>
      <c r="K22" s="39"/>
      <c r="L22" s="39"/>
      <c r="M22" s="53"/>
      <c r="N22" s="53"/>
      <c r="O22" s="53"/>
      <c r="P22" s="53"/>
      <c r="Q22" s="53"/>
      <c r="S22" s="14"/>
      <c r="T22" s="39"/>
      <c r="U22" s="39"/>
      <c r="V22" s="39"/>
      <c r="W22" s="39"/>
    </row>
    <row r="23" spans="2:23" x14ac:dyDescent="0.2">
      <c r="J23" s="39"/>
      <c r="K23" s="39"/>
      <c r="L23" s="39"/>
      <c r="M23" s="39"/>
      <c r="N23" s="39"/>
      <c r="O23" s="39"/>
      <c r="P23" s="39"/>
      <c r="Q23" s="39"/>
      <c r="S23" s="39"/>
      <c r="T23" s="39"/>
      <c r="U23" s="39"/>
      <c r="V23" s="39"/>
      <c r="W23" s="39"/>
    </row>
  </sheetData>
  <conditionalFormatting sqref="U3">
    <cfRule type="expression" dxfId="0" priority="1">
      <formula>$U$3=FALSE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FF00"/>
  </sheetPr>
  <dimension ref="A1:W99"/>
  <sheetViews>
    <sheetView showGridLines="0" zoomScale="80" zoomScaleNormal="80" workbookViewId="0">
      <pane xSplit="2" ySplit="2" topLeftCell="C3" activePane="bottomRight" state="frozen"/>
      <selection activeCell="G66" sqref="G66"/>
      <selection pane="topRight" activeCell="G66" sqref="G66"/>
      <selection pane="bottomLeft" activeCell="G66" sqref="G66"/>
      <selection pane="bottomRight" activeCell="A4" sqref="A4"/>
    </sheetView>
  </sheetViews>
  <sheetFormatPr defaultColWidth="9" defaultRowHeight="12.75" x14ac:dyDescent="0.2"/>
  <cols>
    <col min="1" max="1" width="2" style="1" customWidth="1"/>
    <col min="2" max="2" width="43.125" style="1" customWidth="1"/>
    <col min="3" max="3" width="17.25" style="1" customWidth="1"/>
    <col min="4" max="4" width="13.125" style="1" customWidth="1"/>
    <col min="5" max="5" width="16" style="1" customWidth="1"/>
    <col min="6" max="6" width="1.625" style="1" customWidth="1"/>
    <col min="7" max="7" width="11.375" style="62" customWidth="1"/>
    <col min="8" max="8" width="17" style="62" customWidth="1"/>
    <col min="9" max="9" width="5.875" style="1" customWidth="1"/>
    <col min="10" max="10" width="9.75" style="1" customWidth="1"/>
    <col min="11" max="12" width="9" style="1" customWidth="1"/>
    <col min="13" max="17" width="9" style="1"/>
    <col min="18" max="18" width="2.5" style="1" customWidth="1"/>
    <col min="19" max="16384" width="9" style="1"/>
  </cols>
  <sheetData>
    <row r="1" spans="1:17" ht="21" x14ac:dyDescent="0.35">
      <c r="A1" s="3" t="s">
        <v>4</v>
      </c>
      <c r="G1" s="197" t="s">
        <v>161</v>
      </c>
      <c r="H1" s="196" t="s">
        <v>158</v>
      </c>
    </row>
    <row r="2" spans="1:17" ht="18.75" x14ac:dyDescent="0.3">
      <c r="A2" s="8" t="str">
        <f ca="1">RIGHT(CELL("filename",A1),LEN(CELL("filename",A1))-FIND("]",CELL("filename",A1),1))</f>
        <v>Security of Critical Infr</v>
      </c>
    </row>
    <row r="3" spans="1:17" x14ac:dyDescent="0.2">
      <c r="A3" s="1" t="s">
        <v>160</v>
      </c>
    </row>
    <row r="5" spans="1:17" x14ac:dyDescent="0.2">
      <c r="A5" s="2" t="s">
        <v>14</v>
      </c>
      <c r="B5" s="2"/>
      <c r="C5" s="2"/>
      <c r="D5" s="2"/>
      <c r="E5" s="2"/>
      <c r="F5" s="2"/>
      <c r="G5" s="83"/>
      <c r="H5" s="83"/>
      <c r="I5" s="2"/>
      <c r="J5" s="2"/>
      <c r="K5" s="7"/>
      <c r="L5" s="7"/>
      <c r="M5" s="7"/>
      <c r="N5" s="7"/>
      <c r="O5" s="7"/>
      <c r="P5" s="7"/>
      <c r="Q5" s="7"/>
    </row>
    <row r="6" spans="1:17" x14ac:dyDescent="0.2">
      <c r="B6" s="62"/>
      <c r="C6" s="62"/>
      <c r="D6" s="62"/>
      <c r="E6" s="62"/>
      <c r="F6" s="62"/>
    </row>
    <row r="7" spans="1:17" x14ac:dyDescent="0.2">
      <c r="B7" s="62"/>
      <c r="C7" s="62"/>
      <c r="D7" s="62"/>
      <c r="E7" s="62"/>
      <c r="F7" s="62"/>
    </row>
    <row r="8" spans="1:17" x14ac:dyDescent="0.2">
      <c r="B8" s="62"/>
      <c r="C8" s="62"/>
      <c r="D8" s="62"/>
      <c r="E8" s="62"/>
      <c r="F8" s="62"/>
    </row>
    <row r="9" spans="1:17" x14ac:dyDescent="0.2">
      <c r="B9" s="62"/>
      <c r="C9" s="62"/>
      <c r="D9" s="62"/>
      <c r="E9" s="62"/>
      <c r="F9" s="62"/>
    </row>
    <row r="11" spans="1:17" ht="16.899999999999999" customHeight="1" x14ac:dyDescent="0.2">
      <c r="B11" s="5" t="s">
        <v>59</v>
      </c>
    </row>
    <row r="12" spans="1:17" x14ac:dyDescent="0.2">
      <c r="B12" s="1" t="s">
        <v>62</v>
      </c>
    </row>
    <row r="13" spans="1:17" x14ac:dyDescent="0.2">
      <c r="B13" s="1" t="s">
        <v>58</v>
      </c>
    </row>
    <row r="14" spans="1:17" x14ac:dyDescent="0.2">
      <c r="B14" s="63" t="s">
        <v>95</v>
      </c>
    </row>
    <row r="16" spans="1:17" x14ac:dyDescent="0.2">
      <c r="A16" s="2" t="s">
        <v>23</v>
      </c>
      <c r="B16" s="2"/>
      <c r="C16" s="2"/>
      <c r="D16" s="2"/>
      <c r="E16" s="2"/>
      <c r="F16" s="2"/>
      <c r="G16" s="83"/>
      <c r="H16" s="83" t="s">
        <v>57</v>
      </c>
      <c r="I16" s="2"/>
      <c r="J16" s="2"/>
      <c r="K16" s="7" t="s">
        <v>55</v>
      </c>
      <c r="L16" s="7" t="s">
        <v>16</v>
      </c>
      <c r="M16" s="7" t="s">
        <v>18</v>
      </c>
      <c r="N16" s="7" t="s">
        <v>19</v>
      </c>
      <c r="O16" s="7" t="s">
        <v>20</v>
      </c>
      <c r="P16" s="7" t="s">
        <v>21</v>
      </c>
      <c r="Q16" s="7" t="s">
        <v>22</v>
      </c>
    </row>
    <row r="18" spans="2:19" ht="16.5" x14ac:dyDescent="0.3">
      <c r="G18" s="1"/>
      <c r="M18" s="201"/>
    </row>
    <row r="19" spans="2:19" x14ac:dyDescent="0.2">
      <c r="G19" s="1"/>
    </row>
    <row r="20" spans="2:19" x14ac:dyDescent="0.2">
      <c r="B20" s="210"/>
      <c r="C20" s="211"/>
      <c r="D20" s="211"/>
      <c r="E20" s="211"/>
      <c r="F20" s="211"/>
      <c r="G20" s="212"/>
      <c r="H20" s="211"/>
      <c r="I20" s="211"/>
      <c r="J20" s="211"/>
      <c r="K20" s="211"/>
      <c r="L20" s="211"/>
      <c r="M20" s="211"/>
      <c r="N20" s="211"/>
      <c r="O20" s="211"/>
      <c r="P20" s="211"/>
      <c r="Q20" s="211"/>
      <c r="S20" s="160"/>
    </row>
    <row r="21" spans="2:19" x14ac:dyDescent="0.2">
      <c r="B21" s="213"/>
      <c r="C21" s="211"/>
      <c r="D21" s="211"/>
      <c r="E21" s="211"/>
      <c r="F21" s="211"/>
      <c r="G21" s="211"/>
      <c r="H21" s="211"/>
      <c r="I21" s="211"/>
      <c r="J21" s="211"/>
      <c r="K21" s="211"/>
      <c r="L21" s="211"/>
      <c r="M21" s="214"/>
      <c r="N21" s="214"/>
      <c r="O21" s="214"/>
      <c r="P21" s="214"/>
      <c r="Q21" s="214"/>
      <c r="S21" s="160"/>
    </row>
    <row r="22" spans="2:19" x14ac:dyDescent="0.2">
      <c r="B22" s="213"/>
      <c r="C22" s="211"/>
      <c r="D22" s="211"/>
      <c r="E22" s="211"/>
      <c r="F22" s="211"/>
      <c r="G22" s="215"/>
      <c r="H22" s="215"/>
      <c r="I22" s="211"/>
      <c r="J22" s="211"/>
      <c r="K22" s="211"/>
      <c r="L22" s="211"/>
      <c r="M22" s="214"/>
      <c r="N22" s="214"/>
      <c r="O22" s="214"/>
      <c r="P22" s="214"/>
      <c r="Q22" s="214"/>
    </row>
    <row r="23" spans="2:19" x14ac:dyDescent="0.2">
      <c r="B23" s="213"/>
      <c r="C23" s="211"/>
      <c r="D23" s="211"/>
      <c r="E23" s="211"/>
      <c r="F23" s="211"/>
      <c r="G23" s="215"/>
      <c r="H23" s="215"/>
      <c r="I23" s="211"/>
      <c r="J23" s="211"/>
      <c r="K23" s="211"/>
      <c r="L23" s="211"/>
      <c r="M23" s="214"/>
      <c r="N23" s="214"/>
      <c r="O23" s="214"/>
      <c r="P23" s="214"/>
      <c r="Q23" s="214"/>
    </row>
    <row r="24" spans="2:19" x14ac:dyDescent="0.2">
      <c r="B24" s="211"/>
      <c r="C24" s="211"/>
      <c r="D24" s="211"/>
      <c r="E24" s="211"/>
      <c r="F24" s="211"/>
      <c r="G24" s="215"/>
      <c r="H24" s="215"/>
      <c r="I24" s="211"/>
      <c r="J24" s="211"/>
      <c r="K24" s="211"/>
      <c r="L24" s="211"/>
      <c r="M24" s="211"/>
      <c r="N24" s="211"/>
      <c r="O24" s="211"/>
      <c r="P24" s="211"/>
      <c r="Q24" s="211"/>
    </row>
    <row r="25" spans="2:19" x14ac:dyDescent="0.2">
      <c r="B25" s="211"/>
      <c r="C25" s="211"/>
      <c r="D25" s="211"/>
      <c r="E25" s="211"/>
      <c r="F25" s="211"/>
      <c r="G25" s="215"/>
      <c r="H25" s="215"/>
      <c r="I25" s="211"/>
      <c r="J25" s="211"/>
      <c r="K25" s="211"/>
      <c r="L25" s="211"/>
      <c r="M25" s="211"/>
      <c r="N25" s="211"/>
      <c r="O25" s="211"/>
      <c r="P25" s="211"/>
      <c r="Q25" s="211"/>
    </row>
    <row r="26" spans="2:19" x14ac:dyDescent="0.2">
      <c r="B26" s="210"/>
      <c r="C26" s="211"/>
      <c r="D26" s="211"/>
      <c r="E26" s="211"/>
      <c r="F26" s="211"/>
      <c r="G26" s="212"/>
      <c r="H26" s="215"/>
      <c r="I26" s="211"/>
      <c r="J26" s="211"/>
      <c r="K26" s="211"/>
      <c r="L26" s="211"/>
      <c r="M26" s="211"/>
      <c r="N26" s="211"/>
      <c r="O26" s="211"/>
      <c r="P26" s="211"/>
      <c r="Q26" s="211"/>
    </row>
    <row r="27" spans="2:19" x14ac:dyDescent="0.2">
      <c r="B27" s="213"/>
      <c r="C27" s="211"/>
      <c r="D27" s="211"/>
      <c r="E27" s="211"/>
      <c r="F27" s="211"/>
      <c r="G27" s="215"/>
      <c r="H27" s="215"/>
      <c r="I27" s="211"/>
      <c r="J27" s="211"/>
      <c r="K27" s="211"/>
      <c r="L27" s="211"/>
      <c r="M27" s="214"/>
      <c r="N27" s="214"/>
      <c r="O27" s="214"/>
      <c r="P27" s="214"/>
      <c r="Q27" s="214"/>
    </row>
    <row r="28" spans="2:19" x14ac:dyDescent="0.2">
      <c r="B28" s="213"/>
      <c r="C28" s="211"/>
      <c r="D28" s="211"/>
      <c r="E28" s="211"/>
      <c r="F28" s="211"/>
      <c r="G28" s="215"/>
      <c r="H28" s="215"/>
      <c r="I28" s="211"/>
      <c r="J28" s="211"/>
      <c r="K28" s="211"/>
      <c r="L28" s="211"/>
      <c r="M28" s="214"/>
      <c r="N28" s="214"/>
      <c r="O28" s="214"/>
      <c r="P28" s="214"/>
      <c r="Q28" s="214"/>
    </row>
    <row r="29" spans="2:19" x14ac:dyDescent="0.2">
      <c r="B29" s="213"/>
      <c r="C29" s="211"/>
      <c r="D29" s="211"/>
      <c r="E29" s="211"/>
      <c r="F29" s="211"/>
      <c r="G29" s="215"/>
      <c r="H29" s="215"/>
      <c r="I29" s="211"/>
      <c r="J29" s="211"/>
      <c r="K29" s="211"/>
      <c r="L29" s="211"/>
      <c r="M29" s="214"/>
      <c r="N29" s="214"/>
      <c r="O29" s="214"/>
      <c r="P29" s="214"/>
      <c r="Q29" s="214"/>
    </row>
    <row r="30" spans="2:19" x14ac:dyDescent="0.2">
      <c r="B30" s="213"/>
      <c r="C30" s="211"/>
      <c r="D30" s="211"/>
      <c r="E30" s="211"/>
      <c r="F30" s="211"/>
      <c r="G30" s="215"/>
      <c r="H30" s="215"/>
      <c r="I30" s="211"/>
      <c r="J30" s="211"/>
      <c r="K30" s="211"/>
      <c r="L30" s="211"/>
      <c r="M30" s="214"/>
      <c r="N30" s="214"/>
      <c r="O30" s="214"/>
      <c r="P30" s="214"/>
      <c r="Q30" s="214"/>
    </row>
    <row r="31" spans="2:19" x14ac:dyDescent="0.2">
      <c r="B31" s="213"/>
      <c r="C31" s="211"/>
      <c r="D31" s="211"/>
      <c r="E31" s="211"/>
      <c r="F31" s="211"/>
      <c r="G31" s="215"/>
      <c r="H31" s="215"/>
      <c r="I31" s="211"/>
      <c r="J31" s="211"/>
      <c r="K31" s="211"/>
      <c r="L31" s="211"/>
      <c r="M31" s="214"/>
      <c r="N31" s="214"/>
      <c r="O31" s="214"/>
      <c r="P31" s="214"/>
      <c r="Q31" s="214"/>
    </row>
    <row r="32" spans="2:19" x14ac:dyDescent="0.2">
      <c r="B32" s="213"/>
      <c r="C32" s="211"/>
      <c r="D32" s="211"/>
      <c r="E32" s="211"/>
      <c r="F32" s="211"/>
      <c r="G32" s="215"/>
      <c r="H32" s="215"/>
      <c r="I32" s="211"/>
      <c r="J32" s="211"/>
      <c r="K32" s="211"/>
      <c r="L32" s="211"/>
      <c r="M32" s="214"/>
      <c r="N32" s="214"/>
      <c r="O32" s="214"/>
      <c r="P32" s="214"/>
      <c r="Q32" s="214"/>
    </row>
    <row r="33" spans="1:23" x14ac:dyDescent="0.2">
      <c r="B33" s="219"/>
      <c r="C33" s="219"/>
      <c r="D33" s="219"/>
      <c r="E33" s="219"/>
      <c r="F33" s="219"/>
      <c r="G33" s="219"/>
      <c r="H33" s="219"/>
      <c r="I33" s="219"/>
      <c r="J33" s="219"/>
      <c r="K33" s="219"/>
      <c r="L33" s="219"/>
      <c r="M33" s="219"/>
      <c r="N33" s="219"/>
      <c r="O33" s="219"/>
      <c r="P33" s="219"/>
      <c r="Q33" s="219"/>
    </row>
    <row r="34" spans="1:23" x14ac:dyDescent="0.2">
      <c r="B34" s="219"/>
      <c r="C34" s="219"/>
      <c r="D34" s="219"/>
      <c r="E34" s="219"/>
      <c r="F34" s="219"/>
      <c r="G34" s="219"/>
      <c r="H34" s="219"/>
      <c r="I34" s="219"/>
      <c r="J34" s="219"/>
      <c r="K34" s="219"/>
      <c r="L34" s="219"/>
      <c r="M34" s="219"/>
      <c r="N34" s="219"/>
      <c r="O34" s="219"/>
      <c r="P34" s="219"/>
      <c r="Q34" s="219"/>
    </row>
    <row r="35" spans="1:23" x14ac:dyDescent="0.2">
      <c r="B35" s="219"/>
      <c r="C35" s="219"/>
      <c r="D35" s="219"/>
      <c r="E35" s="219"/>
      <c r="F35" s="219"/>
      <c r="G35" s="219"/>
      <c r="H35" s="219"/>
      <c r="I35" s="219"/>
      <c r="J35" s="219"/>
      <c r="K35" s="219"/>
      <c r="L35" s="219"/>
      <c r="M35" s="219"/>
      <c r="N35" s="219"/>
      <c r="O35" s="219"/>
      <c r="P35" s="219"/>
      <c r="Q35" s="219"/>
    </row>
    <row r="36" spans="1:23" x14ac:dyDescent="0.2">
      <c r="B36" s="219"/>
      <c r="C36" s="219"/>
      <c r="D36" s="219"/>
      <c r="E36" s="219"/>
      <c r="F36" s="219"/>
      <c r="G36" s="219"/>
      <c r="H36" s="219"/>
      <c r="I36" s="219"/>
      <c r="J36" s="219"/>
      <c r="K36" s="219"/>
      <c r="L36" s="219"/>
      <c r="M36" s="219"/>
      <c r="N36" s="219"/>
      <c r="O36" s="219"/>
      <c r="P36" s="219"/>
      <c r="Q36" s="219"/>
    </row>
    <row r="37" spans="1:23" x14ac:dyDescent="0.2">
      <c r="B37" s="219"/>
      <c r="C37" s="219"/>
      <c r="D37" s="219"/>
      <c r="E37" s="219"/>
      <c r="F37" s="219"/>
      <c r="G37" s="219"/>
      <c r="H37" s="219"/>
      <c r="I37" s="219"/>
      <c r="J37" s="219"/>
      <c r="K37" s="219"/>
      <c r="L37" s="219"/>
      <c r="M37" s="219"/>
      <c r="N37" s="219"/>
      <c r="O37" s="219"/>
      <c r="P37" s="219"/>
      <c r="Q37" s="219"/>
    </row>
    <row r="38" spans="1:23" x14ac:dyDescent="0.2">
      <c r="B38" s="219"/>
      <c r="C38" s="219"/>
      <c r="D38" s="219"/>
      <c r="E38" s="219"/>
      <c r="F38" s="219"/>
      <c r="G38" s="219"/>
      <c r="H38" s="219"/>
      <c r="I38" s="219"/>
      <c r="J38" s="219"/>
      <c r="K38" s="219"/>
      <c r="L38" s="219"/>
      <c r="M38" s="219"/>
      <c r="N38" s="219"/>
      <c r="O38" s="219"/>
      <c r="P38" s="219"/>
      <c r="Q38" s="219"/>
      <c r="R38" s="52"/>
      <c r="S38" s="52"/>
      <c r="T38" s="52"/>
      <c r="U38" s="52"/>
    </row>
    <row r="39" spans="1:23" x14ac:dyDescent="0.2">
      <c r="B39" s="219"/>
      <c r="C39" s="219"/>
      <c r="D39" s="219"/>
      <c r="E39" s="219"/>
      <c r="F39" s="219"/>
      <c r="G39" s="219"/>
      <c r="H39" s="219"/>
      <c r="I39" s="219"/>
      <c r="J39" s="219"/>
      <c r="K39" s="219"/>
      <c r="L39" s="219"/>
      <c r="M39" s="219"/>
      <c r="N39" s="219"/>
      <c r="O39" s="219"/>
      <c r="P39" s="219"/>
      <c r="Q39" s="219"/>
      <c r="R39" s="52"/>
      <c r="S39" s="52"/>
      <c r="T39" s="52"/>
      <c r="U39" s="52"/>
    </row>
    <row r="40" spans="1:23" x14ac:dyDescent="0.2">
      <c r="B40" s="219"/>
      <c r="C40" s="219"/>
      <c r="D40" s="219"/>
      <c r="E40" s="219"/>
      <c r="F40" s="219"/>
      <c r="G40" s="219"/>
      <c r="H40" s="219"/>
      <c r="I40" s="219"/>
      <c r="J40" s="219"/>
      <c r="K40" s="219"/>
      <c r="L40" s="219"/>
      <c r="M40" s="219"/>
      <c r="N40" s="219"/>
      <c r="O40" s="219"/>
      <c r="P40" s="219"/>
      <c r="Q40" s="219"/>
    </row>
    <row r="41" spans="1:23" x14ac:dyDescent="0.2">
      <c r="B41" s="219"/>
      <c r="C41" s="219"/>
      <c r="D41" s="219"/>
      <c r="E41" s="219"/>
      <c r="F41" s="219"/>
      <c r="G41" s="219"/>
      <c r="H41" s="219"/>
      <c r="I41" s="219"/>
      <c r="J41" s="219"/>
      <c r="K41" s="219"/>
      <c r="L41" s="219"/>
      <c r="M41" s="219"/>
      <c r="N41" s="219"/>
      <c r="O41" s="219"/>
      <c r="P41" s="219"/>
      <c r="Q41" s="219"/>
    </row>
    <row r="42" spans="1:23" x14ac:dyDescent="0.2">
      <c r="B42" s="219"/>
      <c r="C42" s="219"/>
      <c r="D42" s="219"/>
      <c r="E42" s="219"/>
      <c r="F42" s="219"/>
      <c r="G42" s="219"/>
      <c r="H42" s="219"/>
      <c r="I42" s="219"/>
      <c r="J42" s="219"/>
      <c r="K42" s="219"/>
      <c r="L42" s="219"/>
      <c r="M42" s="219"/>
      <c r="N42" s="219"/>
      <c r="O42" s="219"/>
      <c r="P42" s="219"/>
      <c r="Q42" s="219"/>
    </row>
    <row r="43" spans="1:23" x14ac:dyDescent="0.2">
      <c r="B43" s="219"/>
      <c r="C43" s="219"/>
      <c r="D43" s="219"/>
      <c r="E43" s="219"/>
      <c r="F43" s="219"/>
      <c r="G43" s="219"/>
      <c r="H43" s="219"/>
      <c r="I43" s="219"/>
      <c r="J43" s="219"/>
      <c r="K43" s="219"/>
      <c r="L43" s="219"/>
      <c r="M43" s="219"/>
      <c r="N43" s="219"/>
      <c r="O43" s="219"/>
      <c r="P43" s="219"/>
      <c r="Q43" s="219"/>
    </row>
    <row r="44" spans="1:23" x14ac:dyDescent="0.2">
      <c r="B44" s="219"/>
      <c r="C44" s="219"/>
      <c r="D44" s="219"/>
      <c r="E44" s="219"/>
      <c r="F44" s="219"/>
      <c r="G44" s="219"/>
      <c r="H44" s="219"/>
      <c r="I44" s="219"/>
      <c r="J44" s="219"/>
      <c r="K44" s="219"/>
      <c r="L44" s="219"/>
      <c r="M44" s="219"/>
      <c r="N44" s="219"/>
      <c r="O44" s="219"/>
      <c r="P44" s="219"/>
      <c r="Q44" s="219"/>
    </row>
    <row r="45" spans="1:23" s="13" customFormat="1" x14ac:dyDescent="0.2">
      <c r="A45" s="5"/>
      <c r="B45" s="219"/>
      <c r="C45" s="219"/>
      <c r="D45" s="219"/>
      <c r="E45" s="219"/>
      <c r="F45" s="219"/>
      <c r="G45" s="219"/>
      <c r="H45" s="219"/>
      <c r="I45" s="219"/>
      <c r="J45" s="219"/>
      <c r="K45" s="219"/>
      <c r="L45" s="219"/>
      <c r="M45" s="219"/>
      <c r="N45" s="219"/>
      <c r="O45" s="219"/>
      <c r="P45" s="219"/>
      <c r="Q45" s="219"/>
      <c r="R45" s="1"/>
      <c r="S45" s="1"/>
      <c r="T45" s="1"/>
      <c r="W45" s="1"/>
    </row>
    <row r="46" spans="1:23" x14ac:dyDescent="0.2">
      <c r="B46" s="219"/>
      <c r="C46" s="219"/>
      <c r="D46" s="219"/>
      <c r="E46" s="219"/>
      <c r="F46" s="219"/>
      <c r="G46" s="219"/>
      <c r="H46" s="219"/>
      <c r="I46" s="219"/>
      <c r="J46" s="219"/>
      <c r="K46" s="219"/>
      <c r="L46" s="219"/>
      <c r="M46" s="219"/>
      <c r="N46" s="219"/>
      <c r="O46" s="219"/>
      <c r="P46" s="219"/>
      <c r="Q46" s="219"/>
    </row>
    <row r="47" spans="1:23" x14ac:dyDescent="0.2">
      <c r="B47" s="211"/>
      <c r="C47" s="211"/>
      <c r="D47" s="211"/>
      <c r="E47" s="211"/>
      <c r="F47" s="211"/>
      <c r="G47" s="217"/>
      <c r="H47" s="216"/>
      <c r="I47" s="211"/>
      <c r="J47" s="211"/>
      <c r="K47" s="211"/>
      <c r="L47" s="211"/>
      <c r="M47" s="218"/>
      <c r="N47" s="218"/>
      <c r="O47" s="218"/>
      <c r="P47" s="218"/>
      <c r="Q47" s="218"/>
    </row>
    <row r="48" spans="1:23" x14ac:dyDescent="0.2">
      <c r="B48" s="211"/>
      <c r="C48" s="211"/>
      <c r="D48" s="211"/>
      <c r="E48" s="211"/>
      <c r="F48" s="211"/>
      <c r="G48" s="217"/>
      <c r="H48" s="216"/>
      <c r="I48" s="211"/>
      <c r="J48" s="211"/>
      <c r="K48" s="211"/>
      <c r="L48" s="211"/>
      <c r="M48" s="218"/>
      <c r="N48" s="218"/>
      <c r="O48" s="218"/>
      <c r="P48" s="218"/>
      <c r="Q48" s="218"/>
    </row>
    <row r="49" spans="1:19" x14ac:dyDescent="0.2">
      <c r="G49" s="162"/>
      <c r="H49" s="145"/>
      <c r="M49" s="160"/>
      <c r="N49" s="160"/>
      <c r="O49" s="160"/>
      <c r="P49" s="160"/>
      <c r="Q49" s="160"/>
    </row>
    <row r="50" spans="1:19" x14ac:dyDescent="0.2">
      <c r="A50" s="2" t="s">
        <v>75</v>
      </c>
      <c r="B50" s="2"/>
      <c r="C50" s="2"/>
      <c r="D50" s="2"/>
      <c r="E50" s="2"/>
      <c r="F50" s="2"/>
      <c r="G50" s="83"/>
      <c r="H50" s="83"/>
      <c r="I50" s="2"/>
      <c r="J50" s="2"/>
      <c r="K50" s="7" t="s">
        <v>55</v>
      </c>
      <c r="L50" s="7" t="s">
        <v>16</v>
      </c>
      <c r="M50" s="7" t="s">
        <v>18</v>
      </c>
      <c r="N50" s="7" t="s">
        <v>19</v>
      </c>
      <c r="O50" s="7" t="s">
        <v>20</v>
      </c>
      <c r="P50" s="7" t="s">
        <v>21</v>
      </c>
      <c r="Q50" s="7" t="s">
        <v>22</v>
      </c>
      <c r="S50" s="7" t="s">
        <v>60</v>
      </c>
    </row>
    <row r="51" spans="1:19" x14ac:dyDescent="0.2">
      <c r="G51" s="162"/>
      <c r="H51" s="145"/>
      <c r="M51" s="160"/>
      <c r="N51" s="160"/>
      <c r="O51" s="160"/>
      <c r="P51" s="160"/>
      <c r="Q51" s="160"/>
      <c r="S51" s="77"/>
    </row>
    <row r="52" spans="1:19" x14ac:dyDescent="0.2">
      <c r="G52" s="162"/>
      <c r="H52" s="145"/>
      <c r="M52" s="160"/>
      <c r="N52" s="160"/>
      <c r="O52" s="160"/>
      <c r="P52" s="160"/>
      <c r="Q52" s="160"/>
    </row>
    <row r="53" spans="1:19" x14ac:dyDescent="0.2">
      <c r="B53" s="211"/>
      <c r="C53" s="220"/>
      <c r="D53" s="211"/>
      <c r="E53" s="211"/>
      <c r="F53" s="211"/>
      <c r="G53" s="221"/>
      <c r="H53" s="215"/>
      <c r="I53" s="211"/>
      <c r="J53" s="222"/>
      <c r="K53" s="222"/>
      <c r="L53" s="222"/>
      <c r="M53" s="218"/>
      <c r="N53" s="218"/>
      <c r="O53" s="218"/>
      <c r="P53" s="218"/>
      <c r="Q53" s="218"/>
    </row>
    <row r="54" spans="1:19" x14ac:dyDescent="0.2">
      <c r="B54" s="211"/>
      <c r="C54" s="220"/>
      <c r="D54" s="211"/>
      <c r="E54" s="211"/>
      <c r="F54" s="211"/>
      <c r="G54" s="221"/>
      <c r="H54" s="215"/>
      <c r="I54" s="211"/>
      <c r="J54" s="222"/>
      <c r="K54" s="222"/>
      <c r="L54" s="222"/>
      <c r="M54" s="218"/>
      <c r="N54" s="218"/>
      <c r="O54" s="218"/>
      <c r="P54" s="218"/>
      <c r="Q54" s="218"/>
    </row>
    <row r="55" spans="1:19" x14ac:dyDescent="0.2">
      <c r="B55" s="211"/>
      <c r="C55" s="220"/>
      <c r="D55" s="211"/>
      <c r="E55" s="211"/>
      <c r="F55" s="211"/>
      <c r="G55" s="221"/>
      <c r="H55" s="215"/>
      <c r="I55" s="211"/>
      <c r="J55" s="222"/>
      <c r="K55" s="222"/>
      <c r="L55" s="222"/>
      <c r="M55" s="218"/>
      <c r="N55" s="218"/>
      <c r="O55" s="218"/>
      <c r="P55" s="218"/>
      <c r="Q55" s="218"/>
    </row>
    <row r="56" spans="1:19" x14ac:dyDescent="0.2">
      <c r="B56" s="211"/>
      <c r="C56" s="220"/>
      <c r="D56" s="211"/>
      <c r="E56" s="211"/>
      <c r="F56" s="211"/>
      <c r="G56" s="221"/>
      <c r="H56" s="215"/>
      <c r="I56" s="211"/>
      <c r="J56" s="222"/>
      <c r="K56" s="222"/>
      <c r="L56" s="222"/>
      <c r="M56" s="218"/>
      <c r="N56" s="218"/>
      <c r="O56" s="218"/>
      <c r="P56" s="218"/>
      <c r="Q56" s="218"/>
    </row>
    <row r="57" spans="1:19" x14ac:dyDescent="0.2">
      <c r="J57" s="39"/>
      <c r="K57" s="39"/>
      <c r="L57" s="39"/>
      <c r="M57" s="39"/>
      <c r="N57" s="39"/>
      <c r="O57" s="39"/>
      <c r="P57" s="39"/>
      <c r="Q57" s="39"/>
    </row>
    <row r="58" spans="1:19" x14ac:dyDescent="0.2">
      <c r="B58" s="5" t="s">
        <v>80</v>
      </c>
      <c r="J58" s="39"/>
      <c r="K58" s="39"/>
      <c r="L58" s="39"/>
      <c r="M58" s="39"/>
      <c r="N58" s="39"/>
      <c r="O58" s="39"/>
      <c r="P58" s="39"/>
      <c r="Q58" s="39"/>
      <c r="S58" s="104"/>
    </row>
    <row r="59" spans="1:19" ht="13.5" thickBot="1" x14ac:dyDescent="0.25">
      <c r="B59" s="154" t="str">
        <f ca="1">"Powercor "&amp;$A$2</f>
        <v>Powercor Security of Critical Infr</v>
      </c>
      <c r="C59" s="155" t="s">
        <v>81</v>
      </c>
      <c r="D59" s="154"/>
      <c r="E59" s="154"/>
      <c r="F59" s="154"/>
      <c r="G59" s="156" t="s">
        <v>162</v>
      </c>
      <c r="H59" s="157"/>
      <c r="I59" s="154"/>
      <c r="J59" s="158"/>
      <c r="K59" s="158"/>
      <c r="L59" s="159"/>
      <c r="M59" s="159">
        <v>2416.1422739717573</v>
      </c>
      <c r="N59" s="159">
        <v>1709.7629208919104</v>
      </c>
      <c r="O59" s="159">
        <v>1652.8670470000197</v>
      </c>
      <c r="P59" s="159">
        <v>1534.3399241136399</v>
      </c>
      <c r="Q59" s="159">
        <v>1546.2167137960173</v>
      </c>
      <c r="R59" s="53"/>
      <c r="S59" s="159">
        <f>SUM(M59:Q59)</f>
        <v>8859.3288797733439</v>
      </c>
    </row>
    <row r="60" spans="1:19" ht="13.5" thickTop="1" x14ac:dyDescent="0.2">
      <c r="C60" s="101"/>
      <c r="G60" s="163"/>
      <c r="J60" s="39"/>
      <c r="K60" s="39"/>
      <c r="L60" s="39"/>
      <c r="M60" s="53"/>
      <c r="N60" s="53"/>
      <c r="O60" s="53"/>
      <c r="P60" s="53"/>
      <c r="Q60" s="53"/>
      <c r="S60" s="164"/>
    </row>
    <row r="61" spans="1:19" x14ac:dyDescent="0.2">
      <c r="J61" s="39"/>
      <c r="K61" s="39"/>
      <c r="L61" s="39"/>
      <c r="M61" s="39"/>
      <c r="N61" s="39"/>
      <c r="O61" s="39"/>
      <c r="P61" s="39"/>
      <c r="Q61" s="39"/>
      <c r="S61" s="39"/>
    </row>
    <row r="99" spans="19:19" x14ac:dyDescent="0.2">
      <c r="S99" s="79"/>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0D42-F51B-44C0-BCEA-B27607155695}">
  <sheetPr>
    <tabColor rgb="FF00FF00"/>
  </sheetPr>
  <dimension ref="A1:Z71"/>
  <sheetViews>
    <sheetView showGridLines="0" zoomScale="85" zoomScaleNormal="85" workbookViewId="0">
      <pane xSplit="2" ySplit="12" topLeftCell="C13" activePane="bottomRight" state="frozen"/>
      <selection pane="topRight" activeCell="C1" sqref="C1"/>
      <selection pane="bottomLeft" activeCell="A8" sqref="A8"/>
      <selection pane="bottomRight" activeCell="A4" sqref="A4"/>
    </sheetView>
  </sheetViews>
  <sheetFormatPr defaultColWidth="9" defaultRowHeight="12.75" customHeight="1" x14ac:dyDescent="0.2"/>
  <cols>
    <col min="1" max="1" width="4.25" style="1" customWidth="1"/>
    <col min="2" max="2" width="50.625" style="1" customWidth="1"/>
    <col min="3" max="3" width="18.75" style="1" customWidth="1"/>
    <col min="4" max="4" width="6.875" style="1" customWidth="1"/>
    <col min="5" max="5" width="4.375" style="1" customWidth="1"/>
    <col min="6" max="6" width="2.5" style="1" customWidth="1"/>
    <col min="7" max="7" width="11.625" style="1" customWidth="1"/>
    <col min="8" max="11" width="0.5" style="1" customWidth="1"/>
    <col min="12" max="12" width="11.75" style="1" customWidth="1"/>
    <col min="13" max="13" width="10.25" style="1" customWidth="1"/>
    <col min="14" max="14" width="10.5" style="1" customWidth="1"/>
    <col min="15" max="15" width="10.75" style="1" customWidth="1"/>
    <col min="16" max="17" width="10.875" style="1" bestFit="1" customWidth="1"/>
    <col min="18" max="18" width="3.25" style="1" customWidth="1"/>
    <col min="19" max="25" width="9" style="1"/>
    <col min="26" max="26" width="18.375" style="1" customWidth="1"/>
    <col min="27" max="16384" width="9" style="1"/>
  </cols>
  <sheetData>
    <row r="1" spans="1:26" ht="21" x14ac:dyDescent="0.35">
      <c r="A1" s="3" t="s">
        <v>7</v>
      </c>
      <c r="L1" s="197" t="s">
        <v>161</v>
      </c>
      <c r="M1" s="196" t="s">
        <v>158</v>
      </c>
    </row>
    <row r="2" spans="1:26" ht="18.75" x14ac:dyDescent="0.3">
      <c r="A2" s="8" t="s">
        <v>54</v>
      </c>
      <c r="G2" s="62"/>
      <c r="H2" s="62"/>
    </row>
    <row r="3" spans="1:26" x14ac:dyDescent="0.2">
      <c r="A3" s="1" t="s">
        <v>54</v>
      </c>
      <c r="G3" s="62"/>
      <c r="H3" s="62"/>
    </row>
    <row r="9" spans="1:26" x14ac:dyDescent="0.2">
      <c r="A9" s="2" t="s">
        <v>23</v>
      </c>
      <c r="B9" s="2"/>
      <c r="C9" s="2"/>
      <c r="D9" s="2"/>
      <c r="E9" s="2"/>
      <c r="F9" s="2"/>
      <c r="G9" s="83"/>
      <c r="H9" s="83"/>
      <c r="I9" s="2"/>
      <c r="J9" s="2"/>
      <c r="K9" s="7"/>
      <c r="L9" s="7"/>
      <c r="M9" s="7"/>
      <c r="N9" s="7"/>
      <c r="O9" s="7"/>
      <c r="P9" s="7"/>
      <c r="Q9" s="7"/>
    </row>
    <row r="11" spans="1:26" ht="12.75" customHeight="1" x14ac:dyDescent="0.2">
      <c r="A11" s="1" t="s">
        <v>11</v>
      </c>
      <c r="C11" s="194">
        <v>2019</v>
      </c>
    </row>
    <row r="13" spans="1:26" x14ac:dyDescent="0.2">
      <c r="B13" s="5" t="s">
        <v>124</v>
      </c>
      <c r="U13" s="39"/>
      <c r="V13" s="39"/>
      <c r="W13" s="39"/>
      <c r="X13" s="39"/>
      <c r="Y13" s="39"/>
      <c r="Z13" s="39"/>
    </row>
    <row r="14" spans="1:26" x14ac:dyDescent="0.2">
      <c r="B14" s="1" t="s">
        <v>125</v>
      </c>
      <c r="C14" s="204">
        <v>1500</v>
      </c>
      <c r="U14" s="39"/>
      <c r="V14" s="39"/>
      <c r="W14" s="39"/>
      <c r="X14" s="39"/>
      <c r="Y14" s="39"/>
      <c r="Z14" s="39"/>
    </row>
    <row r="17" spans="1:26" x14ac:dyDescent="0.2">
      <c r="B17" s="1" t="s">
        <v>77</v>
      </c>
      <c r="M17" s="168" t="s">
        <v>18</v>
      </c>
      <c r="N17" s="168" t="s">
        <v>19</v>
      </c>
      <c r="O17" s="168" t="s">
        <v>20</v>
      </c>
      <c r="P17" s="168" t="s">
        <v>21</v>
      </c>
      <c r="Q17" s="168" t="s">
        <v>22</v>
      </c>
      <c r="S17" s="168" t="s">
        <v>5</v>
      </c>
      <c r="U17" s="169"/>
      <c r="V17" s="169"/>
      <c r="W17" s="169"/>
      <c r="X17" s="169"/>
      <c r="Y17" s="169"/>
      <c r="Z17" s="169"/>
    </row>
    <row r="18" spans="1:26" x14ac:dyDescent="0.2">
      <c r="B18" s="1" t="s">
        <v>126</v>
      </c>
      <c r="M18" s="170">
        <v>448</v>
      </c>
      <c r="N18" s="170">
        <v>488</v>
      </c>
      <c r="O18" s="170">
        <v>562</v>
      </c>
      <c r="P18" s="170">
        <v>387</v>
      </c>
      <c r="Q18" s="170">
        <v>407</v>
      </c>
      <c r="S18" s="171">
        <f>SUM(M18:Q18)</f>
        <v>2292</v>
      </c>
      <c r="U18" s="169"/>
      <c r="V18" s="169"/>
      <c r="W18" s="169"/>
      <c r="X18" s="169"/>
      <c r="Y18" s="169"/>
      <c r="Z18" s="169"/>
    </row>
    <row r="20" spans="1:26" ht="12.75" customHeight="1" x14ac:dyDescent="0.2">
      <c r="A20" s="193"/>
    </row>
    <row r="21" spans="1:26" ht="12.75" customHeight="1" x14ac:dyDescent="0.2">
      <c r="A21" s="66" t="s">
        <v>127</v>
      </c>
      <c r="B21" s="5"/>
      <c r="C21" s="172"/>
      <c r="D21" s="5"/>
      <c r="E21" s="5"/>
      <c r="F21" s="5"/>
      <c r="G21" s="5"/>
      <c r="H21" s="5"/>
      <c r="I21" s="5"/>
      <c r="J21" s="5"/>
      <c r="K21" s="5"/>
      <c r="L21" s="5"/>
    </row>
    <row r="22" spans="1:26" ht="12.75" customHeight="1" x14ac:dyDescent="0.2">
      <c r="A22" s="193" t="s">
        <v>128</v>
      </c>
      <c r="C22" s="167">
        <v>6663</v>
      </c>
      <c r="D22" s="5"/>
      <c r="E22" s="5"/>
      <c r="F22" s="5"/>
      <c r="G22" s="5"/>
      <c r="H22" s="5"/>
      <c r="I22" s="5"/>
      <c r="J22" s="5"/>
      <c r="K22" s="5"/>
      <c r="L22" s="5"/>
    </row>
    <row r="23" spans="1:26" ht="12.75" customHeight="1" x14ac:dyDescent="0.2">
      <c r="A23" s="193" t="s">
        <v>129</v>
      </c>
      <c r="C23" s="167">
        <v>7166</v>
      </c>
      <c r="D23" s="5"/>
      <c r="E23" s="5"/>
      <c r="F23" s="5"/>
      <c r="G23" s="5"/>
      <c r="H23" s="5"/>
      <c r="I23" s="5"/>
      <c r="J23" s="5"/>
      <c r="K23" s="5"/>
      <c r="L23" s="5"/>
    </row>
    <row r="24" spans="1:26" ht="12.75" customHeight="1" x14ac:dyDescent="0.2">
      <c r="A24" s="193" t="s">
        <v>130</v>
      </c>
      <c r="C24" s="167">
        <v>1215</v>
      </c>
      <c r="D24" s="5"/>
      <c r="E24" s="5"/>
      <c r="F24" s="5"/>
      <c r="G24" s="5"/>
      <c r="H24" s="5"/>
      <c r="I24" s="5"/>
      <c r="J24" s="5"/>
      <c r="K24" s="5"/>
      <c r="L24" s="5"/>
    </row>
    <row r="25" spans="1:26" ht="12.75" customHeight="1" x14ac:dyDescent="0.2">
      <c r="A25" s="193"/>
    </row>
    <row r="26" spans="1:26" ht="12.75" customHeight="1" x14ac:dyDescent="0.2">
      <c r="A26" s="193"/>
      <c r="C26" s="173"/>
      <c r="D26" s="173"/>
      <c r="E26" s="173"/>
      <c r="F26" s="173"/>
      <c r="G26" s="173"/>
      <c r="H26" s="173"/>
      <c r="I26" s="173"/>
      <c r="J26" s="173"/>
      <c r="K26" s="173"/>
      <c r="L26" s="173"/>
      <c r="M26" s="169"/>
    </row>
    <row r="27" spans="1:26" ht="12.75" customHeight="1" x14ac:dyDescent="0.2">
      <c r="A27" s="66" t="s">
        <v>131</v>
      </c>
      <c r="B27" s="5"/>
      <c r="C27" s="174"/>
      <c r="D27" s="173"/>
      <c r="E27" s="173"/>
      <c r="F27" s="173"/>
      <c r="G27" s="173"/>
      <c r="H27" s="173"/>
      <c r="I27" s="173"/>
      <c r="J27" s="173"/>
      <c r="K27" s="173"/>
      <c r="L27" s="173"/>
      <c r="M27" s="169"/>
    </row>
    <row r="28" spans="1:26" ht="12.75" customHeight="1" x14ac:dyDescent="0.2">
      <c r="A28" s="193" t="s">
        <v>132</v>
      </c>
      <c r="C28" s="167">
        <v>129983</v>
      </c>
      <c r="D28" s="173"/>
      <c r="E28" s="173"/>
      <c r="F28" s="173"/>
      <c r="G28" s="173"/>
      <c r="H28" s="173"/>
      <c r="I28" s="173"/>
      <c r="J28" s="173"/>
      <c r="K28" s="173"/>
      <c r="L28" s="173"/>
      <c r="M28" s="169"/>
    </row>
    <row r="29" spans="1:26" ht="12.75" customHeight="1" x14ac:dyDescent="0.2">
      <c r="A29" s="193" t="s">
        <v>133</v>
      </c>
      <c r="C29" s="167">
        <v>14320</v>
      </c>
      <c r="D29" s="173"/>
      <c r="E29" s="173"/>
      <c r="F29" s="173"/>
      <c r="G29" s="173"/>
      <c r="H29" s="173"/>
      <c r="I29" s="173"/>
      <c r="J29" s="173"/>
      <c r="K29" s="173"/>
      <c r="L29" s="173"/>
      <c r="M29" s="169"/>
    </row>
    <row r="30" spans="1:26" ht="12.75" customHeight="1" x14ac:dyDescent="0.2">
      <c r="A30" s="193" t="s">
        <v>134</v>
      </c>
      <c r="C30" s="24">
        <f>SUM(C28:C29)</f>
        <v>144303</v>
      </c>
      <c r="D30" s="173"/>
      <c r="E30" s="173"/>
      <c r="F30" s="173"/>
      <c r="G30" s="173"/>
      <c r="H30" s="173"/>
      <c r="I30" s="173"/>
      <c r="J30" s="173"/>
      <c r="K30" s="173"/>
      <c r="L30" s="173"/>
      <c r="M30" s="169"/>
    </row>
    <row r="31" spans="1:26" ht="12.75" customHeight="1" x14ac:dyDescent="0.2">
      <c r="A31" s="193" t="s">
        <v>135</v>
      </c>
      <c r="C31" s="175">
        <f>C23</f>
        <v>7166</v>
      </c>
      <c r="D31" s="173"/>
      <c r="E31" s="173"/>
      <c r="F31" s="173"/>
      <c r="G31" s="173"/>
      <c r="H31" s="173"/>
      <c r="I31" s="173"/>
      <c r="J31" s="173"/>
      <c r="K31" s="173"/>
      <c r="L31" s="173"/>
      <c r="M31" s="169"/>
    </row>
    <row r="32" spans="1:26" ht="12.75" customHeight="1" x14ac:dyDescent="0.2">
      <c r="A32" s="66" t="s">
        <v>136</v>
      </c>
      <c r="B32" s="5"/>
      <c r="C32" s="176">
        <v>4.9659397240528612E-2</v>
      </c>
      <c r="D32" s="173"/>
      <c r="E32" s="173"/>
      <c r="F32" s="173"/>
      <c r="G32" s="173"/>
      <c r="H32" s="173"/>
      <c r="I32" s="173"/>
      <c r="J32" s="173"/>
      <c r="K32" s="173"/>
      <c r="L32" s="173"/>
      <c r="M32" s="169"/>
    </row>
    <row r="33" spans="1:21" ht="12.75" customHeight="1" x14ac:dyDescent="0.2">
      <c r="A33" s="66"/>
      <c r="B33" s="5"/>
      <c r="C33" s="176"/>
      <c r="D33" s="173"/>
      <c r="E33" s="173"/>
      <c r="F33" s="173"/>
      <c r="G33" s="173"/>
      <c r="H33" s="173"/>
      <c r="I33" s="173"/>
      <c r="J33" s="173"/>
      <c r="K33" s="173"/>
      <c r="L33" s="173"/>
      <c r="M33" s="169"/>
    </row>
    <row r="34" spans="1:21" ht="12.75" customHeight="1" x14ac:dyDescent="0.2">
      <c r="A34" s="66" t="s">
        <v>151</v>
      </c>
      <c r="C34" s="36" t="s">
        <v>152</v>
      </c>
      <c r="D34" s="173"/>
      <c r="I34"/>
      <c r="J34" s="173"/>
      <c r="K34" s="173"/>
      <c r="L34" s="173"/>
      <c r="M34" s="169"/>
    </row>
    <row r="35" spans="1:21" ht="12.75" customHeight="1" x14ac:dyDescent="0.2">
      <c r="A35" s="193" t="s">
        <v>132</v>
      </c>
      <c r="C35" s="192">
        <v>0.7</v>
      </c>
      <c r="D35" s="173"/>
      <c r="I35"/>
      <c r="J35" s="173"/>
      <c r="K35" s="173"/>
      <c r="L35" s="173"/>
      <c r="M35" s="169"/>
    </row>
    <row r="36" spans="1:21" ht="12.75" customHeight="1" x14ac:dyDescent="0.2">
      <c r="A36" s="193" t="s">
        <v>133</v>
      </c>
      <c r="C36" s="192">
        <v>0.3</v>
      </c>
      <c r="D36" s="173"/>
      <c r="I36"/>
      <c r="J36" s="173"/>
      <c r="K36" s="173"/>
      <c r="L36" s="173"/>
      <c r="M36" s="169"/>
    </row>
    <row r="37" spans="1:21" ht="12.75" customHeight="1" x14ac:dyDescent="0.2">
      <c r="A37" s="193" t="s">
        <v>153</v>
      </c>
      <c r="C37" s="173">
        <f>SUM(C35:C36)</f>
        <v>1</v>
      </c>
      <c r="D37" s="173"/>
      <c r="I37"/>
      <c r="J37" s="173"/>
      <c r="K37" s="173"/>
      <c r="L37" s="173"/>
      <c r="M37" s="169"/>
    </row>
    <row r="38" spans="1:21" ht="12.75" customHeight="1" x14ac:dyDescent="0.2">
      <c r="A38" s="193"/>
      <c r="D38" s="173"/>
      <c r="E38" s="173"/>
      <c r="F38" s="173"/>
      <c r="G38" s="173"/>
      <c r="H38" s="173"/>
      <c r="I38" s="173"/>
      <c r="J38" s="173"/>
      <c r="K38" s="173"/>
      <c r="L38" s="173"/>
    </row>
    <row r="39" spans="1:21" ht="12.75" customHeight="1" x14ac:dyDescent="0.2">
      <c r="A39" s="66" t="s">
        <v>137</v>
      </c>
      <c r="B39" s="5"/>
      <c r="C39" s="177"/>
      <c r="D39" s="173"/>
      <c r="E39" s="173"/>
      <c r="F39" s="173"/>
      <c r="G39" s="173"/>
      <c r="H39" s="173"/>
      <c r="I39" s="173"/>
      <c r="J39" s="173"/>
      <c r="K39" s="173"/>
      <c r="L39" s="173"/>
    </row>
    <row r="40" spans="1:21" ht="12.75" customHeight="1" x14ac:dyDescent="0.2">
      <c r="A40" s="193" t="s">
        <v>138</v>
      </c>
      <c r="C40" s="178">
        <v>235000</v>
      </c>
      <c r="D40" s="173"/>
      <c r="E40" s="173"/>
      <c r="F40" s="173"/>
      <c r="G40" s="173"/>
      <c r="H40" s="173"/>
      <c r="I40" s="173"/>
      <c r="J40" s="173"/>
      <c r="K40" s="173"/>
      <c r="L40" s="173"/>
      <c r="U40" s="25"/>
    </row>
    <row r="41" spans="1:21" ht="12.75" customHeight="1" x14ac:dyDescent="0.2">
      <c r="A41" s="193" t="s">
        <v>139</v>
      </c>
      <c r="C41" s="179">
        <v>130</v>
      </c>
      <c r="D41" s="173"/>
      <c r="E41" s="173"/>
      <c r="F41" s="173"/>
      <c r="G41" s="173"/>
      <c r="H41" s="173"/>
      <c r="I41" s="173"/>
      <c r="J41" s="173"/>
      <c r="K41" s="173"/>
      <c r="L41" s="173"/>
      <c r="U41" s="25"/>
    </row>
    <row r="42" spans="1:21" ht="12.75" customHeight="1" x14ac:dyDescent="0.2">
      <c r="A42" s="193"/>
      <c r="D42" s="173"/>
      <c r="E42" s="173"/>
      <c r="F42" s="173"/>
      <c r="G42" s="173"/>
      <c r="H42" s="173"/>
      <c r="I42" s="173"/>
      <c r="J42" s="173"/>
      <c r="K42" s="173"/>
      <c r="L42" s="173"/>
      <c r="U42" s="25"/>
    </row>
    <row r="43" spans="1:21" ht="12.75" customHeight="1" x14ac:dyDescent="0.2">
      <c r="A43" s="66" t="s">
        <v>140</v>
      </c>
      <c r="D43" s="173"/>
      <c r="E43" s="173"/>
      <c r="F43" s="173"/>
      <c r="G43" s="173"/>
      <c r="H43" s="173"/>
      <c r="I43" s="173"/>
      <c r="J43" s="173"/>
      <c r="K43" s="173"/>
      <c r="L43" s="173"/>
      <c r="U43" s="25"/>
    </row>
    <row r="44" spans="1:21" ht="12.75" customHeight="1" x14ac:dyDescent="0.2">
      <c r="A44" s="193" t="s">
        <v>77</v>
      </c>
      <c r="D44" s="173"/>
      <c r="E44" s="173"/>
      <c r="F44" s="173"/>
      <c r="G44" s="173"/>
      <c r="H44" s="173"/>
      <c r="I44" s="173"/>
      <c r="K44" s="173"/>
      <c r="L44" s="1">
        <v>2020</v>
      </c>
      <c r="M44" s="1">
        <v>2021</v>
      </c>
      <c r="N44" s="1">
        <v>2022</v>
      </c>
      <c r="O44" s="1">
        <v>2023</v>
      </c>
      <c r="P44" s="1">
        <v>2024</v>
      </c>
      <c r="Q44" s="1">
        <v>2025</v>
      </c>
      <c r="U44" s="25"/>
    </row>
    <row r="45" spans="1:21" ht="12.75" customHeight="1" x14ac:dyDescent="0.2">
      <c r="A45" s="193" t="s">
        <v>6</v>
      </c>
      <c r="D45" s="173"/>
      <c r="E45" s="173"/>
      <c r="F45" s="173"/>
      <c r="G45" s="173"/>
      <c r="H45" s="173"/>
      <c r="I45" s="173"/>
      <c r="K45" s="173"/>
      <c r="L45" s="167">
        <v>157028</v>
      </c>
      <c r="M45" s="167">
        <v>187522</v>
      </c>
      <c r="N45" s="167">
        <v>224834</v>
      </c>
      <c r="O45" s="167">
        <v>264479</v>
      </c>
      <c r="P45" s="167">
        <v>278024</v>
      </c>
      <c r="Q45" s="167">
        <v>288928</v>
      </c>
      <c r="U45" s="25"/>
    </row>
    <row r="46" spans="1:21" ht="12.75" customHeight="1" x14ac:dyDescent="0.2">
      <c r="A46" s="193" t="s">
        <v>141</v>
      </c>
      <c r="D46" s="173"/>
      <c r="E46" s="173"/>
      <c r="F46" s="173"/>
      <c r="G46" s="173"/>
      <c r="H46" s="173"/>
      <c r="I46" s="173"/>
      <c r="K46" s="173"/>
      <c r="L46" s="173"/>
      <c r="M46" s="180">
        <f>(M45-L45)*$C$32</f>
        <v>1514.3136594526795</v>
      </c>
      <c r="N46" s="180">
        <f>(N45-M45)*$C$32</f>
        <v>1852.8914298386035</v>
      </c>
      <c r="O46" s="180">
        <f>(O45-N45)*$C$32</f>
        <v>1968.7468036007567</v>
      </c>
      <c r="P46" s="180">
        <f>(P45-O45)*$C$32</f>
        <v>672.63653562296008</v>
      </c>
      <c r="Q46" s="180">
        <f>(Q45-P45)*$C$32</f>
        <v>541.48606751072396</v>
      </c>
      <c r="U46" s="25"/>
    </row>
    <row r="47" spans="1:21" ht="12.75" customHeight="1" x14ac:dyDescent="0.2">
      <c r="A47" s="193"/>
      <c r="D47" s="173"/>
      <c r="E47" s="173"/>
      <c r="F47" s="173"/>
      <c r="G47" s="173"/>
      <c r="H47" s="173"/>
      <c r="I47" s="173"/>
      <c r="J47" s="173"/>
      <c r="K47" s="173"/>
      <c r="L47" s="173"/>
      <c r="U47" s="25"/>
    </row>
    <row r="48" spans="1:21" ht="12.75" customHeight="1" x14ac:dyDescent="0.2">
      <c r="A48" s="193"/>
      <c r="D48" s="173"/>
      <c r="E48" s="173"/>
      <c r="F48" s="173"/>
      <c r="G48" s="173"/>
      <c r="H48" s="173"/>
      <c r="I48" s="173"/>
      <c r="J48" s="173"/>
      <c r="K48" s="173"/>
      <c r="L48" s="173"/>
      <c r="U48" s="25"/>
    </row>
    <row r="49" spans="1:21" x14ac:dyDescent="0.2">
      <c r="A49" s="66" t="s">
        <v>142</v>
      </c>
      <c r="B49" s="5"/>
      <c r="D49" s="173"/>
      <c r="E49" s="173"/>
      <c r="F49" s="173"/>
      <c r="G49" s="173"/>
      <c r="H49" s="173"/>
      <c r="I49" s="173"/>
      <c r="J49" s="173"/>
      <c r="K49" s="173"/>
      <c r="L49" s="173"/>
      <c r="M49" s="168" t="s">
        <v>18</v>
      </c>
      <c r="N49" s="168" t="s">
        <v>19</v>
      </c>
      <c r="O49" s="168" t="s">
        <v>20</v>
      </c>
      <c r="P49" s="168" t="s">
        <v>21</v>
      </c>
      <c r="Q49" s="168" t="s">
        <v>22</v>
      </c>
    </row>
    <row r="50" spans="1:21" x14ac:dyDescent="0.2">
      <c r="A50" s="193" t="s">
        <v>143</v>
      </c>
      <c r="D50" s="173"/>
      <c r="E50" s="173"/>
      <c r="F50" s="173"/>
      <c r="G50" s="173"/>
      <c r="H50" s="173"/>
      <c r="I50" s="173"/>
      <c r="J50" s="173"/>
      <c r="K50" s="173"/>
      <c r="L50" s="173"/>
      <c r="M50" s="181">
        <v>1</v>
      </c>
      <c r="N50" s="181">
        <v>0</v>
      </c>
      <c r="O50" s="181">
        <v>0</v>
      </c>
      <c r="P50" s="181">
        <v>0</v>
      </c>
      <c r="Q50" s="181">
        <v>0</v>
      </c>
    </row>
    <row r="51" spans="1:21" x14ac:dyDescent="0.2">
      <c r="A51" s="193" t="s">
        <v>144</v>
      </c>
      <c r="M51" s="181">
        <v>0.2</v>
      </c>
      <c r="N51" s="181">
        <v>0.2</v>
      </c>
      <c r="O51" s="181">
        <v>0.2</v>
      </c>
      <c r="P51" s="181">
        <v>0.2</v>
      </c>
      <c r="Q51" s="181">
        <v>0.2</v>
      </c>
    </row>
    <row r="53" spans="1:21" ht="12.75" customHeight="1" x14ac:dyDescent="0.2">
      <c r="U53" s="25"/>
    </row>
    <row r="54" spans="1:21" x14ac:dyDescent="0.2">
      <c r="A54" s="2" t="s">
        <v>8</v>
      </c>
      <c r="B54" s="2"/>
      <c r="C54" s="2"/>
      <c r="D54" s="2"/>
      <c r="E54" s="2"/>
      <c r="F54" s="2"/>
      <c r="G54" s="83"/>
      <c r="H54" s="83"/>
      <c r="I54" s="2"/>
      <c r="J54" s="2"/>
      <c r="K54" s="7"/>
      <c r="L54" s="7"/>
      <c r="M54" s="7"/>
      <c r="N54" s="7"/>
      <c r="O54" s="7"/>
      <c r="P54" s="7"/>
      <c r="Q54" s="7"/>
    </row>
    <row r="55" spans="1:21" ht="12.75" customHeight="1" x14ac:dyDescent="0.2">
      <c r="U55" s="25"/>
    </row>
    <row r="56" spans="1:21" x14ac:dyDescent="0.2">
      <c r="A56" s="182"/>
      <c r="B56" s="182"/>
      <c r="C56" s="183"/>
      <c r="D56" s="183"/>
      <c r="E56" s="183"/>
      <c r="F56" s="183"/>
      <c r="G56" s="183"/>
      <c r="H56" s="183"/>
      <c r="I56" s="183"/>
      <c r="J56" s="183"/>
      <c r="K56" s="183"/>
      <c r="L56" s="183"/>
      <c r="M56" s="168" t="s">
        <v>18</v>
      </c>
      <c r="N56" s="168" t="s">
        <v>19</v>
      </c>
      <c r="O56" s="168" t="s">
        <v>20</v>
      </c>
      <c r="P56" s="168" t="s">
        <v>21</v>
      </c>
      <c r="Q56" s="168" t="s">
        <v>22</v>
      </c>
      <c r="R56" s="36"/>
      <c r="S56" s="168" t="s">
        <v>5</v>
      </c>
    </row>
    <row r="57" spans="1:21" x14ac:dyDescent="0.2">
      <c r="B57" s="161" t="s">
        <v>145</v>
      </c>
      <c r="M57" s="36"/>
      <c r="N57" s="36"/>
      <c r="O57" s="36"/>
      <c r="P57" s="36"/>
      <c r="Q57" s="36"/>
      <c r="R57" s="36"/>
      <c r="S57" s="36"/>
    </row>
    <row r="58" spans="1:21" ht="12.75" customHeight="1" x14ac:dyDescent="0.2">
      <c r="B58" s="1" t="s">
        <v>146</v>
      </c>
      <c r="M58" s="136">
        <f t="shared" ref="M58:Q59" si="0">$C$40*M50/1000*$C$35</f>
        <v>164.5</v>
      </c>
      <c r="N58" s="136">
        <f t="shared" si="0"/>
        <v>0</v>
      </c>
      <c r="O58" s="136">
        <f t="shared" si="0"/>
        <v>0</v>
      </c>
      <c r="P58" s="136">
        <f t="shared" si="0"/>
        <v>0</v>
      </c>
      <c r="Q58" s="136">
        <f t="shared" si="0"/>
        <v>0</v>
      </c>
      <c r="R58" s="136"/>
      <c r="S58" s="184">
        <f>SUM(M58:Q58)</f>
        <v>164.5</v>
      </c>
      <c r="U58" s="25"/>
    </row>
    <row r="59" spans="1:21" ht="12.75" customHeight="1" x14ac:dyDescent="0.2">
      <c r="B59" s="1" t="s">
        <v>147</v>
      </c>
      <c r="M59" s="136">
        <f t="shared" si="0"/>
        <v>32.9</v>
      </c>
      <c r="N59" s="136">
        <f t="shared" si="0"/>
        <v>32.9</v>
      </c>
      <c r="O59" s="136">
        <f t="shared" si="0"/>
        <v>32.9</v>
      </c>
      <c r="P59" s="136">
        <f t="shared" si="0"/>
        <v>32.9</v>
      </c>
      <c r="Q59" s="136">
        <f t="shared" si="0"/>
        <v>32.9</v>
      </c>
      <c r="R59" s="136"/>
      <c r="S59" s="184">
        <f>SUM(M59:Q59)</f>
        <v>164.5</v>
      </c>
      <c r="U59" s="25"/>
    </row>
    <row r="60" spans="1:21" ht="12.75" customHeight="1" x14ac:dyDescent="0.2">
      <c r="B60" s="183" t="s">
        <v>148</v>
      </c>
      <c r="C60" s="183"/>
      <c r="D60" s="183"/>
      <c r="E60" s="183"/>
      <c r="F60" s="183"/>
      <c r="G60" s="183"/>
      <c r="H60" s="183"/>
      <c r="I60" s="183"/>
      <c r="J60" s="183"/>
      <c r="K60" s="183"/>
      <c r="L60" s="183"/>
      <c r="M60" s="185">
        <f>M46*$C$41/1000</f>
        <v>196.86077572884832</v>
      </c>
      <c r="N60" s="185">
        <f>N46*$C$41/1000</f>
        <v>240.87588587901845</v>
      </c>
      <c r="O60" s="185">
        <f>O46*$C$41/1000</f>
        <v>255.93708446809839</v>
      </c>
      <c r="P60" s="185">
        <f>P46*$C$41/1000</f>
        <v>87.442749630984807</v>
      </c>
      <c r="Q60" s="185">
        <f>Q46*$C$41/1000</f>
        <v>70.393188776394126</v>
      </c>
      <c r="R60" s="136"/>
      <c r="S60" s="184">
        <f>SUM(M60:Q60)</f>
        <v>851.50968448334413</v>
      </c>
    </row>
    <row r="61" spans="1:21" ht="12.75" customHeight="1" x14ac:dyDescent="0.2">
      <c r="B61" s="5" t="s">
        <v>149</v>
      </c>
      <c r="C61" s="5"/>
      <c r="D61" s="5"/>
      <c r="E61" s="5"/>
      <c r="F61" s="5"/>
      <c r="G61" s="5"/>
      <c r="H61" s="5"/>
      <c r="I61" s="5"/>
      <c r="J61" s="5"/>
      <c r="K61" s="5"/>
      <c r="L61" s="5"/>
      <c r="M61" s="186">
        <f t="shared" ref="M61:Q61" si="1">SUM(M58:M60)</f>
        <v>394.26077572884833</v>
      </c>
      <c r="N61" s="186">
        <f t="shared" si="1"/>
        <v>273.77588587901846</v>
      </c>
      <c r="O61" s="186">
        <f t="shared" si="1"/>
        <v>288.8370844680984</v>
      </c>
      <c r="P61" s="186">
        <f t="shared" si="1"/>
        <v>120.3427496309848</v>
      </c>
      <c r="Q61" s="186">
        <f t="shared" si="1"/>
        <v>103.29318877639412</v>
      </c>
      <c r="R61" s="186"/>
      <c r="S61" s="187">
        <f>SUM(S58:S60)</f>
        <v>1180.5096844833442</v>
      </c>
    </row>
    <row r="63" spans="1:21" x14ac:dyDescent="0.2">
      <c r="B63" s="183"/>
      <c r="C63" s="183"/>
      <c r="D63" s="183"/>
      <c r="E63" s="183"/>
      <c r="F63" s="183"/>
      <c r="G63" s="183"/>
      <c r="H63" s="183"/>
      <c r="I63" s="183"/>
      <c r="J63" s="183"/>
      <c r="K63" s="183"/>
      <c r="L63" s="183"/>
      <c r="M63" s="185"/>
      <c r="N63" s="185"/>
      <c r="O63" s="185"/>
      <c r="P63" s="185"/>
      <c r="Q63" s="185"/>
      <c r="R63" s="136"/>
      <c r="S63" s="184"/>
    </row>
    <row r="64" spans="1:21" x14ac:dyDescent="0.2">
      <c r="B64" s="5" t="s">
        <v>150</v>
      </c>
      <c r="C64" s="5"/>
      <c r="D64" s="5"/>
      <c r="E64" s="5"/>
      <c r="F64" s="5"/>
      <c r="G64" s="5"/>
      <c r="H64" s="5"/>
      <c r="I64" s="5"/>
      <c r="J64" s="5"/>
      <c r="K64" s="5"/>
      <c r="L64" s="5"/>
      <c r="M64" s="186">
        <f>M$18*$C$14/1000</f>
        <v>672</v>
      </c>
      <c r="N64" s="186">
        <f t="shared" ref="N64:Q64" si="2">N$18*$C$14/1000</f>
        <v>732</v>
      </c>
      <c r="O64" s="186">
        <f t="shared" si="2"/>
        <v>843</v>
      </c>
      <c r="P64" s="186">
        <f t="shared" si="2"/>
        <v>580.5</v>
      </c>
      <c r="Q64" s="186">
        <f t="shared" si="2"/>
        <v>610.5</v>
      </c>
      <c r="R64" s="186"/>
      <c r="S64" s="187">
        <f>SUM(M64:Q64)</f>
        <v>3438</v>
      </c>
    </row>
    <row r="65" spans="1:21" ht="12.75" customHeight="1" x14ac:dyDescent="0.2">
      <c r="M65" s="188"/>
      <c r="N65" s="188"/>
      <c r="O65" s="188"/>
      <c r="P65" s="188"/>
      <c r="Q65" s="188"/>
      <c r="R65" s="188"/>
      <c r="S65" s="189"/>
    </row>
    <row r="66" spans="1:21" ht="12.75" customHeight="1" x14ac:dyDescent="0.2">
      <c r="B66" s="195" t="s">
        <v>157</v>
      </c>
      <c r="C66" s="183"/>
      <c r="D66" s="183"/>
      <c r="E66" s="183"/>
      <c r="F66" s="183"/>
      <c r="G66" s="202">
        <f>C11</f>
        <v>2019</v>
      </c>
      <c r="M66" s="136">
        <f>SUM(M61:M64)</f>
        <v>1066.2607757288483</v>
      </c>
      <c r="N66" s="136">
        <f t="shared" ref="N66:Q66" si="3">SUM(N61:N64)</f>
        <v>1005.7758858790185</v>
      </c>
      <c r="O66" s="136">
        <f t="shared" si="3"/>
        <v>1131.8370844680985</v>
      </c>
      <c r="P66" s="136">
        <f t="shared" si="3"/>
        <v>700.84274963098483</v>
      </c>
      <c r="Q66" s="136">
        <f t="shared" si="3"/>
        <v>713.79318877639412</v>
      </c>
      <c r="R66" s="188"/>
      <c r="S66" s="184">
        <f>SUM(M66:Q66)</f>
        <v>4618.5096844833442</v>
      </c>
    </row>
    <row r="67" spans="1:21" ht="12.75" customHeight="1" x14ac:dyDescent="0.2">
      <c r="A67" s="5"/>
      <c r="B67" s="74" t="str">
        <f>"Total: "&amp;$A$1&amp;" "&amp;$A$2</f>
        <v>Total: Powercor Solar enablement</v>
      </c>
      <c r="C67" s="74"/>
      <c r="D67" s="74"/>
      <c r="E67" s="74"/>
      <c r="F67" s="74"/>
      <c r="G67" s="84" t="str">
        <f>"$k"&amp;" $"&amp;Year_of_Currency</f>
        <v>$k $2020/21</v>
      </c>
      <c r="H67" s="87"/>
      <c r="I67" s="74"/>
      <c r="J67" s="74"/>
      <c r="K67" s="74"/>
      <c r="L67" s="74"/>
      <c r="M67" s="75">
        <f>SUM(M61:M64)*INDEX(Assumptions!$G$18:$M$18, MATCH($G66, Assumptions!$G$16:$M$16,0))</f>
        <v>1091.1408022636699</v>
      </c>
      <c r="N67" s="75">
        <f>SUM(N61:N64)*INDEX(Assumptions!$G$18:$M$18, MATCH($G66, Assumptions!$G$16:$M$16,0))</f>
        <v>1029.2445638031861</v>
      </c>
      <c r="O67" s="75">
        <f>SUM(O61:O64)*INDEX(Assumptions!$G$18:$M$18, MATCH($G66, Assumptions!$G$16:$M$16,0))</f>
        <v>1158.2472622929486</v>
      </c>
      <c r="P67" s="75">
        <f>SUM(P61:P64)*INDEX(Assumptions!$G$18:$M$18, MATCH($G66, Assumptions!$G$16:$M$16,0))</f>
        <v>717.19614704039157</v>
      </c>
      <c r="Q67" s="75">
        <f>SUM(Q61:Q64)*INDEX(Assumptions!$G$18:$M$18, MATCH($G66, Assumptions!$G$16:$M$16,0))</f>
        <v>730.44877048903118</v>
      </c>
      <c r="R67" s="190"/>
      <c r="S67" s="75">
        <f>SUM(M67:Q67)</f>
        <v>4726.2775458892274</v>
      </c>
    </row>
    <row r="68" spans="1:21" ht="12.75" customHeight="1" x14ac:dyDescent="0.2">
      <c r="G68" s="62"/>
      <c r="H68" s="62"/>
      <c r="M68" s="9"/>
      <c r="N68" s="9"/>
      <c r="O68" s="9"/>
      <c r="P68" s="9"/>
      <c r="Q68" s="9"/>
      <c r="R68" s="9"/>
      <c r="S68" s="9"/>
    </row>
    <row r="69" spans="1:21" ht="12.75" customHeight="1" x14ac:dyDescent="0.2">
      <c r="B69" s="5" t="s">
        <v>80</v>
      </c>
      <c r="G69" s="62"/>
      <c r="H69" s="62"/>
      <c r="M69" s="39"/>
      <c r="N69" s="39"/>
      <c r="O69" s="39"/>
      <c r="P69" s="39"/>
      <c r="Q69" s="39"/>
      <c r="R69" s="39"/>
      <c r="S69" s="39"/>
      <c r="U69" s="39"/>
    </row>
    <row r="70" spans="1:21" ht="12.75" customHeight="1" thickBot="1" x14ac:dyDescent="0.25">
      <c r="B70" s="154" t="str">
        <f>"Powercor "&amp;$A$2</f>
        <v>Powercor Solar enablement</v>
      </c>
      <c r="C70" s="155"/>
      <c r="D70" s="154"/>
      <c r="E70" s="154"/>
      <c r="F70" s="154"/>
      <c r="G70" s="156" t="s">
        <v>113</v>
      </c>
      <c r="H70" s="157"/>
      <c r="I70" s="154"/>
      <c r="J70" s="154"/>
      <c r="K70" s="154"/>
      <c r="L70" s="154"/>
      <c r="M70" s="159">
        <f>M67*Assumptions!N$37</f>
        <v>1096.1547963490291</v>
      </c>
      <c r="N70" s="159">
        <f>N67*Assumptions!O$37</f>
        <v>1037.0107590207526</v>
      </c>
      <c r="O70" s="159">
        <f>O67*Assumptions!P$37</f>
        <v>1171.4861059625666</v>
      </c>
      <c r="P70" s="159">
        <f>P67*Assumptions!Q$37</f>
        <v>729.66001040777155</v>
      </c>
      <c r="Q70" s="159">
        <f>Q67*Assumptions!R$37</f>
        <v>748.89535596604082</v>
      </c>
      <c r="R70" s="53"/>
      <c r="S70" s="159">
        <f>SUM(M70:Q70)</f>
        <v>4783.2070277061612</v>
      </c>
      <c r="U70" s="39"/>
    </row>
    <row r="71" spans="1:21" ht="12.75" customHeight="1" thickTop="1" x14ac:dyDescent="0.2"/>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rgb="FF1F497D"/>
  </sheetPr>
  <dimension ref="A1:T92"/>
  <sheetViews>
    <sheetView showGridLines="0" zoomScale="80" zoomScaleNormal="80" workbookViewId="0">
      <pane xSplit="2" ySplit="2" topLeftCell="C54" activePane="bottomRight" state="frozen"/>
      <selection activeCell="K43" sqref="K43"/>
      <selection pane="topRight" activeCell="K43" sqref="K43"/>
      <selection pane="bottomLeft" activeCell="K43" sqref="K43"/>
      <selection pane="bottomRight" activeCell="A4" sqref="A4"/>
    </sheetView>
  </sheetViews>
  <sheetFormatPr defaultColWidth="9" defaultRowHeight="12.75" x14ac:dyDescent="0.2"/>
  <cols>
    <col min="1" max="1" width="2" style="1" customWidth="1"/>
    <col min="2" max="2" width="43.125" style="1" customWidth="1"/>
    <col min="3" max="3" width="17.25" style="1" customWidth="1"/>
    <col min="4" max="4" width="13.125" style="1" customWidth="1"/>
    <col min="5" max="5" width="1.875" style="1" customWidth="1"/>
    <col min="6" max="6" width="13.625" style="1" customWidth="1"/>
    <col min="7" max="7" width="11.375" style="62" customWidth="1"/>
    <col min="8" max="8" width="1.625" style="62" customWidth="1"/>
    <col min="9" max="9" width="5.875" style="1" customWidth="1"/>
    <col min="10" max="10" width="2.125" style="1" customWidth="1"/>
    <col min="11" max="17" width="9.875" style="1" customWidth="1"/>
    <col min="18" max="18" width="2.5" style="1" customWidth="1"/>
    <col min="19" max="19" width="9.25" style="1" customWidth="1"/>
    <col min="20" max="16384" width="9" style="1"/>
  </cols>
  <sheetData>
    <row r="1" spans="1:17" ht="21" x14ac:dyDescent="0.35">
      <c r="A1" s="3" t="s">
        <v>7</v>
      </c>
      <c r="F1" s="197" t="s">
        <v>161</v>
      </c>
      <c r="G1" s="196" t="s">
        <v>158</v>
      </c>
    </row>
    <row r="2" spans="1:17" ht="18.75" x14ac:dyDescent="0.3">
      <c r="A2" s="8" t="str">
        <f ca="1">RIGHT(CELL("filename",A1),LEN(CELL("filename",A1))-FIND("]",CELL("filename",A1),1))</f>
        <v>REFCL opex</v>
      </c>
      <c r="E2" s="51"/>
    </row>
    <row r="3" spans="1:17" x14ac:dyDescent="0.2">
      <c r="A3" s="100" t="s">
        <v>159</v>
      </c>
    </row>
    <row r="5" spans="1:17" x14ac:dyDescent="0.2">
      <c r="A5" s="2" t="s">
        <v>14</v>
      </c>
      <c r="B5" s="2"/>
      <c r="C5" s="2"/>
      <c r="D5" s="2"/>
      <c r="E5" s="2"/>
      <c r="F5" s="2"/>
      <c r="G5" s="83"/>
      <c r="H5" s="83"/>
      <c r="I5" s="2"/>
      <c r="J5" s="2"/>
      <c r="K5" s="7"/>
      <c r="L5" s="7"/>
      <c r="M5" s="7"/>
      <c r="N5" s="7"/>
      <c r="O5" s="7"/>
      <c r="P5" s="7"/>
      <c r="Q5" s="7"/>
    </row>
    <row r="6" spans="1:17" x14ac:dyDescent="0.2">
      <c r="B6" s="35"/>
      <c r="M6" s="9"/>
      <c r="N6" s="9"/>
      <c r="O6" s="9"/>
      <c r="P6" s="9"/>
      <c r="Q6" s="9"/>
    </row>
    <row r="7" spans="1:17" x14ac:dyDescent="0.2">
      <c r="B7" s="35"/>
      <c r="M7" s="9"/>
      <c r="N7" s="9"/>
      <c r="O7" s="9"/>
      <c r="P7" s="9"/>
      <c r="Q7" s="9"/>
    </row>
    <row r="8" spans="1:17" x14ac:dyDescent="0.2">
      <c r="B8" s="35"/>
      <c r="M8" s="9"/>
      <c r="N8" s="9"/>
      <c r="O8" s="9"/>
      <c r="P8" s="9"/>
      <c r="Q8" s="9"/>
    </row>
    <row r="9" spans="1:17" x14ac:dyDescent="0.2">
      <c r="B9" s="54" t="s">
        <v>59</v>
      </c>
      <c r="M9" s="9"/>
      <c r="N9" s="9"/>
      <c r="O9" s="9"/>
      <c r="P9" s="9"/>
      <c r="Q9" s="9"/>
    </row>
    <row r="10" spans="1:17" x14ac:dyDescent="0.2">
      <c r="B10" s="55" t="s">
        <v>63</v>
      </c>
      <c r="M10" s="9"/>
      <c r="N10" s="9"/>
      <c r="O10" s="9"/>
      <c r="P10" s="9"/>
      <c r="Q10" s="9"/>
    </row>
    <row r="11" spans="1:17" x14ac:dyDescent="0.2">
      <c r="B11" s="55" t="s">
        <v>64</v>
      </c>
      <c r="J11" s="9"/>
      <c r="L11" s="9"/>
      <c r="M11" s="9"/>
      <c r="N11" s="9"/>
      <c r="O11" s="9"/>
      <c r="P11" s="9"/>
      <c r="Q11" s="9"/>
    </row>
    <row r="12" spans="1:17" x14ac:dyDescent="0.2">
      <c r="B12" s="63" t="s">
        <v>95</v>
      </c>
      <c r="J12" s="9"/>
      <c r="L12" s="9"/>
      <c r="M12" s="9"/>
      <c r="N12" s="9"/>
      <c r="O12" s="9"/>
      <c r="P12" s="9"/>
      <c r="Q12" s="9"/>
    </row>
    <row r="13" spans="1:17" x14ac:dyDescent="0.2">
      <c r="B13" s="5"/>
    </row>
    <row r="14" spans="1:17" x14ac:dyDescent="0.2">
      <c r="A14" s="2" t="s">
        <v>23</v>
      </c>
      <c r="B14" s="2"/>
      <c r="C14" s="2"/>
      <c r="D14" s="2"/>
      <c r="E14" s="2"/>
      <c r="F14" s="2"/>
      <c r="G14" s="83"/>
      <c r="H14" s="83" t="s">
        <v>57</v>
      </c>
      <c r="I14" s="2"/>
      <c r="J14" s="2"/>
      <c r="K14" s="7">
        <v>2019</v>
      </c>
      <c r="L14" s="7" t="s">
        <v>17</v>
      </c>
      <c r="M14" s="7" t="s">
        <v>18</v>
      </c>
      <c r="N14" s="7" t="s">
        <v>19</v>
      </c>
      <c r="O14" s="7" t="s">
        <v>20</v>
      </c>
      <c r="P14" s="7" t="s">
        <v>21</v>
      </c>
      <c r="Q14" s="7" t="s">
        <v>22</v>
      </c>
    </row>
    <row r="15" spans="1:17" x14ac:dyDescent="0.2">
      <c r="B15" s="5"/>
      <c r="G15" s="91"/>
    </row>
    <row r="16" spans="1:17" x14ac:dyDescent="0.2">
      <c r="B16" s="1" t="s">
        <v>11</v>
      </c>
      <c r="D16" s="132">
        <v>2019</v>
      </c>
      <c r="M16" s="9"/>
      <c r="N16" s="9"/>
      <c r="O16" s="9"/>
      <c r="P16" s="9"/>
      <c r="Q16" s="9"/>
    </row>
    <row r="17" spans="2:17" x14ac:dyDescent="0.2">
      <c r="B17" s="5"/>
      <c r="F17" s="92"/>
    </row>
    <row r="18" spans="2:17" x14ac:dyDescent="0.2">
      <c r="B18" s="1" t="s">
        <v>47</v>
      </c>
      <c r="C18" s="34" t="s">
        <v>25</v>
      </c>
      <c r="D18" s="64">
        <v>15667.895399134433</v>
      </c>
      <c r="F18" s="123">
        <f>$D$16</f>
        <v>2019</v>
      </c>
      <c r="H18" s="137" t="s">
        <v>163</v>
      </c>
      <c r="I18" s="28"/>
    </row>
    <row r="19" spans="2:17" x14ac:dyDescent="0.2">
      <c r="B19" s="1" t="s">
        <v>48</v>
      </c>
      <c r="C19" s="34" t="s">
        <v>25</v>
      </c>
      <c r="D19" s="64">
        <v>30029.967675920852</v>
      </c>
      <c r="F19" s="123">
        <f t="shared" ref="F19:F21" si="0">$D$16</f>
        <v>2019</v>
      </c>
      <c r="I19" s="28"/>
    </row>
    <row r="20" spans="2:17" x14ac:dyDescent="0.2">
      <c r="B20" s="1" t="s">
        <v>49</v>
      </c>
      <c r="C20" s="34" t="s">
        <v>26</v>
      </c>
      <c r="D20" s="64">
        <v>3133.1105907806464</v>
      </c>
      <c r="F20" s="123">
        <f t="shared" si="0"/>
        <v>2019</v>
      </c>
      <c r="I20" s="28"/>
      <c r="J20" s="29"/>
      <c r="K20" s="29"/>
      <c r="L20" s="29"/>
      <c r="M20" s="29"/>
      <c r="N20" s="29"/>
      <c r="O20" s="29"/>
      <c r="P20" s="29"/>
    </row>
    <row r="21" spans="2:17" x14ac:dyDescent="0.2">
      <c r="B21" s="1" t="s">
        <v>50</v>
      </c>
      <c r="C21" s="34" t="s">
        <v>26</v>
      </c>
      <c r="D21" s="64">
        <v>9609.0707145819142</v>
      </c>
      <c r="F21" s="123">
        <f t="shared" si="0"/>
        <v>2019</v>
      </c>
      <c r="I21" s="28"/>
      <c r="J21" s="29"/>
    </row>
    <row r="22" spans="2:17" x14ac:dyDescent="0.2">
      <c r="C22" s="34"/>
      <c r="D22" s="34"/>
      <c r="E22" s="34"/>
      <c r="F22" s="27"/>
      <c r="I22" s="28"/>
      <c r="J22" s="29"/>
    </row>
    <row r="23" spans="2:17" x14ac:dyDescent="0.2">
      <c r="B23" s="5" t="s">
        <v>70</v>
      </c>
      <c r="C23" s="66" t="s">
        <v>98</v>
      </c>
      <c r="D23" s="66" t="s">
        <v>99</v>
      </c>
      <c r="F23" s="56" t="s">
        <v>71</v>
      </c>
    </row>
    <row r="24" spans="2:17" x14ac:dyDescent="0.2">
      <c r="B24" s="1" t="s">
        <v>56</v>
      </c>
      <c r="C24" s="65">
        <v>4</v>
      </c>
      <c r="D24" s="65">
        <v>1</v>
      </c>
      <c r="F24" s="121">
        <v>2019</v>
      </c>
      <c r="J24" s="50"/>
      <c r="K24" s="50"/>
      <c r="L24" s="50"/>
      <c r="M24" s="50"/>
      <c r="N24" s="50"/>
      <c r="O24" s="50"/>
      <c r="P24" s="50"/>
      <c r="Q24" s="50"/>
    </row>
    <row r="25" spans="2:17" x14ac:dyDescent="0.2">
      <c r="B25" s="1" t="s">
        <v>52</v>
      </c>
      <c r="C25" s="65">
        <v>8</v>
      </c>
      <c r="D25" s="65">
        <v>2</v>
      </c>
      <c r="F25" s="107" t="s">
        <v>17</v>
      </c>
      <c r="J25" s="50"/>
      <c r="K25" s="50"/>
      <c r="L25" s="50"/>
      <c r="M25" s="50"/>
      <c r="N25" s="50"/>
      <c r="O25" s="50"/>
      <c r="P25" s="50"/>
      <c r="Q25" s="50"/>
    </row>
    <row r="26" spans="2:17" x14ac:dyDescent="0.2">
      <c r="B26" s="1" t="s">
        <v>27</v>
      </c>
      <c r="C26" s="65">
        <v>5</v>
      </c>
      <c r="D26" s="65">
        <v>1</v>
      </c>
      <c r="F26" s="121">
        <v>2019</v>
      </c>
      <c r="J26" s="50"/>
      <c r="K26" s="50"/>
      <c r="L26" s="50"/>
      <c r="M26" s="50"/>
      <c r="N26" s="50"/>
      <c r="O26" s="50"/>
      <c r="P26" s="50"/>
      <c r="Q26" s="50"/>
    </row>
    <row r="27" spans="2:17" x14ac:dyDescent="0.2">
      <c r="B27" s="1" t="s">
        <v>29</v>
      </c>
      <c r="C27" s="65">
        <v>5</v>
      </c>
      <c r="D27" s="65">
        <v>1</v>
      </c>
      <c r="F27" s="107" t="s">
        <v>17</v>
      </c>
      <c r="J27" s="50"/>
      <c r="K27" s="50"/>
      <c r="L27" s="50"/>
      <c r="M27" s="50"/>
      <c r="N27" s="50"/>
      <c r="O27" s="50"/>
      <c r="P27" s="50"/>
      <c r="Q27" s="50"/>
    </row>
    <row r="28" spans="2:17" x14ac:dyDescent="0.2">
      <c r="B28" s="1" t="s">
        <v>28</v>
      </c>
      <c r="C28" s="65">
        <v>7</v>
      </c>
      <c r="D28" s="65">
        <v>2</v>
      </c>
      <c r="F28" s="107" t="s">
        <v>18</v>
      </c>
      <c r="J28" s="50"/>
      <c r="K28" s="50"/>
      <c r="L28" s="50"/>
      <c r="M28" s="50"/>
      <c r="N28" s="50"/>
      <c r="O28" s="50"/>
      <c r="P28" s="50"/>
      <c r="Q28" s="50"/>
    </row>
    <row r="29" spans="2:17" x14ac:dyDescent="0.2">
      <c r="B29" s="1" t="s">
        <v>30</v>
      </c>
      <c r="C29" s="65">
        <v>6</v>
      </c>
      <c r="D29" s="65">
        <v>1</v>
      </c>
      <c r="F29" s="107" t="s">
        <v>17</v>
      </c>
      <c r="J29" s="50"/>
      <c r="K29" s="50"/>
      <c r="L29" s="50"/>
      <c r="M29" s="50"/>
      <c r="N29" s="50"/>
      <c r="O29" s="50"/>
      <c r="P29" s="50"/>
      <c r="Q29" s="50"/>
    </row>
    <row r="30" spans="2:17" x14ac:dyDescent="0.2">
      <c r="B30" s="1" t="s">
        <v>31</v>
      </c>
      <c r="C30" s="65">
        <v>3</v>
      </c>
      <c r="D30" s="65">
        <v>1</v>
      </c>
      <c r="F30" s="107" t="s">
        <v>17</v>
      </c>
      <c r="J30" s="50"/>
      <c r="K30" s="50"/>
      <c r="L30" s="50"/>
      <c r="M30" s="50"/>
      <c r="N30" s="50"/>
      <c r="O30" s="50"/>
      <c r="P30" s="50"/>
      <c r="Q30" s="50"/>
    </row>
    <row r="31" spans="2:17" x14ac:dyDescent="0.2">
      <c r="B31" s="1" t="s">
        <v>31</v>
      </c>
      <c r="C31" s="65">
        <v>1</v>
      </c>
      <c r="D31" s="65">
        <v>1</v>
      </c>
      <c r="F31" s="107" t="s">
        <v>21</v>
      </c>
      <c r="J31" s="50"/>
      <c r="K31" s="50"/>
      <c r="L31" s="50"/>
      <c r="M31" s="50"/>
      <c r="N31" s="50"/>
      <c r="O31" s="50"/>
      <c r="P31" s="50"/>
      <c r="Q31" s="50"/>
    </row>
    <row r="32" spans="2:17" x14ac:dyDescent="0.2">
      <c r="B32" s="1" t="s">
        <v>32</v>
      </c>
      <c r="C32" s="65">
        <v>8</v>
      </c>
      <c r="D32" s="65">
        <v>2</v>
      </c>
      <c r="F32" s="107" t="s">
        <v>17</v>
      </c>
      <c r="J32" s="50"/>
      <c r="K32" s="50"/>
      <c r="L32" s="50"/>
      <c r="M32" s="50"/>
      <c r="N32" s="50"/>
      <c r="O32" s="50"/>
      <c r="P32" s="50"/>
      <c r="Q32" s="50"/>
    </row>
    <row r="33" spans="2:17" x14ac:dyDescent="0.2">
      <c r="B33" s="1" t="s">
        <v>35</v>
      </c>
      <c r="C33" s="65">
        <v>8</v>
      </c>
      <c r="D33" s="65">
        <v>2</v>
      </c>
      <c r="F33" s="107" t="s">
        <v>18</v>
      </c>
      <c r="J33" s="50"/>
      <c r="K33" s="50"/>
      <c r="L33" s="50"/>
      <c r="M33" s="50"/>
      <c r="N33" s="50"/>
      <c r="O33" s="50"/>
      <c r="P33" s="50"/>
      <c r="Q33" s="50"/>
    </row>
    <row r="34" spans="2:17" x14ac:dyDescent="0.2">
      <c r="B34" s="1" t="s">
        <v>36</v>
      </c>
      <c r="C34" s="65">
        <v>7</v>
      </c>
      <c r="D34" s="65">
        <v>2</v>
      </c>
      <c r="F34" s="107" t="s">
        <v>18</v>
      </c>
      <c r="J34" s="50"/>
      <c r="K34" s="50"/>
      <c r="L34" s="50"/>
      <c r="M34" s="50"/>
      <c r="N34" s="50"/>
      <c r="O34" s="50"/>
      <c r="P34" s="50"/>
      <c r="Q34" s="50"/>
    </row>
    <row r="35" spans="2:17" x14ac:dyDescent="0.2">
      <c r="B35" s="1" t="s">
        <v>37</v>
      </c>
      <c r="C35" s="65">
        <v>6</v>
      </c>
      <c r="D35" s="65">
        <v>1</v>
      </c>
      <c r="F35" s="107" t="s">
        <v>18</v>
      </c>
      <c r="J35" s="50"/>
      <c r="K35" s="50"/>
      <c r="L35" s="50"/>
      <c r="M35" s="50"/>
      <c r="N35" s="50"/>
      <c r="O35" s="50"/>
      <c r="P35" s="50"/>
      <c r="Q35" s="50"/>
    </row>
    <row r="36" spans="2:17" x14ac:dyDescent="0.2">
      <c r="B36" s="1" t="s">
        <v>41</v>
      </c>
      <c r="C36" s="65">
        <v>5</v>
      </c>
      <c r="D36" s="65">
        <v>2</v>
      </c>
      <c r="F36" s="107" t="s">
        <v>18</v>
      </c>
      <c r="J36" s="50"/>
      <c r="K36" s="50"/>
      <c r="L36" s="50"/>
      <c r="M36" s="50"/>
      <c r="N36" s="50"/>
      <c r="O36" s="50"/>
      <c r="P36" s="50"/>
      <c r="Q36" s="50"/>
    </row>
    <row r="37" spans="2:17" x14ac:dyDescent="0.2">
      <c r="B37" s="1" t="s">
        <v>39</v>
      </c>
      <c r="C37" s="65">
        <v>4</v>
      </c>
      <c r="D37" s="65">
        <v>1</v>
      </c>
      <c r="F37" s="107" t="s">
        <v>18</v>
      </c>
      <c r="J37" s="50"/>
      <c r="K37" s="50"/>
      <c r="L37" s="50"/>
      <c r="M37" s="50"/>
      <c r="N37" s="50"/>
      <c r="O37" s="50"/>
      <c r="P37" s="50"/>
      <c r="Q37" s="50"/>
    </row>
    <row r="38" spans="2:17" x14ac:dyDescent="0.2">
      <c r="B38" s="1" t="s">
        <v>42</v>
      </c>
      <c r="C38" s="65">
        <v>6</v>
      </c>
      <c r="D38" s="65">
        <v>2</v>
      </c>
      <c r="F38" s="107" t="s">
        <v>19</v>
      </c>
      <c r="J38" s="50"/>
      <c r="K38" s="50"/>
      <c r="L38" s="50"/>
      <c r="M38" s="50"/>
      <c r="N38" s="50"/>
      <c r="O38" s="50"/>
      <c r="P38" s="50"/>
      <c r="Q38" s="50"/>
    </row>
    <row r="39" spans="2:17" x14ac:dyDescent="0.2">
      <c r="B39" s="1" t="s">
        <v>33</v>
      </c>
      <c r="C39" s="65">
        <v>12</v>
      </c>
      <c r="D39" s="65">
        <v>3</v>
      </c>
      <c r="F39" s="107" t="s">
        <v>18</v>
      </c>
      <c r="J39" s="50"/>
      <c r="K39" s="50"/>
      <c r="L39" s="50"/>
      <c r="M39" s="50"/>
      <c r="N39" s="50"/>
      <c r="O39" s="50"/>
      <c r="P39" s="50"/>
      <c r="Q39" s="50"/>
    </row>
    <row r="40" spans="2:17" x14ac:dyDescent="0.2">
      <c r="B40" s="1" t="s">
        <v>34</v>
      </c>
      <c r="C40" s="65">
        <v>9</v>
      </c>
      <c r="D40" s="65">
        <v>3</v>
      </c>
      <c r="F40" s="107" t="s">
        <v>18</v>
      </c>
      <c r="J40" s="50"/>
      <c r="K40" s="50"/>
      <c r="L40" s="50"/>
      <c r="M40" s="50"/>
      <c r="N40" s="50"/>
      <c r="O40" s="50"/>
      <c r="P40" s="50"/>
      <c r="Q40" s="50"/>
    </row>
    <row r="41" spans="2:17" x14ac:dyDescent="0.2">
      <c r="B41" s="1" t="s">
        <v>40</v>
      </c>
      <c r="C41" s="65">
        <v>5</v>
      </c>
      <c r="D41" s="65">
        <v>1</v>
      </c>
      <c r="F41" s="107" t="s">
        <v>20</v>
      </c>
      <c r="J41" s="50"/>
      <c r="K41" s="50"/>
      <c r="L41" s="50"/>
      <c r="M41" s="50"/>
      <c r="N41" s="50"/>
      <c r="O41" s="50"/>
      <c r="P41" s="50"/>
      <c r="Q41" s="50"/>
    </row>
    <row r="42" spans="2:17" x14ac:dyDescent="0.2">
      <c r="B42" s="1" t="s">
        <v>38</v>
      </c>
      <c r="C42" s="65">
        <v>4</v>
      </c>
      <c r="D42" s="65">
        <v>1</v>
      </c>
      <c r="F42" s="107" t="s">
        <v>20</v>
      </c>
      <c r="J42" s="50"/>
      <c r="K42" s="50"/>
      <c r="L42" s="50"/>
      <c r="M42" s="50"/>
      <c r="N42" s="50"/>
      <c r="O42" s="50"/>
      <c r="P42" s="50"/>
      <c r="Q42" s="50"/>
    </row>
    <row r="43" spans="2:17" x14ac:dyDescent="0.2">
      <c r="B43" s="1" t="s">
        <v>43</v>
      </c>
      <c r="C43" s="65">
        <v>6</v>
      </c>
      <c r="D43" s="65">
        <v>1</v>
      </c>
      <c r="F43" s="107" t="s">
        <v>20</v>
      </c>
      <c r="J43" s="50"/>
      <c r="K43" s="50"/>
      <c r="L43" s="50"/>
      <c r="M43" s="50"/>
      <c r="N43" s="50"/>
      <c r="O43" s="50"/>
      <c r="P43" s="50"/>
      <c r="Q43" s="50"/>
    </row>
    <row r="44" spans="2:17" x14ac:dyDescent="0.2">
      <c r="B44" s="1" t="s">
        <v>91</v>
      </c>
      <c r="C44" s="65">
        <v>10</v>
      </c>
      <c r="D44" s="65">
        <v>3</v>
      </c>
      <c r="F44" s="107" t="s">
        <v>20</v>
      </c>
      <c r="J44" s="50"/>
      <c r="K44" s="50"/>
      <c r="L44" s="50"/>
      <c r="M44" s="50"/>
      <c r="N44" s="50"/>
      <c r="O44" s="50"/>
      <c r="P44" s="50"/>
      <c r="Q44" s="50"/>
    </row>
    <row r="45" spans="2:17" x14ac:dyDescent="0.2">
      <c r="B45" s="1" t="s">
        <v>92</v>
      </c>
      <c r="C45" s="65">
        <v>4</v>
      </c>
      <c r="D45" s="65">
        <v>2</v>
      </c>
      <c r="F45" s="107" t="s">
        <v>20</v>
      </c>
      <c r="J45" s="50"/>
      <c r="K45" s="50"/>
      <c r="L45" s="50"/>
      <c r="M45" s="50"/>
      <c r="N45" s="50"/>
      <c r="O45" s="50"/>
      <c r="P45" s="50"/>
      <c r="Q45" s="50"/>
    </row>
    <row r="46" spans="2:17" x14ac:dyDescent="0.2">
      <c r="B46" s="1" t="s">
        <v>100</v>
      </c>
      <c r="C46" s="65">
        <v>5</v>
      </c>
      <c r="D46" s="65">
        <v>2</v>
      </c>
      <c r="F46" s="107" t="s">
        <v>20</v>
      </c>
      <c r="J46" s="50"/>
      <c r="K46" s="50"/>
      <c r="L46" s="50"/>
      <c r="M46" s="50"/>
      <c r="N46" s="50"/>
      <c r="O46" s="50"/>
      <c r="P46" s="50"/>
      <c r="Q46" s="50"/>
    </row>
    <row r="47" spans="2:17" x14ac:dyDescent="0.2">
      <c r="B47" s="1" t="s">
        <v>93</v>
      </c>
      <c r="C47" s="65">
        <v>4</v>
      </c>
      <c r="D47" s="65">
        <v>2</v>
      </c>
      <c r="F47" s="107" t="s">
        <v>21</v>
      </c>
      <c r="J47" s="50"/>
      <c r="K47" s="50"/>
      <c r="L47" s="50"/>
      <c r="M47" s="50"/>
      <c r="N47" s="50"/>
      <c r="O47" s="50"/>
      <c r="P47" s="50"/>
      <c r="Q47" s="50"/>
    </row>
    <row r="49" spans="1:17" x14ac:dyDescent="0.2">
      <c r="B49" s="122" t="s">
        <v>101</v>
      </c>
      <c r="C49" s="106"/>
      <c r="D49" s="106"/>
      <c r="E49" s="106"/>
      <c r="F49" s="113"/>
    </row>
    <row r="50" spans="1:17" x14ac:dyDescent="0.2">
      <c r="B50" s="1" t="s">
        <v>28</v>
      </c>
      <c r="D50" s="65">
        <v>1</v>
      </c>
      <c r="F50" s="107" t="s">
        <v>19</v>
      </c>
    </row>
    <row r="51" spans="1:17" x14ac:dyDescent="0.2">
      <c r="B51" s="1" t="s">
        <v>29</v>
      </c>
      <c r="D51" s="65">
        <v>1</v>
      </c>
      <c r="F51" s="107" t="s">
        <v>21</v>
      </c>
    </row>
    <row r="52" spans="1:17" x14ac:dyDescent="0.2">
      <c r="B52" s="1" t="s">
        <v>56</v>
      </c>
      <c r="D52" s="65">
        <v>1</v>
      </c>
      <c r="F52" s="107" t="s">
        <v>20</v>
      </c>
    </row>
    <row r="53" spans="1:17" x14ac:dyDescent="0.2">
      <c r="B53" s="1" t="s">
        <v>31</v>
      </c>
      <c r="D53" s="65">
        <v>1</v>
      </c>
      <c r="F53" s="107" t="s">
        <v>20</v>
      </c>
    </row>
    <row r="54" spans="1:17" x14ac:dyDescent="0.2">
      <c r="B54" s="1" t="s">
        <v>32</v>
      </c>
      <c r="D54" s="65">
        <v>1</v>
      </c>
      <c r="F54" s="107" t="s">
        <v>21</v>
      </c>
    </row>
    <row r="57" spans="1:17" x14ac:dyDescent="0.2">
      <c r="A57" s="2" t="s">
        <v>105</v>
      </c>
      <c r="B57" s="2"/>
      <c r="C57" s="2"/>
      <c r="D57" s="2"/>
      <c r="E57" s="2"/>
      <c r="F57" s="83"/>
      <c r="G57" s="2"/>
      <c r="H57" s="83"/>
      <c r="I57" s="2"/>
      <c r="J57" s="2"/>
      <c r="K57" s="133">
        <v>2019</v>
      </c>
      <c r="L57" s="7">
        <v>2020</v>
      </c>
      <c r="M57" s="7"/>
      <c r="N57" s="7"/>
      <c r="O57" s="7"/>
      <c r="P57" s="7"/>
      <c r="Q57" s="7"/>
    </row>
    <row r="58" spans="1:17" x14ac:dyDescent="0.2">
      <c r="F58" s="62"/>
      <c r="G58" s="1"/>
    </row>
    <row r="59" spans="1:17" x14ac:dyDescent="0.2">
      <c r="B59" s="1" t="s">
        <v>106</v>
      </c>
      <c r="C59" s="134"/>
      <c r="D59" s="134"/>
      <c r="F59" s="135">
        <f>$D$16</f>
        <v>2019</v>
      </c>
      <c r="G59" s="1"/>
      <c r="K59" s="136">
        <v>338.65000000000003</v>
      </c>
      <c r="L59" s="136">
        <v>664.01960784313712</v>
      </c>
      <c r="N59" s="137" t="s">
        <v>164</v>
      </c>
    </row>
    <row r="60" spans="1:17" x14ac:dyDescent="0.2">
      <c r="B60" s="1" t="s">
        <v>107</v>
      </c>
      <c r="C60" s="134"/>
      <c r="F60" s="135">
        <f>$D$16</f>
        <v>2019</v>
      </c>
      <c r="G60" s="1"/>
      <c r="K60" s="136">
        <v>0</v>
      </c>
      <c r="L60" s="136">
        <v>475.24850604651158</v>
      </c>
      <c r="N60" s="137" t="s">
        <v>163</v>
      </c>
    </row>
    <row r="61" spans="1:17" x14ac:dyDescent="0.2">
      <c r="B61" s="70" t="s">
        <v>5</v>
      </c>
      <c r="C61" s="70"/>
      <c r="D61" s="70"/>
      <c r="E61" s="70"/>
      <c r="F61" s="138"/>
      <c r="G61" s="70"/>
      <c r="H61" s="96"/>
      <c r="I61" s="70"/>
      <c r="J61" s="70"/>
      <c r="K61" s="139">
        <f>SUM(K59:K60)</f>
        <v>338.65000000000003</v>
      </c>
      <c r="L61" s="139">
        <f>SUM(L59:L60)</f>
        <v>1139.2681138896487</v>
      </c>
    </row>
    <row r="62" spans="1:17" x14ac:dyDescent="0.2">
      <c r="F62" s="135"/>
      <c r="G62" s="1"/>
    </row>
    <row r="64" spans="1:17" x14ac:dyDescent="0.2">
      <c r="A64" s="2" t="s">
        <v>8</v>
      </c>
      <c r="B64" s="2"/>
      <c r="C64" s="2"/>
      <c r="D64" s="2"/>
      <c r="E64" s="2"/>
      <c r="F64" s="2"/>
      <c r="G64" s="83"/>
      <c r="H64" s="83"/>
      <c r="I64" s="2"/>
      <c r="J64" s="2"/>
      <c r="K64" s="7">
        <f>K14</f>
        <v>2019</v>
      </c>
      <c r="L64" s="7" t="s">
        <v>17</v>
      </c>
      <c r="M64" s="7" t="s">
        <v>18</v>
      </c>
      <c r="N64" s="7" t="s">
        <v>19</v>
      </c>
      <c r="O64" s="7" t="s">
        <v>20</v>
      </c>
      <c r="P64" s="7" t="s">
        <v>21</v>
      </c>
      <c r="Q64" s="7" t="s">
        <v>22</v>
      </c>
    </row>
    <row r="65" spans="1:19" x14ac:dyDescent="0.2">
      <c r="J65" s="29"/>
    </row>
    <row r="66" spans="1:19" x14ac:dyDescent="0.2">
      <c r="B66" s="1" t="s">
        <v>102</v>
      </c>
      <c r="F66" s="23" t="s">
        <v>72</v>
      </c>
      <c r="J66" s="29"/>
      <c r="K66" s="53">
        <f>SUMPRODUCT(($F$24:$F$54=K$64)*$C$24:$C$54)+J66</f>
        <v>9</v>
      </c>
      <c r="L66" s="53">
        <f t="shared" ref="L66:Q66" si="1">SUMPRODUCT(($F$24:$F$54=L$64)*$C$24:$C$54)+K66</f>
        <v>39</v>
      </c>
      <c r="M66" s="53">
        <f t="shared" si="1"/>
        <v>97</v>
      </c>
      <c r="N66" s="53">
        <f t="shared" si="1"/>
        <v>103</v>
      </c>
      <c r="O66" s="53">
        <f t="shared" si="1"/>
        <v>137</v>
      </c>
      <c r="P66" s="53">
        <f t="shared" si="1"/>
        <v>142</v>
      </c>
      <c r="Q66" s="53">
        <f t="shared" si="1"/>
        <v>142</v>
      </c>
    </row>
    <row r="67" spans="1:19" x14ac:dyDescent="0.2">
      <c r="B67" s="1" t="s">
        <v>103</v>
      </c>
      <c r="F67" s="23" t="s">
        <v>72</v>
      </c>
      <c r="J67" s="29"/>
      <c r="K67" s="53">
        <f>SUMPRODUCT(($F$24:$F$54=K$64)*$D$24:$D$54)+J67</f>
        <v>2</v>
      </c>
      <c r="L67" s="53">
        <f t="shared" ref="L67:Q67" si="2">SUMPRODUCT(($F$24:$F$54=L$64)*$D$24:$D$54)+K67</f>
        <v>9</v>
      </c>
      <c r="M67" s="53">
        <f t="shared" si="2"/>
        <v>25</v>
      </c>
      <c r="N67" s="53">
        <f t="shared" si="2"/>
        <v>28</v>
      </c>
      <c r="O67" s="53">
        <f t="shared" si="2"/>
        <v>40</v>
      </c>
      <c r="P67" s="53">
        <f t="shared" si="2"/>
        <v>45</v>
      </c>
      <c r="Q67" s="53">
        <f t="shared" si="2"/>
        <v>45</v>
      </c>
    </row>
    <row r="68" spans="1:19" x14ac:dyDescent="0.2">
      <c r="B68" s="1" t="s">
        <v>104</v>
      </c>
      <c r="F68" s="23" t="s">
        <v>72</v>
      </c>
      <c r="J68" s="29"/>
      <c r="K68" s="53">
        <f>COUNTIF($F$24:$F$47,K$64)+J68-IF(K$64=$F$31,1,0)</f>
        <v>2</v>
      </c>
      <c r="L68" s="53">
        <f t="shared" ref="L68:Q68" si="3">COUNTIF($F$24:$F$47,L$64)+K68-IF(L$64=$F$31,1,0)</f>
        <v>7</v>
      </c>
      <c r="M68" s="53">
        <f t="shared" si="3"/>
        <v>15</v>
      </c>
      <c r="N68" s="53">
        <f t="shared" si="3"/>
        <v>16</v>
      </c>
      <c r="O68" s="53">
        <f t="shared" si="3"/>
        <v>22</v>
      </c>
      <c r="P68" s="53">
        <f t="shared" si="3"/>
        <v>23</v>
      </c>
      <c r="Q68" s="53">
        <f t="shared" si="3"/>
        <v>23</v>
      </c>
    </row>
    <row r="69" spans="1:19" x14ac:dyDescent="0.2">
      <c r="F69" s="23"/>
      <c r="J69" s="29"/>
    </row>
    <row r="70" spans="1:19" x14ac:dyDescent="0.2">
      <c r="B70" s="40" t="s">
        <v>44</v>
      </c>
      <c r="C70" s="30"/>
      <c r="D70" s="30"/>
      <c r="E70" s="30"/>
      <c r="F70" s="127">
        <f>$D$16</f>
        <v>2019</v>
      </c>
      <c r="G70" s="124"/>
      <c r="H70" s="93"/>
      <c r="I70" s="30"/>
      <c r="J70" s="53"/>
      <c r="K70" s="53">
        <f>K68*$D$18/1000</f>
        <v>31.335790798268867</v>
      </c>
      <c r="L70" s="53">
        <f t="shared" ref="L70:Q70" si="4">L68*$D$18/1000</f>
        <v>109.67526779394103</v>
      </c>
      <c r="M70" s="53">
        <f t="shared" si="4"/>
        <v>235.0184309870165</v>
      </c>
      <c r="N70" s="53">
        <f t="shared" si="4"/>
        <v>250.68632638615094</v>
      </c>
      <c r="O70" s="53">
        <f t="shared" si="4"/>
        <v>344.69369878095756</v>
      </c>
      <c r="P70" s="53">
        <f t="shared" si="4"/>
        <v>360.36159418009197</v>
      </c>
      <c r="Q70" s="53">
        <f t="shared" si="4"/>
        <v>360.36159418009197</v>
      </c>
    </row>
    <row r="71" spans="1:19" x14ac:dyDescent="0.2">
      <c r="B71" s="1" t="s">
        <v>45</v>
      </c>
      <c r="D71" s="31"/>
      <c r="E71" s="31"/>
      <c r="F71" s="127">
        <f>$D$16</f>
        <v>2019</v>
      </c>
      <c r="G71" s="124"/>
      <c r="I71" s="30"/>
      <c r="J71" s="53"/>
      <c r="K71" s="53">
        <f>(K68*$D$19+K$66*$D$20)/1000</f>
        <v>88.257930668867516</v>
      </c>
      <c r="L71" s="53">
        <f t="shared" ref="L71:Q71" si="5">(L68*$D$19+L$66*$D$20)/1000</f>
        <v>332.40108677189119</v>
      </c>
      <c r="M71" s="53">
        <f t="shared" si="5"/>
        <v>754.36124244453549</v>
      </c>
      <c r="N71" s="53">
        <f t="shared" si="5"/>
        <v>803.18987366514023</v>
      </c>
      <c r="O71" s="53">
        <f t="shared" si="5"/>
        <v>1089.8954398072074</v>
      </c>
      <c r="P71" s="53">
        <f t="shared" si="5"/>
        <v>1135.5909604370315</v>
      </c>
      <c r="Q71" s="53">
        <f t="shared" si="5"/>
        <v>1135.5909604370315</v>
      </c>
    </row>
    <row r="72" spans="1:19" x14ac:dyDescent="0.2">
      <c r="B72" s="1" t="s">
        <v>46</v>
      </c>
      <c r="E72" s="32"/>
      <c r="F72" s="127">
        <f>$D$16</f>
        <v>2019</v>
      </c>
      <c r="G72" s="124"/>
      <c r="H72" s="95"/>
      <c r="I72" s="30"/>
      <c r="J72" s="53"/>
      <c r="K72" s="53">
        <f>K67*$D$21/1000</f>
        <v>19.218141429163829</v>
      </c>
      <c r="L72" s="53">
        <f t="shared" ref="L72:Q72" si="6">L67*$D$21/1000</f>
        <v>86.481636431237234</v>
      </c>
      <c r="M72" s="53">
        <f t="shared" si="6"/>
        <v>240.22676786454784</v>
      </c>
      <c r="N72" s="53">
        <f t="shared" si="6"/>
        <v>269.05398000829359</v>
      </c>
      <c r="O72" s="53">
        <f t="shared" si="6"/>
        <v>384.36282858327661</v>
      </c>
      <c r="P72" s="53">
        <f t="shared" si="6"/>
        <v>432.40818215618617</v>
      </c>
      <c r="Q72" s="53">
        <f t="shared" si="6"/>
        <v>432.40818215618617</v>
      </c>
    </row>
    <row r="73" spans="1:19" x14ac:dyDescent="0.2">
      <c r="B73" s="5"/>
      <c r="C73" s="5"/>
      <c r="E73" s="32"/>
      <c r="F73" s="23"/>
      <c r="H73" s="95"/>
      <c r="I73" s="30"/>
      <c r="J73" s="30"/>
      <c r="K73" s="30"/>
      <c r="L73" s="30"/>
      <c r="M73" s="29"/>
      <c r="N73" s="29"/>
      <c r="O73" s="29"/>
      <c r="P73" s="29"/>
      <c r="Q73" s="29"/>
    </row>
    <row r="74" spans="1:19" ht="13.5" thickBot="1" x14ac:dyDescent="0.25">
      <c r="B74" s="33" t="s">
        <v>108</v>
      </c>
      <c r="C74" s="33"/>
      <c r="D74" s="33"/>
      <c r="E74" s="33"/>
      <c r="F74" s="128"/>
      <c r="G74" s="90"/>
      <c r="H74" s="90"/>
      <c r="I74" s="33"/>
      <c r="J74" s="105"/>
      <c r="K74" s="105">
        <f t="shared" ref="K74:Q74" si="7">SUM(K70:K73)</f>
        <v>138.81186289630023</v>
      </c>
      <c r="L74" s="105">
        <f t="shared" si="7"/>
        <v>528.55799099706951</v>
      </c>
      <c r="M74" s="105">
        <f t="shared" si="7"/>
        <v>1229.6064412960998</v>
      </c>
      <c r="N74" s="105">
        <f t="shared" si="7"/>
        <v>1322.9301800595847</v>
      </c>
      <c r="O74" s="105">
        <f t="shared" si="7"/>
        <v>1818.9519671714415</v>
      </c>
      <c r="P74" s="105">
        <f t="shared" si="7"/>
        <v>1928.3607367733098</v>
      </c>
      <c r="Q74" s="105">
        <f t="shared" si="7"/>
        <v>1928.3607367733098</v>
      </c>
    </row>
    <row r="75" spans="1:19" ht="13.5" thickTop="1" x14ac:dyDescent="0.2">
      <c r="B75" s="30"/>
      <c r="C75" s="30"/>
      <c r="D75" s="30"/>
      <c r="E75" s="30"/>
      <c r="F75" s="140"/>
      <c r="G75" s="93"/>
      <c r="H75" s="93"/>
      <c r="I75" s="30"/>
      <c r="J75" s="141"/>
      <c r="K75" s="141"/>
      <c r="L75" s="141"/>
      <c r="M75" s="141"/>
      <c r="N75" s="141"/>
      <c r="O75" s="141"/>
      <c r="P75" s="141"/>
      <c r="Q75" s="141"/>
    </row>
    <row r="76" spans="1:19" x14ac:dyDescent="0.2">
      <c r="B76" s="1" t="s">
        <v>109</v>
      </c>
      <c r="E76" s="142"/>
      <c r="F76" s="23"/>
      <c r="G76" s="142"/>
      <c r="K76" s="136"/>
      <c r="L76" s="136"/>
      <c r="M76" s="136">
        <f>-($L$61-$K$61)</f>
        <v>-800.61811388964861</v>
      </c>
      <c r="N76" s="136">
        <f t="shared" ref="N76:Q76" si="8">-($L$61-$K$61)</f>
        <v>-800.61811388964861</v>
      </c>
      <c r="O76" s="136">
        <f t="shared" si="8"/>
        <v>-800.61811388964861</v>
      </c>
      <c r="P76" s="136">
        <f t="shared" si="8"/>
        <v>-800.61811388964861</v>
      </c>
      <c r="Q76" s="136">
        <f t="shared" si="8"/>
        <v>-800.61811388964861</v>
      </c>
      <c r="S76" s="143">
        <f>SUM(M76:Q76)</f>
        <v>-4003.0905694482431</v>
      </c>
    </row>
    <row r="77" spans="1:19" x14ac:dyDescent="0.2">
      <c r="B77" s="1" t="s">
        <v>110</v>
      </c>
      <c r="C77" s="5"/>
      <c r="E77" s="32"/>
      <c r="F77" s="23"/>
      <c r="G77" s="32"/>
      <c r="I77" s="5"/>
      <c r="J77" s="5"/>
      <c r="K77" s="5"/>
      <c r="L77" s="5"/>
      <c r="M77" s="136">
        <f>-$K$74</f>
        <v>-138.81186289630023</v>
      </c>
      <c r="N77" s="136">
        <f t="shared" ref="N77:Q77" si="9">-$K$74</f>
        <v>-138.81186289630023</v>
      </c>
      <c r="O77" s="136">
        <f t="shared" si="9"/>
        <v>-138.81186289630023</v>
      </c>
      <c r="P77" s="136">
        <f t="shared" si="9"/>
        <v>-138.81186289630023</v>
      </c>
      <c r="Q77" s="136">
        <f t="shared" si="9"/>
        <v>-138.81186289630023</v>
      </c>
      <c r="S77" s="143">
        <f>SUM(M77:Q77)</f>
        <v>-694.05931448150113</v>
      </c>
    </row>
    <row r="78" spans="1:19" x14ac:dyDescent="0.2">
      <c r="B78" s="119" t="s">
        <v>10</v>
      </c>
      <c r="C78" s="119"/>
      <c r="D78" s="119"/>
      <c r="E78" s="119"/>
      <c r="F78" s="144">
        <f>$D$16</f>
        <v>2019</v>
      </c>
      <c r="G78" s="119"/>
      <c r="H78" s="120"/>
      <c r="I78" s="119"/>
      <c r="J78" s="119"/>
      <c r="K78" s="79"/>
      <c r="L78" s="79"/>
      <c r="M78" s="79">
        <f>SUM(M74:M77)</f>
        <v>290.17646451015094</v>
      </c>
      <c r="N78" s="79">
        <f>SUM(N74:N77)</f>
        <v>383.50020327363586</v>
      </c>
      <c r="O78" s="79">
        <f>SUM(O74:O77)</f>
        <v>879.5219903854927</v>
      </c>
      <c r="P78" s="79">
        <f>SUM(P74:P77)</f>
        <v>988.93075998736094</v>
      </c>
      <c r="Q78" s="79">
        <f>SUM(Q74:Q77)</f>
        <v>988.93075998736094</v>
      </c>
      <c r="S78" s="79">
        <f>SUM(M78:Q78)</f>
        <v>3531.0601781440014</v>
      </c>
    </row>
    <row r="79" spans="1:19" x14ac:dyDescent="0.2">
      <c r="B79" s="5"/>
      <c r="C79" s="5"/>
      <c r="E79" s="32"/>
      <c r="F79" s="23"/>
      <c r="H79" s="95"/>
      <c r="I79" s="30"/>
      <c r="J79" s="30"/>
      <c r="K79" s="30"/>
      <c r="L79" s="30"/>
      <c r="M79" s="29"/>
      <c r="N79" s="29"/>
      <c r="O79" s="29"/>
      <c r="P79" s="29"/>
      <c r="Q79" s="29"/>
    </row>
    <row r="80" spans="1:19" x14ac:dyDescent="0.2">
      <c r="A80" s="2" t="s">
        <v>75</v>
      </c>
      <c r="B80" s="2"/>
      <c r="C80" s="2"/>
      <c r="D80" s="2"/>
      <c r="E80" s="2"/>
      <c r="F80" s="7"/>
      <c r="G80" s="83"/>
      <c r="H80" s="83"/>
      <c r="I80" s="2"/>
      <c r="J80" s="2"/>
      <c r="K80" s="7">
        <v>2019</v>
      </c>
      <c r="L80" s="7">
        <v>2020</v>
      </c>
      <c r="M80" s="7" t="s">
        <v>18</v>
      </c>
      <c r="N80" s="7" t="s">
        <v>19</v>
      </c>
      <c r="O80" s="7" t="s">
        <v>20</v>
      </c>
      <c r="P80" s="7" t="s">
        <v>21</v>
      </c>
      <c r="Q80" s="7" t="s">
        <v>22</v>
      </c>
      <c r="S80" s="7" t="s">
        <v>60</v>
      </c>
    </row>
    <row r="81" spans="1:20" s="13" customFormat="1" x14ac:dyDescent="0.2">
      <c r="A81" s="11"/>
      <c r="B81" s="11"/>
      <c r="C81" s="11"/>
      <c r="D81" s="11"/>
      <c r="E81" s="11"/>
      <c r="F81" s="12"/>
      <c r="G81" s="85"/>
      <c r="H81" s="85"/>
      <c r="I81" s="11"/>
      <c r="J81" s="11"/>
      <c r="K81" s="11"/>
      <c r="L81" s="11"/>
      <c r="M81" s="11"/>
      <c r="N81" s="11"/>
      <c r="O81" s="11"/>
      <c r="P81" s="11"/>
      <c r="Q81" s="11"/>
      <c r="R81" s="1"/>
      <c r="S81" s="77"/>
      <c r="T81" s="1"/>
    </row>
    <row r="82" spans="1:20" x14ac:dyDescent="0.2">
      <c r="B82" s="76" t="s">
        <v>76</v>
      </c>
      <c r="C82" s="76"/>
      <c r="D82" s="76"/>
      <c r="E82" s="76"/>
      <c r="F82" s="129">
        <f>$D$16</f>
        <v>2019</v>
      </c>
      <c r="G82" s="125"/>
      <c r="H82" s="94"/>
      <c r="I82" s="76"/>
      <c r="J82" s="76"/>
      <c r="K82" s="76"/>
      <c r="L82" s="77"/>
      <c r="M82" s="208">
        <f>M78</f>
        <v>290.17646451015094</v>
      </c>
      <c r="N82" s="208">
        <f t="shared" ref="N82:Q82" si="10">N78</f>
        <v>383.50020327363586</v>
      </c>
      <c r="O82" s="208">
        <f t="shared" si="10"/>
        <v>879.5219903854927</v>
      </c>
      <c r="P82" s="208">
        <f t="shared" si="10"/>
        <v>988.93075998736094</v>
      </c>
      <c r="Q82" s="208">
        <f t="shared" si="10"/>
        <v>988.93075998736094</v>
      </c>
      <c r="S82" s="77">
        <f>SUM(M82:Q82)</f>
        <v>3531.0601781440014</v>
      </c>
    </row>
    <row r="83" spans="1:20" x14ac:dyDescent="0.2">
      <c r="B83" s="74" t="str">
        <f ca="1">"Total: "&amp;$A$1&amp;" "&amp;$A$2</f>
        <v>Total: Powercor REFCL opex</v>
      </c>
      <c r="C83" s="74"/>
      <c r="D83" s="74"/>
      <c r="E83" s="74"/>
      <c r="F83" s="129" t="str">
        <f>"$"&amp;Year_of_Currency</f>
        <v>$2020/21</v>
      </c>
      <c r="G83" s="125"/>
      <c r="H83" s="87"/>
      <c r="I83" s="74"/>
      <c r="J83" s="74"/>
      <c r="K83" s="75"/>
      <c r="L83" s="75"/>
      <c r="M83" s="209">
        <f>M82*INDEX(Assumptions!$G$18:$M$18, MATCH($F82, Assumptions!$G$16:$M$16,0))</f>
        <v>296.94741426384348</v>
      </c>
      <c r="N83" s="209">
        <f>N82*INDEX(Assumptions!$G$18:$M$18, MATCH($F82, Assumptions!$G$16:$M$16,0))</f>
        <v>392.44876018461792</v>
      </c>
      <c r="O83" s="209">
        <f>O82*INDEX(Assumptions!$G$18:$M$18, MATCH($F82, Assumptions!$G$16:$M$16,0))</f>
        <v>900.04467203791694</v>
      </c>
      <c r="P83" s="209">
        <f>P82*INDEX(Assumptions!$G$18:$M$18, MATCH($F82, Assumptions!$G$16:$M$16,0))</f>
        <v>1012.0063753618158</v>
      </c>
      <c r="Q83" s="209">
        <f>Q82*INDEX(Assumptions!$G$18:$M$18, MATCH($F82, Assumptions!$G$16:$M$16,0))</f>
        <v>1012.0063753618158</v>
      </c>
      <c r="S83" s="75">
        <f>SUM(M83:Q83)</f>
        <v>3613.4535972100102</v>
      </c>
    </row>
    <row r="84" spans="1:20" x14ac:dyDescent="0.2">
      <c r="F84" s="23"/>
      <c r="S84" s="39"/>
    </row>
    <row r="85" spans="1:20" x14ac:dyDescent="0.2">
      <c r="F85" s="23"/>
      <c r="S85" s="39"/>
    </row>
    <row r="86" spans="1:20" x14ac:dyDescent="0.2">
      <c r="A86" s="2" t="s">
        <v>86</v>
      </c>
      <c r="B86" s="2"/>
      <c r="C86" s="2"/>
      <c r="D86" s="2"/>
      <c r="E86" s="2"/>
      <c r="F86" s="7"/>
      <c r="G86" s="83"/>
      <c r="H86" s="83"/>
      <c r="I86" s="2"/>
      <c r="J86" s="2"/>
      <c r="K86" s="7">
        <v>2019</v>
      </c>
      <c r="L86" s="7">
        <v>2020</v>
      </c>
      <c r="M86" s="7" t="s">
        <v>18</v>
      </c>
      <c r="N86" s="7" t="s">
        <v>19</v>
      </c>
      <c r="O86" s="7" t="s">
        <v>20</v>
      </c>
      <c r="P86" s="7" t="s">
        <v>21</v>
      </c>
      <c r="Q86" s="7" t="s">
        <v>22</v>
      </c>
      <c r="S86" s="7" t="s">
        <v>60</v>
      </c>
    </row>
    <row r="87" spans="1:20" x14ac:dyDescent="0.2">
      <c r="F87" s="130"/>
      <c r="G87" s="97"/>
      <c r="J87" s="39"/>
      <c r="K87" s="39"/>
      <c r="L87" s="39"/>
      <c r="M87" s="39"/>
      <c r="N87" s="39"/>
      <c r="O87" s="39"/>
      <c r="P87" s="39"/>
      <c r="Q87" s="39"/>
      <c r="S87" s="39"/>
    </row>
    <row r="88" spans="1:20" x14ac:dyDescent="0.2">
      <c r="B88" s="1" t="str">
        <f ca="1">"Powercor "&amp;$A$2 &amp;" allocated cost"</f>
        <v>Powercor REFCL opex allocated cost</v>
      </c>
      <c r="C88" s="80">
        <v>1</v>
      </c>
      <c r="F88" s="131" t="s">
        <v>162</v>
      </c>
      <c r="G88" s="126"/>
      <c r="J88" s="39"/>
      <c r="K88" s="39"/>
      <c r="L88" s="39"/>
      <c r="M88" s="53">
        <f>M$83*$C88</f>
        <v>296.94741426384348</v>
      </c>
      <c r="N88" s="53">
        <f t="shared" ref="N88:Q88" si="11">N$83*$C88</f>
        <v>392.44876018461792</v>
      </c>
      <c r="O88" s="53">
        <f t="shared" si="11"/>
        <v>900.04467203791694</v>
      </c>
      <c r="P88" s="53">
        <f t="shared" si="11"/>
        <v>1012.0063753618158</v>
      </c>
      <c r="Q88" s="53">
        <f t="shared" si="11"/>
        <v>1012.0063753618158</v>
      </c>
      <c r="S88" s="37">
        <f>SUM(M88:Q88)</f>
        <v>3613.4535972100102</v>
      </c>
    </row>
    <row r="89" spans="1:20" x14ac:dyDescent="0.2">
      <c r="F89" s="131"/>
      <c r="G89" s="126"/>
      <c r="J89" s="39"/>
      <c r="K89" s="39"/>
      <c r="L89" s="39"/>
      <c r="M89" s="39"/>
      <c r="N89" s="39"/>
      <c r="O89" s="39"/>
      <c r="P89" s="39"/>
      <c r="Q89" s="39"/>
      <c r="S89" s="104"/>
    </row>
    <row r="90" spans="1:20" x14ac:dyDescent="0.2">
      <c r="B90" s="5" t="s">
        <v>80</v>
      </c>
      <c r="F90" s="131"/>
      <c r="G90" s="126"/>
      <c r="J90" s="39"/>
      <c r="K90" s="39"/>
      <c r="L90" s="39"/>
      <c r="M90" s="39"/>
      <c r="N90" s="39"/>
      <c r="O90" s="39"/>
      <c r="P90" s="39"/>
      <c r="Q90" s="39"/>
      <c r="S90" s="104"/>
    </row>
    <row r="91" spans="1:20" ht="13.5" thickBot="1" x14ac:dyDescent="0.25">
      <c r="B91" s="154" t="str">
        <f ca="1">"Powercor "&amp;$A$2</f>
        <v>Powercor REFCL opex</v>
      </c>
      <c r="C91" s="155" t="s">
        <v>81</v>
      </c>
      <c r="D91" s="154"/>
      <c r="E91" s="154"/>
      <c r="F91" s="154" t="s">
        <v>162</v>
      </c>
      <c r="G91" s="156"/>
      <c r="H91" s="157"/>
      <c r="I91" s="154"/>
      <c r="J91" s="158"/>
      <c r="K91" s="158"/>
      <c r="L91" s="159"/>
      <c r="M91" s="159">
        <f>M88*Assumptions!N$37</f>
        <v>298.31194263240303</v>
      </c>
      <c r="N91" s="159">
        <f>N88*Assumptions!O$37</f>
        <v>395.40999388132411</v>
      </c>
      <c r="O91" s="159">
        <f>O88*Assumptions!P$37</f>
        <v>910.33224283276934</v>
      </c>
      <c r="P91" s="159">
        <f>P88*Assumptions!Q$37</f>
        <v>1029.5936271080479</v>
      </c>
      <c r="Q91" s="159">
        <f>Q88*Assumptions!R$37</f>
        <v>1037.5633519228033</v>
      </c>
      <c r="R91" s="53"/>
      <c r="S91" s="159">
        <f>SUM(M91:Q91)</f>
        <v>3671.2111583773476</v>
      </c>
    </row>
    <row r="92" spans="1:20" ht="13.5" thickTop="1" x14ac:dyDescent="0.2">
      <c r="F92" s="130"/>
      <c r="G92" s="97"/>
      <c r="J92" s="9"/>
      <c r="K92" s="9"/>
      <c r="L92" s="9"/>
      <c r="M92" s="9"/>
      <c r="N92" s="9"/>
      <c r="O92" s="9"/>
      <c r="P92" s="9"/>
      <c r="Q92" s="9"/>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FFFF00"/>
  </sheetPr>
  <dimension ref="A1:Y23"/>
  <sheetViews>
    <sheetView showGridLines="0" zoomScale="80" zoomScaleNormal="80" workbookViewId="0">
      <pane xSplit="2" ySplit="2" topLeftCell="C3" activePane="bottomRight" state="frozen"/>
      <selection activeCell="K43" sqref="K43"/>
      <selection pane="topRight" activeCell="K43" sqref="K43"/>
      <selection pane="bottomLeft" activeCell="K43" sqref="K43"/>
      <selection pane="bottomRight" activeCell="A4" sqref="A4"/>
    </sheetView>
  </sheetViews>
  <sheetFormatPr defaultColWidth="9" defaultRowHeight="12.75" x14ac:dyDescent="0.2"/>
  <cols>
    <col min="1" max="1" width="2" style="1" customWidth="1"/>
    <col min="2" max="2" width="43.125" style="1" customWidth="1"/>
    <col min="3" max="3" width="17.25" style="1" customWidth="1"/>
    <col min="4" max="4" width="13.125" style="1" customWidth="1"/>
    <col min="5" max="5" width="16" style="1" customWidth="1"/>
    <col min="6" max="6" width="1.625" style="1" customWidth="1"/>
    <col min="7" max="7" width="11.375" style="62" customWidth="1"/>
    <col min="8" max="8" width="17" style="62" customWidth="1"/>
    <col min="9" max="9" width="5.875" style="1" customWidth="1"/>
    <col min="10" max="10" width="9.75" style="1" customWidth="1"/>
    <col min="11" max="12" width="6.125" style="1" customWidth="1"/>
    <col min="13" max="16" width="9" style="1"/>
    <col min="17" max="17" width="9" style="1" customWidth="1"/>
    <col min="18" max="18" width="2.5" style="1" customWidth="1"/>
    <col min="19" max="16384" width="9" style="1"/>
  </cols>
  <sheetData>
    <row r="1" spans="1:25" ht="21" x14ac:dyDescent="0.35">
      <c r="A1" s="3" t="s">
        <v>4</v>
      </c>
      <c r="G1" s="197" t="s">
        <v>161</v>
      </c>
      <c r="H1" s="196" t="s">
        <v>158</v>
      </c>
    </row>
    <row r="2" spans="1:25" ht="18.75" x14ac:dyDescent="0.3">
      <c r="A2" s="8" t="str">
        <f ca="1">RIGHT(CELL("filename",A1),LEN(CELL("filename",A1))-FIND("]",CELL("filename",A1),1))</f>
        <v>IT cloud solutions</v>
      </c>
    </row>
    <row r="3" spans="1:25" x14ac:dyDescent="0.2">
      <c r="A3" s="1" t="s">
        <v>51</v>
      </c>
    </row>
    <row r="5" spans="1:25" x14ac:dyDescent="0.2">
      <c r="A5" s="2" t="s">
        <v>61</v>
      </c>
      <c r="B5" s="2"/>
      <c r="C5" s="2"/>
      <c r="D5" s="2"/>
      <c r="E5" s="2"/>
      <c r="F5" s="2"/>
      <c r="G5" s="83"/>
      <c r="H5" s="83"/>
      <c r="I5" s="2"/>
      <c r="J5" s="2"/>
      <c r="K5" s="7"/>
      <c r="L5" s="7"/>
      <c r="M5" s="7"/>
      <c r="N5" s="7"/>
      <c r="O5" s="7"/>
      <c r="P5" s="7"/>
      <c r="Q5" s="7"/>
    </row>
    <row r="6" spans="1:25" x14ac:dyDescent="0.2">
      <c r="B6" s="223"/>
      <c r="C6" s="223"/>
      <c r="D6" s="223"/>
      <c r="E6" s="223"/>
      <c r="F6" s="223"/>
      <c r="G6" s="223"/>
      <c r="H6" s="223"/>
    </row>
    <row r="7" spans="1:25" x14ac:dyDescent="0.2">
      <c r="B7" s="60"/>
      <c r="C7" s="60"/>
      <c r="D7" s="60"/>
      <c r="E7" s="60"/>
      <c r="F7" s="60"/>
      <c r="G7" s="71"/>
      <c r="H7" s="71"/>
    </row>
    <row r="9" spans="1:25" x14ac:dyDescent="0.2">
      <c r="B9" s="5" t="s">
        <v>59</v>
      </c>
    </row>
    <row r="10" spans="1:25" x14ac:dyDescent="0.2">
      <c r="B10" s="1" t="s">
        <v>62</v>
      </c>
    </row>
    <row r="11" spans="1:25" x14ac:dyDescent="0.2">
      <c r="B11" s="1" t="s">
        <v>97</v>
      </c>
    </row>
    <row r="12" spans="1:25" x14ac:dyDescent="0.2">
      <c r="B12" s="63" t="s">
        <v>95</v>
      </c>
    </row>
    <row r="15" spans="1:25" x14ac:dyDescent="0.2">
      <c r="A15" s="2" t="s">
        <v>75</v>
      </c>
      <c r="B15" s="2"/>
      <c r="C15" s="2"/>
      <c r="D15" s="2"/>
      <c r="E15" s="2"/>
      <c r="F15" s="2"/>
      <c r="G15" s="83"/>
      <c r="H15" s="83"/>
      <c r="I15" s="2"/>
      <c r="J15" s="2"/>
      <c r="K15" s="7">
        <v>2019</v>
      </c>
      <c r="L15" s="7">
        <v>2020</v>
      </c>
      <c r="M15" s="7" t="s">
        <v>18</v>
      </c>
      <c r="N15" s="7" t="s">
        <v>19</v>
      </c>
      <c r="O15" s="7" t="s">
        <v>20</v>
      </c>
      <c r="P15" s="7" t="s">
        <v>21</v>
      </c>
      <c r="Q15" s="7" t="s">
        <v>22</v>
      </c>
      <c r="S15" s="7" t="s">
        <v>60</v>
      </c>
    </row>
    <row r="16" spans="1:25" x14ac:dyDescent="0.2">
      <c r="A16" s="11"/>
      <c r="B16" s="11"/>
      <c r="C16" s="11"/>
      <c r="D16" s="11"/>
      <c r="E16" s="11"/>
      <c r="F16" s="11"/>
      <c r="G16" s="99"/>
      <c r="H16" s="85"/>
      <c r="I16" s="12"/>
      <c r="J16" s="11"/>
      <c r="K16" s="11"/>
      <c r="L16" s="11"/>
      <c r="S16" s="77"/>
      <c r="T16" s="13"/>
      <c r="U16" s="13"/>
      <c r="V16" s="13"/>
      <c r="W16" s="13"/>
      <c r="X16" s="13"/>
      <c r="Y16" s="13"/>
    </row>
    <row r="17" spans="2:19" x14ac:dyDescent="0.2">
      <c r="B17" s="1" t="str">
        <f ca="1">"Powercor "&amp;$A$2 &amp;" allocated cost"</f>
        <v>Powercor IT cloud solutions allocated cost</v>
      </c>
      <c r="C17" s="153" t="s">
        <v>122</v>
      </c>
      <c r="G17" s="98" t="s">
        <v>162</v>
      </c>
      <c r="J17" s="39"/>
      <c r="K17" s="39"/>
      <c r="L17" s="39"/>
      <c r="M17" s="200">
        <v>826.8859099208446</v>
      </c>
      <c r="N17" s="200">
        <v>815.81142021650066</v>
      </c>
      <c r="O17" s="200">
        <v>1162.6403556473604</v>
      </c>
      <c r="P17" s="200">
        <v>1371.7945899589961</v>
      </c>
      <c r="Q17" s="200">
        <v>1356.351920696181</v>
      </c>
      <c r="S17" s="37">
        <f>SUM(M17:Q17)</f>
        <v>5533.4841964398829</v>
      </c>
    </row>
    <row r="18" spans="2:19" x14ac:dyDescent="0.2">
      <c r="B18" s="1" t="str">
        <f ca="1">"CitiPower "&amp;$A$2 &amp;" allocated cost"</f>
        <v>CitiPower IT cloud solutions allocated cost</v>
      </c>
      <c r="C18" s="153" t="s">
        <v>122</v>
      </c>
      <c r="G18" s="98" t="s">
        <v>162</v>
      </c>
      <c r="J18" s="39"/>
      <c r="K18" s="39"/>
      <c r="L18" s="39"/>
      <c r="M18" s="200">
        <v>327.21389692130475</v>
      </c>
      <c r="N18" s="200">
        <v>322.83151854347011</v>
      </c>
      <c r="O18" s="200">
        <v>460.07807960564008</v>
      </c>
      <c r="P18" s="200">
        <v>542.84424026407169</v>
      </c>
      <c r="Q18" s="200">
        <v>536.73329324256986</v>
      </c>
      <c r="S18" s="37">
        <f>SUM(M18:Q18)</f>
        <v>2189.7010285770566</v>
      </c>
    </row>
    <row r="19" spans="2:19" x14ac:dyDescent="0.2">
      <c r="C19" s="101"/>
      <c r="G19" s="97"/>
      <c r="J19" s="39"/>
      <c r="K19" s="39"/>
      <c r="L19" s="39"/>
      <c r="M19" s="39"/>
      <c r="N19" s="39"/>
      <c r="O19" s="39"/>
      <c r="P19" s="39"/>
      <c r="Q19" s="39"/>
      <c r="S19" s="104"/>
    </row>
    <row r="20" spans="2:19" x14ac:dyDescent="0.2">
      <c r="B20" s="5" t="s">
        <v>80</v>
      </c>
      <c r="C20" s="101"/>
      <c r="G20" s="97"/>
      <c r="J20" s="39"/>
      <c r="K20" s="39"/>
      <c r="L20" s="39"/>
      <c r="M20" s="39"/>
      <c r="N20" s="39"/>
      <c r="O20" s="39"/>
      <c r="P20" s="39"/>
      <c r="Q20" s="39"/>
      <c r="S20" s="104"/>
    </row>
    <row r="21" spans="2:19" ht="13.5" thickBot="1" x14ac:dyDescent="0.25">
      <c r="B21" s="154" t="str">
        <f ca="1">"Powercor "&amp;$A$2</f>
        <v>Powercor IT cloud solutions</v>
      </c>
      <c r="C21" s="155" t="s">
        <v>81</v>
      </c>
      <c r="D21" s="154"/>
      <c r="E21" s="154"/>
      <c r="F21" s="154"/>
      <c r="G21" s="156" t="s">
        <v>162</v>
      </c>
      <c r="H21" s="157"/>
      <c r="I21" s="154"/>
      <c r="J21" s="158"/>
      <c r="K21" s="158"/>
      <c r="L21" s="159"/>
      <c r="M21" s="159">
        <f>M17*Assumptions!N$37</f>
        <v>830.68560383111594</v>
      </c>
      <c r="N21" s="159">
        <f>N17*Assumptions!O$37</f>
        <v>821.96714935313082</v>
      </c>
      <c r="O21" s="159">
        <f>O17*Assumptions!P$37</f>
        <v>1175.9294126678221</v>
      </c>
      <c r="P21" s="159">
        <f>P17*Assumptions!Q$37</f>
        <v>1395.6344563719942</v>
      </c>
      <c r="Q21" s="159">
        <f>Q17*Assumptions!R$37</f>
        <v>1390.6049205681329</v>
      </c>
      <c r="R21" s="53"/>
      <c r="S21" s="159">
        <f>SUM(M21:Q21)</f>
        <v>5614.8215427921959</v>
      </c>
    </row>
    <row r="22" spans="2:19" ht="13.5" thickTop="1" x14ac:dyDescent="0.2">
      <c r="C22" s="101"/>
      <c r="G22" s="98"/>
      <c r="J22" s="39"/>
      <c r="K22" s="39"/>
      <c r="L22" s="39"/>
      <c r="M22" s="53"/>
      <c r="N22" s="53"/>
      <c r="O22" s="53"/>
      <c r="P22" s="53"/>
      <c r="Q22" s="53"/>
      <c r="S22" s="37"/>
    </row>
    <row r="23" spans="2:19" x14ac:dyDescent="0.2">
      <c r="G23" s="97"/>
      <c r="J23" s="9"/>
      <c r="K23" s="9"/>
      <c r="L23" s="9"/>
      <c r="M23" s="9"/>
      <c r="N23" s="9"/>
      <c r="O23" s="9"/>
      <c r="P23" s="9"/>
      <c r="Q23" s="9"/>
    </row>
  </sheetData>
  <mergeCells count="1">
    <mergeCell ref="B6:H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FF00"/>
  </sheetPr>
  <dimension ref="A1:W39"/>
  <sheetViews>
    <sheetView showGridLines="0" zoomScale="80" zoomScaleNormal="80" workbookViewId="0">
      <pane xSplit="2" ySplit="2" topLeftCell="C3" activePane="bottomRight" state="frozen"/>
      <selection activeCell="C3" sqref="C3"/>
      <selection pane="topRight" activeCell="C3" sqref="C3"/>
      <selection pane="bottomLeft" activeCell="C3" sqref="C3"/>
      <selection pane="bottomRight" activeCell="A3" sqref="A3"/>
    </sheetView>
  </sheetViews>
  <sheetFormatPr defaultColWidth="9" defaultRowHeight="12.75" x14ac:dyDescent="0.2"/>
  <cols>
    <col min="1" max="1" width="2" style="42" customWidth="1"/>
    <col min="2" max="2" width="43.125" style="42" customWidth="1"/>
    <col min="3" max="3" width="17.25" style="42" customWidth="1"/>
    <col min="4" max="4" width="13.125" style="42" customWidth="1"/>
    <col min="5" max="5" width="16" style="42" customWidth="1"/>
    <col min="6" max="6" width="2.5" style="42" customWidth="1"/>
    <col min="7" max="7" width="11.375" style="88" customWidth="1"/>
    <col min="8" max="8" width="17" style="88" customWidth="1"/>
    <col min="9" max="9" width="5.875" style="42" customWidth="1"/>
    <col min="10" max="10" width="9.75" style="42" customWidth="1"/>
    <col min="11" max="11" width="10.875" style="42" customWidth="1"/>
    <col min="12" max="17" width="11.75" style="42" customWidth="1"/>
    <col min="18" max="18" width="2.5" style="42" customWidth="1"/>
    <col min="19" max="19" width="11.125" style="42" customWidth="1"/>
    <col min="20" max="16384" width="9" style="42"/>
  </cols>
  <sheetData>
    <row r="1" spans="1:18" ht="21" x14ac:dyDescent="0.35">
      <c r="A1" s="3" t="s">
        <v>7</v>
      </c>
      <c r="H1" s="197" t="s">
        <v>161</v>
      </c>
      <c r="I1" s="196" t="s">
        <v>158</v>
      </c>
    </row>
    <row r="2" spans="1:18" ht="18.75" x14ac:dyDescent="0.3">
      <c r="A2" s="43" t="str">
        <f ca="1">RIGHT(CELL("filename",A1),LEN(CELL("filename",A1))-FIND("]",CELL("filename",A1),1))</f>
        <v>Increasing insurance premiums</v>
      </c>
      <c r="J2" s="44"/>
      <c r="K2" s="44"/>
      <c r="L2" s="44"/>
      <c r="M2" s="44"/>
      <c r="N2" s="44"/>
      <c r="O2" s="44"/>
      <c r="P2" s="44"/>
      <c r="Q2" s="44"/>
    </row>
    <row r="5" spans="1:18" s="25" customFormat="1" x14ac:dyDescent="0.2">
      <c r="A5" s="2" t="s">
        <v>14</v>
      </c>
      <c r="B5" s="2"/>
      <c r="C5" s="2"/>
      <c r="D5" s="2"/>
      <c r="E5" s="2"/>
      <c r="F5" s="2"/>
      <c r="G5" s="83"/>
      <c r="H5" s="83"/>
      <c r="I5" s="2"/>
      <c r="J5" s="2"/>
      <c r="K5" s="7"/>
      <c r="L5" s="7"/>
      <c r="M5" s="7"/>
      <c r="N5" s="7"/>
      <c r="O5" s="7"/>
      <c r="P5" s="7"/>
      <c r="Q5" s="7"/>
      <c r="R5" s="42"/>
    </row>
    <row r="6" spans="1:18" x14ac:dyDescent="0.2">
      <c r="B6" s="49"/>
      <c r="N6" s="45"/>
      <c r="O6" s="45"/>
      <c r="P6" s="45"/>
      <c r="Q6" s="45"/>
    </row>
    <row r="7" spans="1:18" x14ac:dyDescent="0.2">
      <c r="Q7" s="191"/>
    </row>
    <row r="8" spans="1:18" x14ac:dyDescent="0.2">
      <c r="B8" s="5" t="s">
        <v>59</v>
      </c>
      <c r="Q8" s="191"/>
    </row>
    <row r="9" spans="1:18" x14ac:dyDescent="0.2">
      <c r="B9" s="25" t="s">
        <v>66</v>
      </c>
      <c r="C9" s="58"/>
      <c r="D9" s="58"/>
      <c r="E9" s="58"/>
      <c r="F9" s="58"/>
      <c r="G9" s="89"/>
      <c r="H9" s="89"/>
      <c r="I9" s="58"/>
    </row>
    <row r="10" spans="1:18" x14ac:dyDescent="0.2">
      <c r="B10" s="57" t="s">
        <v>67</v>
      </c>
      <c r="C10" s="58"/>
      <c r="D10" s="58"/>
      <c r="E10" s="58"/>
      <c r="F10" s="58"/>
      <c r="G10" s="89"/>
      <c r="H10" s="89"/>
      <c r="I10" s="58"/>
    </row>
    <row r="11" spans="1:18" x14ac:dyDescent="0.2">
      <c r="B11" s="63" t="s">
        <v>95</v>
      </c>
      <c r="C11" s="58"/>
      <c r="D11" s="58"/>
      <c r="E11" s="58"/>
      <c r="F11" s="58"/>
      <c r="G11" s="89"/>
      <c r="H11" s="89"/>
      <c r="I11" s="58"/>
    </row>
    <row r="12" spans="1:18" x14ac:dyDescent="0.2">
      <c r="B12" s="58"/>
      <c r="C12" s="58"/>
      <c r="D12" s="58"/>
      <c r="E12" s="58"/>
      <c r="F12" s="58"/>
      <c r="G12" s="89"/>
      <c r="H12" s="89"/>
      <c r="I12" s="58"/>
    </row>
    <row r="13" spans="1:18" s="25" customFormat="1" x14ac:dyDescent="0.2">
      <c r="A13" s="2" t="s">
        <v>23</v>
      </c>
      <c r="B13" s="2"/>
      <c r="C13" s="2"/>
      <c r="D13" s="2"/>
      <c r="E13" s="2"/>
      <c r="F13" s="2"/>
      <c r="G13" s="83"/>
      <c r="H13" s="83" t="s">
        <v>57</v>
      </c>
      <c r="I13" s="2"/>
      <c r="J13" s="2" t="s">
        <v>55</v>
      </c>
      <c r="K13" s="7" t="s">
        <v>16</v>
      </c>
      <c r="L13" s="7" t="s">
        <v>17</v>
      </c>
      <c r="M13" s="7" t="s">
        <v>18</v>
      </c>
      <c r="N13" s="7" t="s">
        <v>19</v>
      </c>
      <c r="O13" s="7" t="s">
        <v>20</v>
      </c>
      <c r="P13" s="7" t="s">
        <v>21</v>
      </c>
      <c r="Q13" s="7" t="s">
        <v>22</v>
      </c>
      <c r="R13" s="42"/>
    </row>
    <row r="14" spans="1:18" x14ac:dyDescent="0.2">
      <c r="B14" s="58"/>
      <c r="C14" s="58"/>
      <c r="D14" s="58"/>
      <c r="E14" s="58"/>
      <c r="F14" s="58"/>
      <c r="G14" s="89"/>
      <c r="H14" s="89"/>
      <c r="I14" s="58"/>
    </row>
    <row r="15" spans="1:18" s="1" customFormat="1" x14ac:dyDescent="0.2">
      <c r="H15" s="62"/>
    </row>
    <row r="16" spans="1:18" x14ac:dyDescent="0.2">
      <c r="B16" s="67"/>
      <c r="J16" s="47"/>
      <c r="K16" s="47"/>
      <c r="L16" s="47"/>
      <c r="M16" s="47"/>
      <c r="N16" s="47"/>
      <c r="O16" s="47"/>
      <c r="P16" s="47"/>
      <c r="Q16" s="47"/>
    </row>
    <row r="17" spans="1:20" x14ac:dyDescent="0.2">
      <c r="B17" s="42" t="s">
        <v>111</v>
      </c>
      <c r="G17" s="145" t="s">
        <v>112</v>
      </c>
      <c r="H17" s="145" t="s">
        <v>83</v>
      </c>
      <c r="J17" s="78">
        <v>4214.3</v>
      </c>
      <c r="K17" s="206">
        <v>5518.8689999999997</v>
      </c>
      <c r="L17" s="47"/>
      <c r="M17" s="47"/>
      <c r="N17" s="47"/>
      <c r="O17" s="47"/>
      <c r="P17" s="47"/>
      <c r="Q17" s="47"/>
    </row>
    <row r="18" spans="1:20" x14ac:dyDescent="0.2">
      <c r="B18" s="42" t="s">
        <v>111</v>
      </c>
      <c r="G18" s="145" t="s">
        <v>113</v>
      </c>
      <c r="H18" s="42"/>
      <c r="J18" s="82">
        <f>J17*Assumptions!$M$18/Assumptions!K$18</f>
        <v>4121.3465065970577</v>
      </c>
      <c r="K18" s="82">
        <f>K17*Assumptions!$M$18/Assumptions!L$18</f>
        <v>5480.5169453661465</v>
      </c>
      <c r="O18" s="47"/>
      <c r="P18" s="47"/>
      <c r="Q18" s="47"/>
    </row>
    <row r="19" spans="1:20" x14ac:dyDescent="0.2">
      <c r="B19" s="42" t="s">
        <v>114</v>
      </c>
      <c r="G19" s="145"/>
      <c r="H19" s="145"/>
      <c r="K19" s="46">
        <f>J18*0.75+K18*0.25</f>
        <v>4461.1391162893296</v>
      </c>
      <c r="N19" s="46"/>
      <c r="O19" s="46"/>
      <c r="P19" s="46"/>
      <c r="Q19" s="46"/>
    </row>
    <row r="20" spans="1:20" x14ac:dyDescent="0.2">
      <c r="B20" s="67"/>
      <c r="G20" s="42"/>
      <c r="J20" s="47"/>
      <c r="K20" s="47"/>
      <c r="L20" s="47"/>
      <c r="M20" s="47"/>
      <c r="N20" s="47"/>
      <c r="O20" s="47"/>
      <c r="P20" s="47"/>
      <c r="Q20" s="47"/>
      <c r="R20" s="47"/>
      <c r="S20" s="47"/>
    </row>
    <row r="21" spans="1:20" x14ac:dyDescent="0.2">
      <c r="B21" s="42" t="s">
        <v>68</v>
      </c>
      <c r="G21" s="145" t="s">
        <v>113</v>
      </c>
      <c r="H21" s="145" t="s">
        <v>83</v>
      </c>
      <c r="L21" s="205">
        <v>10077.90934</v>
      </c>
      <c r="M21" s="205">
        <v>10077.90934</v>
      </c>
      <c r="N21" s="205">
        <v>10077.90934</v>
      </c>
      <c r="O21" s="205">
        <v>10077.90934</v>
      </c>
      <c r="P21" s="205">
        <v>10077.90934</v>
      </c>
      <c r="Q21" s="205">
        <v>10077.90934</v>
      </c>
    </row>
    <row r="22" spans="1:20" x14ac:dyDescent="0.2">
      <c r="G22" s="146"/>
      <c r="H22" s="145"/>
      <c r="L22" s="46"/>
      <c r="M22" s="46">
        <f>M21</f>
        <v>10077.90934</v>
      </c>
      <c r="N22" s="46">
        <f t="shared" ref="N22:Q22" si="0">N21</f>
        <v>10077.90934</v>
      </c>
      <c r="O22" s="46">
        <f t="shared" si="0"/>
        <v>10077.90934</v>
      </c>
      <c r="P22" s="46">
        <f t="shared" si="0"/>
        <v>10077.90934</v>
      </c>
      <c r="Q22" s="46">
        <f t="shared" si="0"/>
        <v>10077.90934</v>
      </c>
    </row>
    <row r="24" spans="1:20" x14ac:dyDescent="0.2">
      <c r="G24" s="145"/>
      <c r="H24" s="145"/>
      <c r="J24" s="46"/>
      <c r="N24" s="46"/>
      <c r="O24" s="46"/>
      <c r="P24" s="46"/>
      <c r="Q24" s="46"/>
    </row>
    <row r="25" spans="1:20" x14ac:dyDescent="0.2">
      <c r="A25" s="2" t="s">
        <v>8</v>
      </c>
      <c r="B25" s="2"/>
      <c r="C25" s="2"/>
      <c r="D25" s="2"/>
      <c r="E25" s="2"/>
      <c r="F25" s="2"/>
      <c r="G25" s="83"/>
      <c r="H25" s="83"/>
      <c r="I25" s="2"/>
      <c r="J25" s="2" t="s">
        <v>55</v>
      </c>
      <c r="K25" s="7" t="s">
        <v>16</v>
      </c>
      <c r="L25" s="7" t="s">
        <v>17</v>
      </c>
      <c r="M25" s="7" t="s">
        <v>18</v>
      </c>
      <c r="N25" s="7" t="s">
        <v>19</v>
      </c>
      <c r="O25" s="7" t="s">
        <v>20</v>
      </c>
      <c r="P25" s="7" t="s">
        <v>21</v>
      </c>
      <c r="Q25" s="7" t="s">
        <v>22</v>
      </c>
    </row>
    <row r="26" spans="1:20" x14ac:dyDescent="0.2">
      <c r="H26" s="145"/>
      <c r="J26" s="46"/>
      <c r="N26" s="46"/>
      <c r="O26" s="46"/>
      <c r="P26" s="46"/>
      <c r="Q26" s="46"/>
    </row>
    <row r="27" spans="1:20" x14ac:dyDescent="0.2">
      <c r="B27" s="42" t="s">
        <v>68</v>
      </c>
      <c r="G27" s="145" t="s">
        <v>113</v>
      </c>
      <c r="H27" s="145"/>
      <c r="J27" s="46"/>
      <c r="L27" s="82"/>
      <c r="M27" s="147">
        <f>M22</f>
        <v>10077.90934</v>
      </c>
      <c r="N27" s="147">
        <f>N21</f>
        <v>10077.90934</v>
      </c>
      <c r="O27" s="147">
        <f>O21</f>
        <v>10077.90934</v>
      </c>
      <c r="P27" s="147">
        <f>P21</f>
        <v>10077.90934</v>
      </c>
      <c r="Q27" s="147">
        <f>Q21</f>
        <v>10077.90934</v>
      </c>
    </row>
    <row r="28" spans="1:20" x14ac:dyDescent="0.2">
      <c r="B28" s="81" t="s">
        <v>82</v>
      </c>
      <c r="G28" s="145" t="s">
        <v>113</v>
      </c>
      <c r="L28" s="9"/>
      <c r="M28" s="9">
        <f>$K$19</f>
        <v>4461.1391162893296</v>
      </c>
      <c r="N28" s="9">
        <f>$K$19</f>
        <v>4461.1391162893296</v>
      </c>
      <c r="O28" s="9">
        <f>$K$19</f>
        <v>4461.1391162893296</v>
      </c>
      <c r="P28" s="9">
        <f>$K$19</f>
        <v>4461.1391162893296</v>
      </c>
      <c r="Q28" s="9">
        <f>$K$19</f>
        <v>4461.1391162893296</v>
      </c>
    </row>
    <row r="29" spans="1:20" x14ac:dyDescent="0.2">
      <c r="B29" s="42" t="s">
        <v>53</v>
      </c>
      <c r="G29" s="145" t="s">
        <v>113</v>
      </c>
      <c r="L29" s="9"/>
      <c r="M29" s="9">
        <f t="shared" ref="M29:Q29" si="1">M27-M28</f>
        <v>5616.7702237106705</v>
      </c>
      <c r="N29" s="9">
        <f t="shared" si="1"/>
        <v>5616.7702237106705</v>
      </c>
      <c r="O29" s="9">
        <f t="shared" si="1"/>
        <v>5616.7702237106705</v>
      </c>
      <c r="P29" s="9">
        <f t="shared" si="1"/>
        <v>5616.7702237106705</v>
      </c>
      <c r="Q29" s="9">
        <f t="shared" si="1"/>
        <v>5616.7702237106705</v>
      </c>
    </row>
    <row r="32" spans="1:20" x14ac:dyDescent="0.2">
      <c r="A32" s="2" t="s">
        <v>75</v>
      </c>
      <c r="B32" s="2"/>
      <c r="C32" s="2"/>
      <c r="D32" s="2"/>
      <c r="E32" s="2"/>
      <c r="F32" s="2"/>
      <c r="G32" s="83"/>
      <c r="H32" s="83"/>
      <c r="I32" s="2"/>
      <c r="J32" s="2" t="s">
        <v>55</v>
      </c>
      <c r="K32" s="7" t="s">
        <v>16</v>
      </c>
      <c r="L32" s="7" t="s">
        <v>17</v>
      </c>
      <c r="M32" s="7" t="s">
        <v>18</v>
      </c>
      <c r="N32" s="7" t="s">
        <v>19</v>
      </c>
      <c r="O32" s="7" t="s">
        <v>20</v>
      </c>
      <c r="P32" s="7" t="s">
        <v>21</v>
      </c>
      <c r="Q32" s="7" t="s">
        <v>22</v>
      </c>
      <c r="S32" s="7" t="s">
        <v>60</v>
      </c>
      <c r="T32" s="1"/>
    </row>
    <row r="33" spans="1:23" x14ac:dyDescent="0.2">
      <c r="A33" s="5"/>
      <c r="B33" s="5"/>
      <c r="C33" s="5"/>
      <c r="D33" s="5"/>
      <c r="E33" s="5"/>
      <c r="F33" s="5"/>
      <c r="G33" s="56"/>
      <c r="H33" s="56"/>
      <c r="I33" s="5"/>
      <c r="J33" s="5"/>
      <c r="K33" s="5"/>
      <c r="L33" s="5"/>
      <c r="M33" s="5"/>
      <c r="N33" s="5"/>
      <c r="O33" s="5"/>
      <c r="P33" s="5"/>
      <c r="Q33" s="5"/>
      <c r="S33" s="77"/>
      <c r="T33" s="1"/>
    </row>
    <row r="34" spans="1:23" x14ac:dyDescent="0.2">
      <c r="A34" s="1"/>
      <c r="B34" s="1"/>
      <c r="C34" s="1"/>
      <c r="D34" s="1"/>
      <c r="E34" s="1"/>
      <c r="F34" s="1"/>
      <c r="G34" s="62"/>
      <c r="H34" s="62"/>
      <c r="I34" s="1"/>
      <c r="J34" s="1"/>
      <c r="K34" s="1"/>
      <c r="L34" s="1"/>
      <c r="M34" s="1"/>
      <c r="N34" s="1"/>
      <c r="O34" s="1"/>
      <c r="P34" s="1"/>
      <c r="Q34" s="1"/>
      <c r="S34" s="1"/>
      <c r="T34" s="1"/>
    </row>
    <row r="35" spans="1:23" ht="13.5" thickBot="1" x14ac:dyDescent="0.25">
      <c r="A35" s="1"/>
      <c r="B35" s="154" t="str">
        <f ca="1">"Powercor "&amp;$A$2</f>
        <v>Powercor Increasing insurance premiums</v>
      </c>
      <c r="C35" s="155"/>
      <c r="D35" s="154"/>
      <c r="E35" s="154"/>
      <c r="F35" s="154"/>
      <c r="G35" s="156" t="str">
        <f>"$k"&amp;" $"&amp;Year_of_Currency</f>
        <v>$k $2020/21</v>
      </c>
      <c r="H35" s="157"/>
      <c r="I35" s="154"/>
      <c r="J35" s="158"/>
      <c r="K35" s="158"/>
      <c r="L35" s="159"/>
      <c r="M35" s="159">
        <f>M29</f>
        <v>5616.7702237106705</v>
      </c>
      <c r="N35" s="159">
        <f t="shared" ref="N35:Q35" si="2">N29</f>
        <v>5616.7702237106705</v>
      </c>
      <c r="O35" s="159">
        <f t="shared" si="2"/>
        <v>5616.7702237106705</v>
      </c>
      <c r="P35" s="159">
        <f t="shared" si="2"/>
        <v>5616.7702237106705</v>
      </c>
      <c r="Q35" s="159">
        <f t="shared" si="2"/>
        <v>5616.7702237106705</v>
      </c>
      <c r="R35" s="53"/>
      <c r="S35" s="159">
        <f>SUM(M35:Q35)</f>
        <v>28083.851118553353</v>
      </c>
      <c r="T35" s="1"/>
      <c r="U35" s="1"/>
      <c r="V35" s="1"/>
      <c r="W35" s="1"/>
    </row>
    <row r="36" spans="1:23" ht="13.5" thickTop="1" x14ac:dyDescent="0.2">
      <c r="A36" s="1"/>
      <c r="B36" s="1"/>
      <c r="C36" s="1"/>
      <c r="D36" s="1"/>
      <c r="E36" s="1"/>
      <c r="F36" s="1"/>
      <c r="G36" s="62"/>
      <c r="H36" s="62"/>
      <c r="I36" s="1"/>
      <c r="J36" s="1"/>
      <c r="K36" s="1"/>
      <c r="L36" s="1"/>
      <c r="M36" s="9"/>
      <c r="N36" s="9"/>
      <c r="O36" s="9"/>
      <c r="P36" s="9"/>
      <c r="Q36" s="9"/>
      <c r="R36" s="1"/>
      <c r="S36" s="1"/>
      <c r="T36" s="1"/>
      <c r="U36" s="1"/>
      <c r="V36" s="1"/>
      <c r="W36" s="1"/>
    </row>
    <row r="37" spans="1:23" x14ac:dyDescent="0.2">
      <c r="A37" s="1"/>
      <c r="B37" s="1"/>
      <c r="C37" s="1"/>
      <c r="D37" s="1"/>
      <c r="E37" s="1"/>
      <c r="F37" s="1"/>
      <c r="G37" s="62"/>
      <c r="H37" s="62"/>
      <c r="I37" s="1"/>
      <c r="J37" s="9"/>
      <c r="K37" s="9"/>
      <c r="L37" s="9"/>
      <c r="M37" s="9"/>
      <c r="N37" s="9"/>
      <c r="O37" s="9"/>
      <c r="P37" s="9"/>
      <c r="Q37" s="9"/>
      <c r="S37" s="1"/>
      <c r="T37" s="1"/>
    </row>
    <row r="38" spans="1:23" x14ac:dyDescent="0.2">
      <c r="A38" s="1"/>
      <c r="B38" s="1"/>
      <c r="C38" s="1"/>
      <c r="D38" s="1"/>
      <c r="E38" s="1"/>
      <c r="F38" s="1"/>
      <c r="G38" s="62"/>
      <c r="H38" s="62"/>
      <c r="I38" s="1"/>
      <c r="J38" s="9"/>
      <c r="K38" s="9"/>
      <c r="L38" s="9"/>
      <c r="M38" s="9"/>
      <c r="N38" s="9"/>
      <c r="O38" s="9"/>
      <c r="P38" s="9"/>
      <c r="Q38" s="9"/>
      <c r="S38" s="1"/>
      <c r="T38" s="1"/>
    </row>
    <row r="39" spans="1:23" x14ac:dyDescent="0.2">
      <c r="A39" s="1"/>
      <c r="B39" s="1"/>
      <c r="C39" s="1"/>
      <c r="D39" s="1"/>
      <c r="E39" s="1"/>
      <c r="F39" s="1"/>
      <c r="G39" s="62"/>
      <c r="H39" s="62"/>
      <c r="I39" s="1"/>
      <c r="J39" s="9"/>
      <c r="K39" s="9"/>
      <c r="L39" s="9"/>
      <c r="M39" s="9"/>
      <c r="N39" s="9"/>
      <c r="O39" s="9"/>
      <c r="P39" s="9"/>
      <c r="Q39" s="9"/>
      <c r="S39" s="1"/>
      <c r="T39" s="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Output</vt:lpstr>
      <vt:lpstr>Summary</vt:lpstr>
      <vt:lpstr>Assumptions</vt:lpstr>
      <vt:lpstr>5 minute settlement</vt:lpstr>
      <vt:lpstr>Security of Critical Infr</vt:lpstr>
      <vt:lpstr>Solar enablement</vt:lpstr>
      <vt:lpstr>REFCL opex</vt:lpstr>
      <vt:lpstr>IT cloud solutions</vt:lpstr>
      <vt:lpstr>Increasing insurance premiums</vt:lpstr>
      <vt:lpstr>BaseYear</vt:lpstr>
      <vt:lpstr>CP_cost_split</vt:lpstr>
      <vt:lpstr>CP_cust_share</vt:lpstr>
      <vt:lpstr>PAL_cost_split</vt:lpstr>
      <vt:lpstr>PAL_count</vt:lpstr>
      <vt:lpstr>PAL_cust_share</vt:lpstr>
      <vt:lpstr>UE_count</vt:lpstr>
      <vt:lpstr>'Solar enablement'!Year_of_Currency</vt:lpstr>
      <vt:lpstr>Year_of_Currency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2019-12-31T00:08:38Z</dcterms:created>
  <dcterms:modified xsi:type="dcterms:W3CDTF">2020-11-30T00:29:00Z</dcterms:modified>
</cp:coreProperties>
</file>