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A:\35 Final Revised Proposal\Updated March 2021\"/>
    </mc:Choice>
  </mc:AlternateContent>
  <xr:revisionPtr revIDLastSave="0" documentId="13_ncr:1_{28973A70-6D83-400E-A9D4-7FE59C61CEA7}" xr6:coauthVersionLast="45" xr6:coauthVersionMax="45" xr10:uidLastSave="{00000000-0000-0000-0000-000000000000}"/>
  <bookViews>
    <workbookView xWindow="810" yWindow="-120" windowWidth="28110" windowHeight="16440" tabRatio="807" activeTab="6" xr2:uid="{00000000-000D-0000-FFFF-FFFF00000000}"/>
  </bookViews>
  <sheets>
    <sheet name="Index" sheetId="1" r:id="rId1"/>
    <sheet name="Amendments" sheetId="59" r:id="rId2"/>
    <sheet name="Input|General" sheetId="54" r:id="rId3"/>
    <sheet name="Input|Inflation" sheetId="55" r:id="rId4"/>
    <sheet name="Input|Reported opex" sheetId="58" r:id="rId5"/>
    <sheet name="Input|Rate of change" sheetId="2" r:id="rId6"/>
    <sheet name="Input|Step changes" sheetId="53" r:id="rId7"/>
    <sheet name="Calc|Opex forecast" sheetId="42" r:id="rId8"/>
    <sheet name="Output|Models" sheetId="44" r:id="rId9"/>
    <sheet name="Lookup|Tables" sheetId="4" r:id="rId10"/>
    <sheet name="Check|List" sheetId="16" r:id="rId11"/>
  </sheets>
  <externalReferences>
    <externalReference r:id="rId12"/>
    <externalReference r:id="rId13"/>
  </externalReferences>
  <definedNames>
    <definedName name="_xlnm._FilterDatabase" localSheetId="2" hidden="1">'Input|General'!$G$6:$G$16</definedName>
    <definedName name="_xlnm._FilterDatabase" localSheetId="4" hidden="1">'Input|Reported opex'!$C$60:$F$60</definedName>
    <definedName name="A10offset">10</definedName>
    <definedName name="A10remlife">'[1]PTRM input'!$L$16</definedName>
    <definedName name="A10stdlife">'[1]PTRM input'!$M$16</definedName>
    <definedName name="A10taxremlife">'[1]PTRM input'!$O$16</definedName>
    <definedName name="A10taxstdlife">'[1]PTRM input'!$P$16</definedName>
    <definedName name="A10taxvalue">'[1]PTRM input'!$N$16</definedName>
    <definedName name="A10value">'[1]PTRM input'!$J$16</definedName>
    <definedName name="A11offset">11</definedName>
    <definedName name="A11remlife">'[1]PTRM input'!$L$17</definedName>
    <definedName name="A11stdlife">'[1]PTRM input'!$M$17</definedName>
    <definedName name="A11taxremlife">'[1]PTRM input'!$O$17</definedName>
    <definedName name="A11taxstdlife">'[1]PTRM input'!$P$17</definedName>
    <definedName name="A11taxvalue">'[1]PTRM input'!$N$17</definedName>
    <definedName name="A11value">'[1]PTRM input'!$J$17</definedName>
    <definedName name="A12offset">12</definedName>
    <definedName name="A12remlife">'[1]PTRM input'!$L$18</definedName>
    <definedName name="A12stdlife">'[1]PTRM input'!$M$18</definedName>
    <definedName name="A12taxremlife">'[1]PTRM input'!$O$18</definedName>
    <definedName name="A12taxstdlife">'[1]PTRM input'!$P$18</definedName>
    <definedName name="A12taxvalue">'[1]PTRM input'!$N$18</definedName>
    <definedName name="A12value">'[1]PTRM input'!$J$18</definedName>
    <definedName name="A13offset">13</definedName>
    <definedName name="A13remlife">'[1]PTRM input'!$L$19</definedName>
    <definedName name="A13stdlife">'[1]PTRM input'!$M$19</definedName>
    <definedName name="A13taxremlife">'[1]PTRM input'!$O$19</definedName>
    <definedName name="A13taxstdlife">'[1]PTRM input'!$P$19</definedName>
    <definedName name="A13taxvalue">'[1]PTRM input'!$N$19</definedName>
    <definedName name="A13value">'[1]PTRM input'!$J$19</definedName>
    <definedName name="A14offset">14</definedName>
    <definedName name="A14remlife">'[1]PTRM input'!$L$20</definedName>
    <definedName name="A14stdlife">'[1]PTRM input'!$M$20</definedName>
    <definedName name="A14taxremlife">'[1]PTRM input'!$O$20</definedName>
    <definedName name="A14taxstdlife">'[1]PTRM input'!$P$20</definedName>
    <definedName name="A14taxvalue">'[1]PTRM input'!$N$20</definedName>
    <definedName name="A14value">'[1]PTRM input'!$J$20</definedName>
    <definedName name="A15offset">15</definedName>
    <definedName name="A15remlife">'[1]PTRM input'!$L$21</definedName>
    <definedName name="A15stdlife">'[1]PTRM input'!$M$21</definedName>
    <definedName name="A15taxremlife">'[1]PTRM input'!$O$21</definedName>
    <definedName name="A15taxstdlife">'[1]PTRM input'!$P$21</definedName>
    <definedName name="A15taxvalue">'[1]PTRM input'!$N$21</definedName>
    <definedName name="A15value">'[1]PTRM input'!$J$21</definedName>
    <definedName name="A16offset">16</definedName>
    <definedName name="A16remlife">'[1]PTRM input'!$L$22</definedName>
    <definedName name="A16stdlife">'[1]PTRM input'!$M$22</definedName>
    <definedName name="A16taxremlife">'[1]PTRM input'!$O$22</definedName>
    <definedName name="A16taxstdlife">'[1]PTRM input'!$P$22</definedName>
    <definedName name="A16taxvalue">'[1]PTRM input'!$N$22</definedName>
    <definedName name="A16value">'[1]PTRM input'!$J$22</definedName>
    <definedName name="A17offset">17</definedName>
    <definedName name="A17remlife">'[1]PTRM input'!$L$23</definedName>
    <definedName name="A17stdlife">'[1]PTRM input'!$M$23</definedName>
    <definedName name="A17taxremlife">'[1]PTRM input'!$O$23</definedName>
    <definedName name="A17taxstdlife">'[1]PTRM input'!$P$23</definedName>
    <definedName name="A17taxvalue">'[1]PTRM input'!$N$23</definedName>
    <definedName name="A17value">'[1]PTRM input'!$J$23</definedName>
    <definedName name="A18offset">18</definedName>
    <definedName name="A18remlife">'[1]PTRM input'!$L$24</definedName>
    <definedName name="A18stdlife">'[1]PTRM input'!$M$24</definedName>
    <definedName name="A18taxremlife">'[1]PTRM input'!$O$24</definedName>
    <definedName name="A18taxstdlife">'[1]PTRM input'!$P$24</definedName>
    <definedName name="A18taxvalue">'[1]PTRM input'!$N$24</definedName>
    <definedName name="A18value">'[1]PTRM input'!$J$24</definedName>
    <definedName name="A19offset">19</definedName>
    <definedName name="A19remlife">'[1]PTRM input'!$L$25</definedName>
    <definedName name="A19stdlife">'[1]PTRM input'!$M$25</definedName>
    <definedName name="A19taxremlife">'[1]PTRM input'!$O$25</definedName>
    <definedName name="A19taxstdlife">'[1]PTRM input'!$P$25</definedName>
    <definedName name="A19taxvalue">'[1]PTRM input'!$N$25</definedName>
    <definedName name="A19value">'[1]PTRM input'!$J$25</definedName>
    <definedName name="A1offset">1</definedName>
    <definedName name="A1remlife">'[1]PTRM input'!$L$7</definedName>
    <definedName name="A1stdlife">'[1]PTRM input'!$M$7</definedName>
    <definedName name="A1taxremlife">'[1]PTRM input'!$O$7</definedName>
    <definedName name="A1taxstdlife">'[1]PTRM input'!$P$7</definedName>
    <definedName name="A1taxvalue">'[1]PTRM input'!$N$7</definedName>
    <definedName name="A1value">'[1]PTRM input'!$J$7</definedName>
    <definedName name="A20offset">20</definedName>
    <definedName name="A20remlife">'[1]PTRM input'!$L$26</definedName>
    <definedName name="A20stdlife">'[1]PTRM input'!$M$26</definedName>
    <definedName name="A20taxremlife">'[1]PTRM input'!$O$26</definedName>
    <definedName name="A20taxstdlife">'[1]PTRM input'!$P$26</definedName>
    <definedName name="A20taxvalue">'[1]PTRM input'!$N$26</definedName>
    <definedName name="A20value">'[1]PTRM input'!$J$26</definedName>
    <definedName name="A21offset">21</definedName>
    <definedName name="A21remlife">'[1]PTRM input'!$L$27</definedName>
    <definedName name="A21stdlife">'[1]PTRM input'!$M$27</definedName>
    <definedName name="A21taxremlife">'[1]PTRM input'!$O$27</definedName>
    <definedName name="A21taxstdlife">'[1]PTRM input'!$P$27</definedName>
    <definedName name="A21taxvalue">'[1]PTRM input'!$N$27</definedName>
    <definedName name="A21value">'[1]PTRM input'!$J$27</definedName>
    <definedName name="A22offset">22</definedName>
    <definedName name="A22remlife">'[1]PTRM input'!$L$28</definedName>
    <definedName name="A22stdlife">'[1]PTRM input'!$M$28</definedName>
    <definedName name="A22taxremlife">'[1]PTRM input'!$O$28</definedName>
    <definedName name="A22taxstdlife">'[1]PTRM input'!$P$28</definedName>
    <definedName name="A22taxvalue">'[1]PTRM input'!$N$28</definedName>
    <definedName name="A22value">'[1]PTRM input'!$J$28</definedName>
    <definedName name="A23offset">23</definedName>
    <definedName name="A23remlife">'[1]PTRM input'!$L$29</definedName>
    <definedName name="A23stdlife">'[1]PTRM input'!$M$29</definedName>
    <definedName name="A23taxremlife">'[1]PTRM input'!$O$29</definedName>
    <definedName name="A23taxstdlife">'[1]PTRM input'!$P$29</definedName>
    <definedName name="A23taxvalue">'[1]PTRM input'!$N$29</definedName>
    <definedName name="A23value">'[1]PTRM input'!$J$29</definedName>
    <definedName name="A24offset">24</definedName>
    <definedName name="A24remlife">'[1]PTRM input'!$L$30</definedName>
    <definedName name="A24stdlife">'[1]PTRM input'!$M$30</definedName>
    <definedName name="A24taxremlife">'[1]PTRM input'!$O$30</definedName>
    <definedName name="A24taxstdlife">'[1]PTRM input'!$P$30</definedName>
    <definedName name="A24taxvalue">'[1]PTRM input'!$N$30</definedName>
    <definedName name="A24value">'[1]PTRM input'!$J$30</definedName>
    <definedName name="A25offset">25</definedName>
    <definedName name="A25remlife">'[1]PTRM input'!$L$31</definedName>
    <definedName name="A25stdlife">'[1]PTRM input'!$M$31</definedName>
    <definedName name="A25taxremlife">'[1]PTRM input'!$O$31</definedName>
    <definedName name="A25taxstdlife">'[1]PTRM input'!$P$31</definedName>
    <definedName name="A25taxvalue">'[1]PTRM input'!$N$31</definedName>
    <definedName name="A25value">'[1]PTRM input'!$J$31</definedName>
    <definedName name="A26offset">26</definedName>
    <definedName name="A26remlife">'[1]PTRM input'!$L$32</definedName>
    <definedName name="A26stdlife">'[1]PTRM input'!$M$32</definedName>
    <definedName name="A26taxremlife">'[1]PTRM input'!$O$32</definedName>
    <definedName name="A26taxstdlife">'[1]PTRM input'!$P$32</definedName>
    <definedName name="A26taxvalue">'[1]PTRM input'!$N$32</definedName>
    <definedName name="A26value">'[1]PTRM input'!$J$32</definedName>
    <definedName name="A27offset">27</definedName>
    <definedName name="A27remlife">'[1]PTRM input'!$L$33</definedName>
    <definedName name="A27stdlife">'[1]PTRM input'!$M$33</definedName>
    <definedName name="A27taxremlife">'[1]PTRM input'!$O$33</definedName>
    <definedName name="A27taxstdlife">'[1]PTRM input'!$P$33</definedName>
    <definedName name="A27taxvalue">'[1]PTRM input'!$N$33</definedName>
    <definedName name="A27value">'[1]PTRM input'!$J$33</definedName>
    <definedName name="A28offset">28</definedName>
    <definedName name="A28remlife">'[1]PTRM input'!$L$34</definedName>
    <definedName name="A28stdlife">'[1]PTRM input'!$M$34</definedName>
    <definedName name="A28taxremlife">'[1]PTRM input'!$O$34</definedName>
    <definedName name="A28taxstdlife">'[1]PTRM input'!$P$34</definedName>
    <definedName name="A28taxvalue">'[1]PTRM input'!$N$34</definedName>
    <definedName name="A28value">'[1]PTRM input'!$J$34</definedName>
    <definedName name="A29offset">29</definedName>
    <definedName name="A29remlife">'[1]PTRM input'!$L$35</definedName>
    <definedName name="A29stdlife">'[1]PTRM input'!$M$35</definedName>
    <definedName name="A29taxremlife">'[1]PTRM input'!$O$35</definedName>
    <definedName name="A29taxstdlife">'[1]PTRM input'!$P$35</definedName>
    <definedName name="A29taxvalue">'[1]PTRM input'!$N$35</definedName>
    <definedName name="A29value">'[1]PTRM input'!$J$35</definedName>
    <definedName name="A2offset">2</definedName>
    <definedName name="A2remlife">'[1]PTRM input'!$L$8</definedName>
    <definedName name="A2stdlife">'[1]PTRM input'!$M$8</definedName>
    <definedName name="A2taxremlife">'[1]PTRM input'!$O$8</definedName>
    <definedName name="A2taxstdlife">'[1]PTRM input'!$P$8</definedName>
    <definedName name="A2taxvalue">'[1]PTRM input'!$N$8</definedName>
    <definedName name="A2value">'[1]PTRM input'!$J$8</definedName>
    <definedName name="A30offset">30</definedName>
    <definedName name="A30remlife">'[1]PTRM input'!$L$36</definedName>
    <definedName name="A30stdlife">'[1]PTRM input'!$M$36</definedName>
    <definedName name="A30taxremlife">'[1]PTRM input'!$O$36</definedName>
    <definedName name="A30taxstdlife">'[1]PTRM input'!$P$36</definedName>
    <definedName name="A30taxvalue">'[1]PTRM input'!$N$36</definedName>
    <definedName name="A30value">'[1]PTRM input'!$J$36</definedName>
    <definedName name="A31offset">31</definedName>
    <definedName name="A31remlife">'[1]PTRM input'!$L$37</definedName>
    <definedName name="A31stdlife">'[1]PTRM input'!$M$37</definedName>
    <definedName name="A31taxremlife">'[1]PTRM input'!$O$37</definedName>
    <definedName name="A31taxstdlife">'[1]PTRM input'!$P$37</definedName>
    <definedName name="A31taxvalue">'[1]PTRM input'!$N$37</definedName>
    <definedName name="A31value">'[1]PTRM input'!$J$37</definedName>
    <definedName name="A32offset">32</definedName>
    <definedName name="A32remlife">'[1]PTRM input'!$L$38</definedName>
    <definedName name="A32stdlife">'[1]PTRM input'!$M$38</definedName>
    <definedName name="A32taxremlife">'[1]PTRM input'!$O$38</definedName>
    <definedName name="A32taxstdlife">'[1]PTRM input'!$P$38</definedName>
    <definedName name="A32taxvalue">'[1]PTRM input'!$N$38</definedName>
    <definedName name="A32value">'[1]PTRM input'!$J$38</definedName>
    <definedName name="A33offset">33</definedName>
    <definedName name="A33remlife">'[1]PTRM input'!$L$39</definedName>
    <definedName name="A33stdlife">'[1]PTRM input'!$M$39</definedName>
    <definedName name="A33taxremlife">'[1]PTRM input'!$O$39</definedName>
    <definedName name="A33taxstdlife">'[1]PTRM input'!$P$39</definedName>
    <definedName name="A33taxvalue">'[1]PTRM input'!$N$39</definedName>
    <definedName name="A33value">'[1]PTRM input'!$J$39</definedName>
    <definedName name="A34offset">34</definedName>
    <definedName name="A34remlife">'[1]PTRM input'!$L$40</definedName>
    <definedName name="A34stdlife">'[1]PTRM input'!$M$40</definedName>
    <definedName name="A34taxremlife">'[1]PTRM input'!$O$40</definedName>
    <definedName name="A34taxstdlife">'[1]PTRM input'!$P$40</definedName>
    <definedName name="A34taxvalue">'[1]PTRM input'!$N$40</definedName>
    <definedName name="A34value">'[1]PTRM input'!$J$40</definedName>
    <definedName name="A35offset">35</definedName>
    <definedName name="A35remlife">'[1]PTRM input'!$L$41</definedName>
    <definedName name="A35stdlife">'[1]PTRM input'!$M$41</definedName>
    <definedName name="A35taxremlife">'[1]PTRM input'!$O$41</definedName>
    <definedName name="A35taxstdlife">'[1]PTRM input'!$P$41</definedName>
    <definedName name="A35taxvalue">'[1]PTRM input'!$N$41</definedName>
    <definedName name="A35value">'[1]PTRM input'!$J$41</definedName>
    <definedName name="A36offset">36</definedName>
    <definedName name="A36remlife">'[1]PTRM input'!$L$42</definedName>
    <definedName name="A36stdlife">'[1]PTRM input'!$M$42</definedName>
    <definedName name="A36taxremlife">'[1]PTRM input'!$O$42</definedName>
    <definedName name="A36taxstdlife">'[1]PTRM input'!$P$42</definedName>
    <definedName name="A36taxvalue">'[1]PTRM input'!$N$42</definedName>
    <definedName name="A36value">'[1]PTRM input'!$J$42</definedName>
    <definedName name="A37offset">37</definedName>
    <definedName name="A37remlife">'[1]PTRM input'!$L$43</definedName>
    <definedName name="A37stdlife">'[1]PTRM input'!$M$43</definedName>
    <definedName name="A37taxremlife">'[1]PTRM input'!$O$43</definedName>
    <definedName name="A37taxstdlife">'[1]PTRM input'!$P$43</definedName>
    <definedName name="A37taxvalue">'[1]PTRM input'!$N$43</definedName>
    <definedName name="A37value">'[1]PTRM input'!$J$43</definedName>
    <definedName name="A38offset">38</definedName>
    <definedName name="A38remlife">'[1]PTRM input'!$L$44</definedName>
    <definedName name="A38stdlife">'[1]PTRM input'!$M$44</definedName>
    <definedName name="A38taxremlife">'[1]PTRM input'!$O$44</definedName>
    <definedName name="A38taxstdlife">'[1]PTRM input'!$P$44</definedName>
    <definedName name="A38taxvalue">'[1]PTRM input'!$N$44</definedName>
    <definedName name="A38value">'[1]PTRM input'!$J$44</definedName>
    <definedName name="A39offset">39</definedName>
    <definedName name="A39remlife">'[1]PTRM input'!$L$45</definedName>
    <definedName name="A39stdlife">'[1]PTRM input'!$M$45</definedName>
    <definedName name="A39taxremlife">'[1]PTRM input'!$O$45</definedName>
    <definedName name="A39taxstdlife">'[1]PTRM input'!$P$45</definedName>
    <definedName name="A39taxvalue">'[1]PTRM input'!$N$45</definedName>
    <definedName name="A39value">'[1]PTRM input'!$J$45</definedName>
    <definedName name="A3offset">3</definedName>
    <definedName name="A3remlife">'[1]PTRM input'!$L$9</definedName>
    <definedName name="A3stdlife">'[1]PTRM input'!$M$9</definedName>
    <definedName name="A3taxremlife">'[1]PTRM input'!$O$9</definedName>
    <definedName name="A3taxstdlife">'[1]PTRM input'!$P$9</definedName>
    <definedName name="A3taxvalue">'[1]PTRM input'!$N$9</definedName>
    <definedName name="A3value">'[1]PTRM input'!$J$9</definedName>
    <definedName name="A40offset">40</definedName>
    <definedName name="A40remlife">'[1]PTRM input'!$L$46</definedName>
    <definedName name="A40stdlife">'[1]PTRM input'!$M$46</definedName>
    <definedName name="A40taxremlife">'[1]PTRM input'!$O$46</definedName>
    <definedName name="A40taxstdlife">'[1]PTRM input'!$P$46</definedName>
    <definedName name="A40taxvalue">'[1]PTRM input'!$N$46</definedName>
    <definedName name="A40value">'[1]PTRM input'!$J$46</definedName>
    <definedName name="A41offset">41</definedName>
    <definedName name="A41remlife">'[1]PTRM input'!$L$47</definedName>
    <definedName name="A41stdlife">'[1]PTRM input'!$M$47</definedName>
    <definedName name="A41taxremlife">'[1]PTRM input'!$O$47</definedName>
    <definedName name="A41taxstdlife">'[1]PTRM input'!$P$47</definedName>
    <definedName name="A41taxvalue">'[1]PTRM input'!$N$47</definedName>
    <definedName name="A41value">'[1]PTRM input'!$J$47</definedName>
    <definedName name="A42offset">42</definedName>
    <definedName name="A42remlife">'[1]PTRM input'!$L$48</definedName>
    <definedName name="A42stdlife">'[1]PTRM input'!$M$48</definedName>
    <definedName name="A42taxremlife">'[1]PTRM input'!$O$48</definedName>
    <definedName name="A42taxstdlife">'[1]PTRM input'!$P$48</definedName>
    <definedName name="A42taxvalue">'[1]PTRM input'!$N$48</definedName>
    <definedName name="A42value">'[1]PTRM input'!$J$48</definedName>
    <definedName name="A43offset">43</definedName>
    <definedName name="A43remlife">'[1]PTRM input'!$L$49</definedName>
    <definedName name="A43stdlife">'[1]PTRM input'!$M$49</definedName>
    <definedName name="A43taxremlife">'[1]PTRM input'!$O$49</definedName>
    <definedName name="A43taxstdlife">'[1]PTRM input'!$P$49</definedName>
    <definedName name="A43taxvalue">'[1]PTRM input'!$N$49</definedName>
    <definedName name="A43value">'[1]PTRM input'!$J$49</definedName>
    <definedName name="A44offset">44</definedName>
    <definedName name="A44remlife">'[1]PTRM input'!$L$50</definedName>
    <definedName name="A44stdlife">'[1]PTRM input'!$M$50</definedName>
    <definedName name="A44taxremlife">'[1]PTRM input'!$O$50</definedName>
    <definedName name="A44taxstdlife">'[1]PTRM input'!$P$50</definedName>
    <definedName name="A44taxvalue">'[1]PTRM input'!$N$50</definedName>
    <definedName name="A44value">'[1]PTRM input'!$J$50</definedName>
    <definedName name="A45offset">45</definedName>
    <definedName name="A45remlife">'[1]PTRM input'!$L$51</definedName>
    <definedName name="A45stdlife">'[1]PTRM input'!$M$51</definedName>
    <definedName name="A45taxremlife">'[1]PTRM input'!$O$51</definedName>
    <definedName name="A45taxstdlife">'[1]PTRM input'!$P$51</definedName>
    <definedName name="A45taxvalue">'[1]PTRM input'!$N$51</definedName>
    <definedName name="A45value">'[1]PTRM input'!$J$51</definedName>
    <definedName name="A46offset">46</definedName>
    <definedName name="A46remlife">'[1]PTRM input'!$L$52</definedName>
    <definedName name="A46stdlife">'[1]PTRM input'!$M$52</definedName>
    <definedName name="A46taxremlife">'[1]PTRM input'!$O$52</definedName>
    <definedName name="A46taxstdlife">'[1]PTRM input'!$P$52</definedName>
    <definedName name="A46taxvalue">'[1]PTRM input'!$N$52</definedName>
    <definedName name="A46value">'[1]PTRM input'!$J$52</definedName>
    <definedName name="A47offset">47</definedName>
    <definedName name="A47remlife">'[1]PTRM input'!$L$53</definedName>
    <definedName name="A47stdlife">'[1]PTRM input'!$M$53</definedName>
    <definedName name="A47taxremlife">'[1]PTRM input'!$O$53</definedName>
    <definedName name="A47taxstdlife">'[1]PTRM input'!$P$53</definedName>
    <definedName name="A47taxvalue">'[1]PTRM input'!$N$53</definedName>
    <definedName name="A47value">'[1]PTRM input'!$J$53</definedName>
    <definedName name="A48offset">48</definedName>
    <definedName name="A48remlife">'[1]PTRM input'!$L$54</definedName>
    <definedName name="A48stdlife">'[1]PTRM input'!$M$54</definedName>
    <definedName name="A48taxremlife">'[1]PTRM input'!$O$54</definedName>
    <definedName name="A48taxstdlife">'[1]PTRM input'!$P$54</definedName>
    <definedName name="A48taxvalue">'[1]PTRM input'!$N$54</definedName>
    <definedName name="A48value">'[1]PTRM input'!$J$54</definedName>
    <definedName name="A49offset">49</definedName>
    <definedName name="A49remlife">'[1]PTRM input'!$L$55</definedName>
    <definedName name="A49stdlife">'[1]PTRM input'!$M$55</definedName>
    <definedName name="A49taxremlife">'[1]PTRM input'!$O$55</definedName>
    <definedName name="A49taxstdlife">'[1]PTRM input'!$P$55</definedName>
    <definedName name="A49taxvalue">'[1]PTRM input'!$N$55</definedName>
    <definedName name="A49value">'[1]PTRM input'!$J$55</definedName>
    <definedName name="A4offset">4</definedName>
    <definedName name="A4remlife">'[1]PTRM input'!$L$10</definedName>
    <definedName name="A4stdlife">'[1]PTRM input'!$M$10</definedName>
    <definedName name="A4taxremlife">'[1]PTRM input'!$O$10</definedName>
    <definedName name="A4taxstdlife">'[1]PTRM input'!$P$10</definedName>
    <definedName name="A4taxvalue">'[1]PTRM input'!$N$10</definedName>
    <definedName name="A4value">'[1]PTRM input'!$J$10</definedName>
    <definedName name="A50offset">50</definedName>
    <definedName name="A50remlife">'[1]PTRM input'!$L$56</definedName>
    <definedName name="A50stdlife">'[1]PTRM input'!$M$56</definedName>
    <definedName name="A50taxremlife">'[1]PTRM input'!$O$56</definedName>
    <definedName name="A50taxstdlife">'[1]PTRM input'!$P$56</definedName>
    <definedName name="A50taxvalue">'[1]PTRM input'!$N$56</definedName>
    <definedName name="A50value">'[1]PTRM input'!$J$56</definedName>
    <definedName name="A5offset">5</definedName>
    <definedName name="A5remlife">'[1]PTRM input'!$L$11</definedName>
    <definedName name="A5stdlife">'[1]PTRM input'!$M$11</definedName>
    <definedName name="A5taxremlife">'[1]PTRM input'!$O$11</definedName>
    <definedName name="A5taxstdlife">'[1]PTRM input'!$P$11</definedName>
    <definedName name="A5taxvalue">'[1]PTRM input'!$N$11</definedName>
    <definedName name="A5value">'[1]PTRM input'!$J$11</definedName>
    <definedName name="A6offset">6</definedName>
    <definedName name="A6remlife">'[1]PTRM input'!$L$12</definedName>
    <definedName name="A6stdlife">'[1]PTRM input'!$M$12</definedName>
    <definedName name="A6taxremlife">'[1]PTRM input'!$O$12</definedName>
    <definedName name="A6taxstdlife">'[1]PTRM input'!$P$12</definedName>
    <definedName name="A6taxvalue">'[1]PTRM input'!$N$12</definedName>
    <definedName name="A6value">'[1]PTRM input'!$J$12</definedName>
    <definedName name="A7offset">7</definedName>
    <definedName name="A7remlife">'[1]PTRM input'!$L$13</definedName>
    <definedName name="A7stdlife">'[1]PTRM input'!$M$13</definedName>
    <definedName name="A7taxremlife">'[1]PTRM input'!$O$13</definedName>
    <definedName name="A7taxstdlife">'[1]PTRM input'!$P$13</definedName>
    <definedName name="A7taxvalue">'[1]PTRM input'!$N$13</definedName>
    <definedName name="A7value">'[1]PTRM input'!$J$13</definedName>
    <definedName name="A8offset">8</definedName>
    <definedName name="A8remlife">'[1]PTRM input'!$L$14</definedName>
    <definedName name="A8stdlife">'[1]PTRM input'!$M$14</definedName>
    <definedName name="A8taxremlife">'[1]PTRM input'!$O$14</definedName>
    <definedName name="A8taxstdlife">'[1]PTRM input'!$P$14</definedName>
    <definedName name="A8taxvalue">'[1]PTRM input'!$N$14</definedName>
    <definedName name="A8value">'[1]PTRM input'!$J$14</definedName>
    <definedName name="A9offset">9</definedName>
    <definedName name="A9remlife">'[1]PTRM input'!$L$15</definedName>
    <definedName name="A9stdlife">'[1]PTRM input'!$M$15</definedName>
    <definedName name="A9taxremlife">'[1]PTRM input'!$O$15</definedName>
    <definedName name="A9taxstdlife">'[1]PTRM input'!$P$15</definedName>
    <definedName name="A9taxvalue">'[1]PTRM input'!$N$15</definedName>
    <definedName name="A9value">'[1]PTRM input'!$J$15</definedName>
    <definedName name="abba" localSheetId="1" hidden="1">{"Ownership",#N/A,FALSE,"Ownership";"Contents",#N/A,FALSE,"Contents"}</definedName>
    <definedName name="abba" hidden="1">{"Ownership",#N/A,FALSE,"Ownership";"Contents",#N/A,FALSE,"Contents"}</definedName>
    <definedName name="anscount" hidden="1">1</definedName>
    <definedName name="Asset1">'[1]PTRM input'!$G$7</definedName>
    <definedName name="Asset10">'[1]PTRM input'!$G$16</definedName>
    <definedName name="Asset11">'[1]PTRM input'!$G$17</definedName>
    <definedName name="Asset12">'[1]PTRM input'!$G$18</definedName>
    <definedName name="Asset13">'[1]PTRM input'!$G$19</definedName>
    <definedName name="Asset14">'[1]PTRM input'!$G$20</definedName>
    <definedName name="Asset15">'[1]PTRM input'!$G$21</definedName>
    <definedName name="Asset16">'[1]PTRM input'!$G$22</definedName>
    <definedName name="Asset17">'[1]PTRM input'!$G$23</definedName>
    <definedName name="Asset18">'[1]PTRM input'!$G$24</definedName>
    <definedName name="Asset19">'[1]PTRM input'!$G$25</definedName>
    <definedName name="Asset2">'[1]PTRM input'!$G$8</definedName>
    <definedName name="Asset20">'[1]PTRM input'!$G$26</definedName>
    <definedName name="Asset21">'[1]PTRM input'!$G$27</definedName>
    <definedName name="Asset22">'[1]PTRM input'!$G$28</definedName>
    <definedName name="Asset23">'[1]PTRM input'!$G$29</definedName>
    <definedName name="Asset24">'[1]PTRM input'!$G$30</definedName>
    <definedName name="Asset25">'[1]PTRM input'!$G$31</definedName>
    <definedName name="Asset26">'[1]PTRM input'!$G$32</definedName>
    <definedName name="Asset27">'[1]PTRM input'!$G$33</definedName>
    <definedName name="Asset28">'[1]PTRM input'!$G$34</definedName>
    <definedName name="Asset29">'[1]PTRM input'!$G$35</definedName>
    <definedName name="Asset3">'[1]PTRM input'!$G$9</definedName>
    <definedName name="Asset30">'[1]PTRM input'!$G$36</definedName>
    <definedName name="Asset31">'[1]PTRM input'!$G$37</definedName>
    <definedName name="Asset32">'[1]PTRM input'!$G$38</definedName>
    <definedName name="Asset33">'[1]PTRM input'!$G$39</definedName>
    <definedName name="Asset34">'[1]PTRM input'!$G$40</definedName>
    <definedName name="Asset35">'[1]PTRM input'!$G$41</definedName>
    <definedName name="Asset36">'[1]PTRM input'!$G$42</definedName>
    <definedName name="Asset37">'[1]PTRM input'!$G$43</definedName>
    <definedName name="Asset38">'[1]PTRM input'!$G$44</definedName>
    <definedName name="Asset39">'[1]PTRM input'!$G$45</definedName>
    <definedName name="Asset4">'[1]PTRM input'!$G$10</definedName>
    <definedName name="Asset40">'[1]PTRM input'!$G$46</definedName>
    <definedName name="Asset41">'[1]PTRM input'!$G$47</definedName>
    <definedName name="Asset42">'[1]PTRM input'!$G$48</definedName>
    <definedName name="Asset43">'[1]PTRM input'!$G$49</definedName>
    <definedName name="Asset44">'[1]PTRM input'!$G$50</definedName>
    <definedName name="Asset45">'[1]PTRM input'!$G$51</definedName>
    <definedName name="Asset46">'[1]PTRM input'!$G$52</definedName>
    <definedName name="Asset47">'[1]PTRM input'!$G$53</definedName>
    <definedName name="Asset48">'[1]PTRM input'!$G$54</definedName>
    <definedName name="Asset49">'[1]PTRM input'!$G$55</definedName>
    <definedName name="Asset5">'[1]PTRM input'!$G$11</definedName>
    <definedName name="Asset50">'[1]PTRM input'!$G$56</definedName>
    <definedName name="Asset6">'[1]PTRM input'!$G$12</definedName>
    <definedName name="Asset7">'[1]PTRM input'!$G$13</definedName>
    <definedName name="Asset8">'[1]PTRM input'!$G$14</definedName>
    <definedName name="Asset9">'[1]PTRM input'!$G$15</definedName>
    <definedName name="BaseYear">'Input|General'!$G$12</definedName>
    <definedName name="CRCP_final_year">'[1]AER ETL'!$C$46</definedName>
    <definedName name="CRCP_y1">'[1]AER lookups'!$G$59</definedName>
    <definedName name="CRCP_y10">'[1]AER lookups'!$G$68</definedName>
    <definedName name="CRCP_y11">'[1]AER lookups'!$G$69</definedName>
    <definedName name="CRCP_y12">'[1]AER lookups'!$G$70</definedName>
    <definedName name="CRCP_y13">'[1]AER lookups'!$G$71</definedName>
    <definedName name="CRCP_y14">'[1]AER lookups'!$G$72</definedName>
    <definedName name="CRCP_y15">'[1]AER lookups'!$G$73</definedName>
    <definedName name="CRCP_y2">'[1]AER lookups'!$G$60</definedName>
    <definedName name="CRCP_y3">'[1]AER lookups'!$G$61</definedName>
    <definedName name="CRCP_y4">'[1]AER lookups'!$G$62</definedName>
    <definedName name="CRCP_y5">'[1]AER lookups'!$G$63</definedName>
    <definedName name="CRCP_y6">'[1]AER lookups'!$G$64</definedName>
    <definedName name="CRCP_y7">'[1]AER lookups'!$G$65</definedName>
    <definedName name="CRCP_y8">'[1]AER lookups'!$G$66</definedName>
    <definedName name="CRCP_y9">'[1]AER lookups'!$G$67</definedName>
    <definedName name="dms_060301_checkvalue">'[1]AER ETL'!$C$89</definedName>
    <definedName name="dms_060301_LastRow">'[1]AER ETL'!$C$91</definedName>
    <definedName name="dms_060701_ARR_MaxRows">'[1]AER ETL'!$C$99</definedName>
    <definedName name="dms_060701_Reset_MaxRows">'[1]AER ETL'!$C$98</definedName>
    <definedName name="dms_060701_StartDateTxt">'[1]AER ETL'!$C$105</definedName>
    <definedName name="dms_0608_LastRow">'[1]AER ETL'!$C$111</definedName>
    <definedName name="dms_0608_OffsetRows">'[1]AER ETL'!$C$110</definedName>
    <definedName name="dms_060801_StartCell">'[2]6'!$B$13</definedName>
    <definedName name="dms_663_List">'[1]AER lookups'!$N$13:$N$38</definedName>
    <definedName name="dms_ABN_List">'[1]AER lookups'!$D$13:$D$38</definedName>
    <definedName name="dms_Addr1_List">'[1]AER lookups'!$P$13:$P$38</definedName>
    <definedName name="dms_Addr2_List">'[1]AER lookups'!$Q$13:$Q$38</definedName>
    <definedName name="dms_Amendment_Text">'[1]Business &amp; other details'!$AR$67</definedName>
    <definedName name="dms_Cal_Year_B4_CRY">'[1]AER ETL'!$C$28</definedName>
    <definedName name="dms_CBD_flag">'[1]AER lookups'!$AC$13:$AC$38</definedName>
    <definedName name="dms_Confid_status_List">'[1]AER NRs'!$D$6:$D$8</definedName>
    <definedName name="dms_CRCP_start_row">'[1]AER ETL'!$C$39</definedName>
    <definedName name="dms_CRCPlength_List">'[1]AER lookups'!$K$13:$K$38</definedName>
    <definedName name="dms_CRCPlength_Num">'[1]AER ETL'!$C$68</definedName>
    <definedName name="dms_CRY_RYE">'[1]AER ETL'!$C$52</definedName>
    <definedName name="dms_CRY_start_row">'[1]AER ETL'!$C$37</definedName>
    <definedName name="dms_DataQuality_List">'[1]AER NRs'!$C$6:$C$9</definedName>
    <definedName name="dms_DeterminationRef_List">'[1]AER lookups'!$O$13:$O$38</definedName>
    <definedName name="dms_DollarReal_year">'[1]AER ETL'!$C$50</definedName>
    <definedName name="dms_DQ_2">'[1]AER ETL'!$C$13</definedName>
    <definedName name="dms_FeederName_1">'[1]AER lookups'!$AI$13:$AI$38</definedName>
    <definedName name="dms_FeederName_2">'[1]AER lookups'!$AJ$13:$AJ$38</definedName>
    <definedName name="dms_FeederName_3">'[1]AER lookups'!$AK$13:$AK$38</definedName>
    <definedName name="dms_FeederName_4">'[1]AER lookups'!$AL$13:$AL$38</definedName>
    <definedName name="dms_FeederName_5">'[1]AER lookups'!$AM$13:$AM$38</definedName>
    <definedName name="dms_FeederType_5_flag">'[1]AER lookups'!$AG$13:$AG$38</definedName>
    <definedName name="dms_FifthFeeder_flag_NSP">'[1]AER ETL'!$C$124</definedName>
    <definedName name="dms_FormControl_Choices">'[1]AER NRs'!$D$14:$D$16</definedName>
    <definedName name="dms_FRCP_start_row">'[1]AER ETL'!$C$38</definedName>
    <definedName name="dms_FRCPlength_List">'[1]AER lookups'!$L$13:$L$38</definedName>
    <definedName name="dms_FRCPlength_Num">'[1]AER ETL'!$C$69</definedName>
    <definedName name="dms_Header_Span">'[1]AER ETL'!$C$59</definedName>
    <definedName name="dms_JurisdictionList">'[1]AER lookups'!$E$13:$E$38</definedName>
    <definedName name="dms_LeapYear_Result">'[1]AER ETL'!$C$97</definedName>
    <definedName name="dms_LongRural_flag">'[1]AER lookups'!$AF$13:$AF$38</definedName>
    <definedName name="dms_Model">'[1]AER ETL'!$C$10</definedName>
    <definedName name="dms_Model_List">'[1]AER lookups'!$B$45:$B$54</definedName>
    <definedName name="dms_Model_Span">'[1]AER ETL'!$C$55</definedName>
    <definedName name="dms_Model_Span_List">'[1]AER lookups'!$E$45:$E$54</definedName>
    <definedName name="dms_MultiYear_Flag">'[1]AER ETL'!$C$62</definedName>
    <definedName name="dms_MultiYear_ResponseFlag">'[1]AER ETL'!$C$61</definedName>
    <definedName name="dms_PAddr1_List">'[1]AER lookups'!$U$13:$U$38</definedName>
    <definedName name="dms_PAddr2">'[1]Business &amp; other details'!$BQ$24</definedName>
    <definedName name="dms_PAddr2_List">'[1]AER lookups'!$V$13:$V$38</definedName>
    <definedName name="dms_PRCP_start_row">'[1]AER ETL'!$C$40</definedName>
    <definedName name="dms_PRCPlength_List">'[1]AER lookups'!$M$13:$M$38</definedName>
    <definedName name="dms_PRCPlength_Num">'[1]AER ETL'!$C$67</definedName>
    <definedName name="dms_Previous_DollarReal_year">'[1]AER ETL'!$C$51</definedName>
    <definedName name="dms_PState_List">'[1]AER lookups'!$X$13:$X$38</definedName>
    <definedName name="dms_PSuburb_List">'[1]AER lookups'!$W$13:$W$38</definedName>
    <definedName name="dms_Public_Lighting_List">'[1]AER lookups'!$AN$13:$AN$38</definedName>
    <definedName name="dms_Reset_final_year">'[1]AER ETL'!$C$48</definedName>
    <definedName name="dms_Reset_RYE">'[1]AER ETL'!$C$53</definedName>
    <definedName name="dms_Reset_Span">'[1]AER ETL'!$C$57</definedName>
    <definedName name="dms_RPT">'[1]AER ETL'!$C$22</definedName>
    <definedName name="dms_RPT_List">'[1]AER lookups'!$I$13:$I$38</definedName>
    <definedName name="dms_RPTMonth">'[1]AER ETL'!$C$29</definedName>
    <definedName name="dms_RPTMonth_List">'[1]AER lookups'!$J$13:$J$38</definedName>
    <definedName name="dms_RYE_result">'[1]AER ETL'!$C$56</definedName>
    <definedName name="dms_RYE_start_row">'[1]AER ETL'!$C$41</definedName>
    <definedName name="dms_Sector_List">'[1]AER lookups'!$F$13:$F$38</definedName>
    <definedName name="dms_Segment">'[1]AER ETL'!$C$20</definedName>
    <definedName name="dms_Segment_List">'[1]AER lookups'!$G$13:$G$38</definedName>
    <definedName name="dms_Selected_Quality">'[1]Business &amp; other details'!$AR$63</definedName>
    <definedName name="dms_Selected_Source">'[1]Business &amp; other details'!$AR$61</definedName>
    <definedName name="dms_Selected_Status">'[1]Business &amp; other details'!$AR$65</definedName>
    <definedName name="dms_ShortRural_flag">'[1]AER lookups'!$AE$13:$AE$38</definedName>
    <definedName name="dms_SingleYear_Model">'[1]AER ETL'!$C$71:$C$73</definedName>
    <definedName name="dms_SingleYearModel">'[1]AER ETL'!$C$74</definedName>
    <definedName name="dms_SourceList">'[1]AER NRs'!$C$14:$C$27</definedName>
    <definedName name="dms_Specified_FinalYear">'[1]AER ETL'!$C$63</definedName>
    <definedName name="dms_Specified_RYE">'[1]AER ETL'!$C$54</definedName>
    <definedName name="dms_SpecifiedYear_Span">'[1]AER ETL'!$C$58</definedName>
    <definedName name="dms_start_year">'[1]AER ETL'!$C$35</definedName>
    <definedName name="dms_State_List">'[1]AER lookups'!$S$13:$S$38</definedName>
    <definedName name="dms_Suburb_List">'[1]AER lookups'!$R$13:$R$38</definedName>
    <definedName name="dms_TradingName">'[1]Business &amp; other details'!$AL$16</definedName>
    <definedName name="dms_TradingName_List">'[1]AER lookups'!$B$13:$B$38</definedName>
    <definedName name="dms_TradingNameFull_List">'[1]AER lookups'!$C$13:$C$38</definedName>
    <definedName name="dms_Typed_Submission_Date">'[1]Business &amp; other details'!$AR$71</definedName>
    <definedName name="dms_Urban_flag">'[1]AER lookups'!$AD$13:$AD$38</definedName>
    <definedName name="dms_Worksheet_List">'[1]AER lookups'!$D$45:$D$54</definedName>
    <definedName name="dollars">'Lookup|Tables'!$G$10</definedName>
    <definedName name="Drc">'[1]PTRM input'!$G$390</definedName>
    <definedName name="Drpc">'[1]PTRM input'!$G$388</definedName>
    <definedName name="Drpt">'[1]PTRM input'!$G$389</definedName>
    <definedName name="Dv">'[1]PTRM input'!$G$376</definedName>
    <definedName name="ERC_Final_Calc">'[1]Equity raising costs'!$Q$54</definedName>
    <definedName name="ERC_Yr01_Inc">'[1]PTRM input'!$G$110</definedName>
    <definedName name="f">'[1]PTRM input'!$G$373</definedName>
    <definedName name="factor">'Lookup|Tables'!$G$17</definedName>
    <definedName name="FPFirstYear">'Input|General'!$G$15</definedName>
    <definedName name="FPLastYear">'Input|General'!$G$16</definedName>
    <definedName name="FRCP_final_year">'[1]AER ETL'!$C$45</definedName>
    <definedName name="FRCP_y1">'[1]Business &amp; other details'!$AR$42</definedName>
    <definedName name="FRCP_y10">'[1]AER lookups'!$I$68</definedName>
    <definedName name="FRCP_y11">'[1]AER lookups'!$I$69</definedName>
    <definedName name="FRCP_y12">'[1]AER lookups'!$I$70</definedName>
    <definedName name="FRCP_y13">'[1]AER lookups'!$I$71</definedName>
    <definedName name="FRCP_y14">'[1]AER lookups'!$I$72</definedName>
    <definedName name="FRCP_y15">'[1]AER lookups'!$I$73</definedName>
    <definedName name="FRCP_y2">'[1]AER lookups'!$I$60</definedName>
    <definedName name="FRCP_y3">'[1]AER lookups'!$I$61</definedName>
    <definedName name="FRCP_y4">'[1]AER lookups'!$I$62</definedName>
    <definedName name="FRCP_y5">'[1]AER lookups'!$I$63</definedName>
    <definedName name="FRCP_y6">'[1]AER lookups'!$I$64</definedName>
    <definedName name="FRCP_y7">'[1]AER lookups'!$I$65</definedName>
    <definedName name="FRCP_y8">'[1]AER lookups'!$I$66</definedName>
    <definedName name="FRCP_y9">'[1]AER lookups'!$I$67</definedName>
    <definedName name="g">'[1]PTRM input'!$G$375</definedName>
    <definedName name="Icpr">'[1]PTRM input'!$G$386</definedName>
    <definedName name="InterveningPeriod">'Input|General'!$G$14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AN" localSheetId="1" hidden="1">{"Ownership",#N/A,FALSE,"Ownership";"Contents",#N/A,FALSE,"Contents"}</definedName>
    <definedName name="LAN" hidden="1">{"Ownership",#N/A,FALSE,"Ownership";"Contents",#N/A,FALSE,"Contents"}</definedName>
    <definedName name="millions">'Lookup|Tables'!$G$12</definedName>
    <definedName name="Nominal_to_Real">'Lookup|Tables'!$H$65:$H$71</definedName>
    <definedName name="NSP">'Input|General'!$G$7</definedName>
    <definedName name="number">'Lookup|Tables'!$G$16</definedName>
    <definedName name="P_0_RevCap">'[1]X factors'!$G$63</definedName>
    <definedName name="P_0_RevYld">'[1]X factors'!$G$83</definedName>
    <definedName name="P_0_WAPC">'[1]X factors'!$G$47</definedName>
    <definedName name="percent">'Lookup|Tables'!$G$14</definedName>
    <definedName name="PPFirstYear">'Input|General'!$G$11</definedName>
    <definedName name="PPLastYear">'Input|General'!$G$13</definedName>
    <definedName name="PRCP_final_year">'[1]AER ETL'!$C$47</definedName>
    <definedName name="PRCP_y1">'[1]AER lookups'!$E$59</definedName>
    <definedName name="PRCP_y10">'[1]AER lookups'!$E$68</definedName>
    <definedName name="PRCP_y11">'[1]AER lookups'!$E$69</definedName>
    <definedName name="PRCP_y12">'[1]AER lookups'!$E$70</definedName>
    <definedName name="PRCP_y13">'[1]AER lookups'!$E$71</definedName>
    <definedName name="PRCP_y14">'[1]AER lookups'!$E$72</definedName>
    <definedName name="PRCP_y15">'[1]AER lookups'!$E$73</definedName>
    <definedName name="PRCP_y2">'[1]AER lookups'!$E$60</definedName>
    <definedName name="PRCP_y3">'[1]AER lookups'!$E$61</definedName>
    <definedName name="PRCP_y4">'[1]AER lookups'!$E$62</definedName>
    <definedName name="PRCP_y5">'[1]AER lookups'!$E$63</definedName>
    <definedName name="PRCP_y6">'[1]AER lookups'!$E$64</definedName>
    <definedName name="PRCP_y7">'[1]AER lookups'!$E$65</definedName>
    <definedName name="PRCP_y8">'[1]AER lookups'!$E$66</definedName>
    <definedName name="PRCP_y9">'[1]AER lookups'!$E$67</definedName>
    <definedName name="RAB">'[1]PTRM input'!$J$57</definedName>
    <definedName name="Real_to_Nominal">'Lookup|Tables'!$H$65:$H$71</definedName>
    <definedName name="rvanilla01">[1]WACC!$G$19</definedName>
    <definedName name="rvanilla02">[1]WACC!$H$19</definedName>
    <definedName name="rvanilla03">[1]WACC!$I$19</definedName>
    <definedName name="rvanilla04">[1]WACC!$J$19</definedName>
    <definedName name="rvanilla05">[1]WACC!$K$19</definedName>
    <definedName name="rvanilla06">[1]WACC!$L$19</definedName>
    <definedName name="rvanilla07">[1]WACC!$M$19</definedName>
    <definedName name="rvanilla08">[1]WACC!$N$19</definedName>
    <definedName name="rvanilla09">[1]WACC!$O$19</definedName>
    <definedName name="rvanilla10">[1]WACC!$P$19</definedName>
    <definedName name="Seo">'[1]PTRM input'!$G$387</definedName>
    <definedName name="teest" localSheetId="1" hidden="1">{"Ownership",#N/A,FALSE,"Ownership";"Contents",#N/A,FALSE,"Contents"}</definedName>
    <definedName name="teest" hidden="1">{"Ownership",#N/A,FALSE,"Ownership";"Contents",#N/A,FALSE,"Contents"}</definedName>
    <definedName name="test" localSheetId="1" hidden="1">{"Ownership",#N/A,FALSE,"Ownership";"Contents",#N/A,FALSE,"Contents"}</definedName>
    <definedName name="test" hidden="1">{"Ownership",#N/A,FALSE,"Ownership";"Contents",#N/A,FALSE,"Contents"}</definedName>
    <definedName name="thousands">'Lookup|Tables'!$G$11</definedName>
    <definedName name="unit">'Lookup|Tables'!$G$15</definedName>
    <definedName name="vanilla01">[1]WACC!$G$18</definedName>
    <definedName name="vanilla02">[1]WACC!$H$18</definedName>
    <definedName name="vanilla03">[1]WACC!$I$18</definedName>
    <definedName name="vanilla04">[1]WACC!$J$18</definedName>
    <definedName name="vanilla05">[1]WACC!$K$18</definedName>
    <definedName name="vanilla06">[1]WACC!$L$18</definedName>
    <definedName name="vanilla07">[1]WACC!$M$18</definedName>
    <definedName name="vanilla08">[1]WACC!$N$18</definedName>
    <definedName name="vanilla09">[1]WACC!$O$18</definedName>
    <definedName name="vanilla10">[1]WACC!$P$18</definedName>
    <definedName name="wrn.App._.Custodians." localSheetId="1" hidden="1">{"Ownership",#N/A,FALSE,"Ownership";"Contents",#N/A,FALSE,"Contents"}</definedName>
    <definedName name="wrn.App._.Custodians." hidden="1">{"Ownership",#N/A,FALSE,"Ownership";"Contents",#N/A,FALSE,"Contents"}</definedName>
    <definedName name="X_02_RevCap">'[1]X factors'!$H$63</definedName>
    <definedName name="X_02_RevYld">'[1]X factors'!$H$83</definedName>
    <definedName name="X_02_WAPC">'[1]X factors'!$H$47</definedName>
    <definedName name="X_03_RevCap">'[1]X factors'!$I$63</definedName>
    <definedName name="X_03_RevYld">'[1]X factors'!$I$83</definedName>
    <definedName name="X_03_WAPC">'[1]X factors'!$I$47</definedName>
    <definedName name="X_04_RevCap">'[1]X factors'!$J$63</definedName>
    <definedName name="X_04_RevYld">'[1]X factors'!$J$83</definedName>
    <definedName name="X_04_WAPC">'[1]X factors'!$J$47</definedName>
    <definedName name="X_05_RevCap">'[1]X factors'!$K$63</definedName>
    <definedName name="X_05_RevYld">'[1]X factors'!$K$83</definedName>
    <definedName name="X_05_WAPC">'[1]X factors'!$K$47</definedName>
    <definedName name="X_06_RevCap">'[1]X factors'!$L$63</definedName>
    <definedName name="X_06_RevYld">'[1]X factors'!$L$83</definedName>
    <definedName name="X_06_WAPC">'[1]X factors'!$L$47</definedName>
    <definedName name="X_07_RevCap">'[1]X factors'!$M$63</definedName>
    <definedName name="X_07_RevYld">'[1]X factors'!$M$83</definedName>
    <definedName name="X_07_WAPC">'[1]X factors'!$M$47</definedName>
    <definedName name="X_08_RevCap">'[1]X factors'!$N$63</definedName>
    <definedName name="X_08_RevYld">'[1]X factors'!$N$83</definedName>
    <definedName name="X_08_WAPC">'[1]X factors'!$N$47</definedName>
    <definedName name="X_09_RevCap">'[1]X factors'!$O$63</definedName>
    <definedName name="X_09_RevYld">'[1]X factors'!$O$83</definedName>
    <definedName name="X_09_WAPC">'[1]X factors'!$O$47</definedName>
    <definedName name="X_10_RevCap">'[1]X factors'!$P$63</definedName>
    <definedName name="X_10_RevYld">'[1]X factors'!$P$83</definedName>
    <definedName name="X_10_WAPC">'[1]X factors'!$P$47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86" i="58" l="1"/>
  <c r="E86" i="58"/>
  <c r="E85" i="58" l="1"/>
  <c r="F85" i="58"/>
  <c r="F84" i="58"/>
  <c r="E84" i="58" l="1"/>
  <c r="U40" i="2" l="1"/>
  <c r="T40" i="2"/>
  <c r="S40" i="2"/>
  <c r="R40" i="2"/>
  <c r="Q40" i="2"/>
  <c r="F86" i="42"/>
  <c r="E86" i="42"/>
  <c r="F85" i="42"/>
  <c r="E85" i="42"/>
  <c r="F84" i="42"/>
  <c r="E84" i="42"/>
  <c r="F83" i="42"/>
  <c r="E83" i="42"/>
  <c r="F82" i="42"/>
  <c r="E82" i="42"/>
  <c r="F81" i="42"/>
  <c r="E81" i="42"/>
  <c r="F80" i="42"/>
  <c r="E80" i="42"/>
  <c r="F79" i="42"/>
  <c r="E79" i="42"/>
  <c r="F78" i="42"/>
  <c r="E78" i="42"/>
  <c r="F77" i="42"/>
  <c r="E77" i="42"/>
  <c r="C77" i="42"/>
  <c r="F66" i="55"/>
  <c r="G66" i="55" s="1"/>
  <c r="F64" i="55"/>
  <c r="F68" i="55" s="1"/>
  <c r="G68" i="55" s="1"/>
  <c r="H52" i="4"/>
  <c r="H53" i="4"/>
  <c r="H54" i="4"/>
  <c r="H55" i="4"/>
  <c r="H56" i="4"/>
  <c r="H57" i="4"/>
  <c r="H58" i="4"/>
  <c r="H59" i="4"/>
  <c r="H60" i="4"/>
  <c r="H51" i="4"/>
  <c r="T4" i="44"/>
  <c r="T11" i="44" s="1"/>
  <c r="S4" i="44"/>
  <c r="S11" i="44" s="1"/>
  <c r="R4" i="44"/>
  <c r="R11" i="44" s="1"/>
  <c r="Q4" i="44"/>
  <c r="Q11" i="44" s="1"/>
  <c r="P4" i="44"/>
  <c r="P11" i="44" s="1"/>
  <c r="O4" i="44"/>
  <c r="O11" i="44" s="1"/>
  <c r="O15" i="44" s="1"/>
  <c r="N4" i="44"/>
  <c r="N11" i="44" s="1"/>
  <c r="N16" i="44" s="1"/>
  <c r="M4" i="44"/>
  <c r="M11" i="44" s="1"/>
  <c r="L4" i="44"/>
  <c r="L11" i="44" s="1"/>
  <c r="K4" i="44"/>
  <c r="K11" i="44" s="1"/>
  <c r="K15" i="44" s="1"/>
  <c r="J4" i="44"/>
  <c r="J11" i="44" s="1"/>
  <c r="T4" i="42"/>
  <c r="T42" i="42" s="1"/>
  <c r="S4" i="42"/>
  <c r="S45" i="42" s="1"/>
  <c r="R4" i="42"/>
  <c r="R74" i="42" s="1"/>
  <c r="Q4" i="42"/>
  <c r="Q92" i="42" s="1"/>
  <c r="P4" i="42"/>
  <c r="P42" i="42" s="1"/>
  <c r="O4" i="42"/>
  <c r="O12" i="42" s="1"/>
  <c r="N4" i="42"/>
  <c r="N37" i="42" s="1"/>
  <c r="M4" i="42"/>
  <c r="M39" i="42" s="1"/>
  <c r="L4" i="42"/>
  <c r="L45" i="42" s="1"/>
  <c r="K4" i="42"/>
  <c r="K45" i="42" s="1"/>
  <c r="J4" i="42"/>
  <c r="J33" i="42" s="1"/>
  <c r="T4" i="53"/>
  <c r="T28" i="53" s="1"/>
  <c r="T34" i="53" s="1"/>
  <c r="S4" i="53"/>
  <c r="S28" i="53" s="1"/>
  <c r="S34" i="53" s="1"/>
  <c r="R4" i="53"/>
  <c r="R28" i="53" s="1"/>
  <c r="R34" i="53" s="1"/>
  <c r="Q4" i="53"/>
  <c r="Q38" i="53" s="1"/>
  <c r="P4" i="53"/>
  <c r="P10" i="53" s="1"/>
  <c r="O4" i="53"/>
  <c r="O42" i="53" s="1"/>
  <c r="N4" i="53"/>
  <c r="M4" i="53"/>
  <c r="L4" i="53"/>
  <c r="L38" i="53" s="1"/>
  <c r="L42" i="53" s="1"/>
  <c r="K4" i="53"/>
  <c r="K28" i="53" s="1"/>
  <c r="K34" i="53" s="1"/>
  <c r="J4" i="53"/>
  <c r="J10" i="53" s="1"/>
  <c r="J24" i="53" s="1"/>
  <c r="J4" i="2"/>
  <c r="K4" i="2"/>
  <c r="K10" i="2" s="1"/>
  <c r="U4" i="2"/>
  <c r="U105" i="2" s="1"/>
  <c r="T4" i="2"/>
  <c r="T75" i="2" s="1"/>
  <c r="S4" i="2"/>
  <c r="R4" i="2"/>
  <c r="R95" i="2" s="1"/>
  <c r="Q4" i="2"/>
  <c r="Q12" i="2" s="1"/>
  <c r="P4" i="2"/>
  <c r="P24" i="2" s="1"/>
  <c r="O4" i="2"/>
  <c r="O10" i="2" s="1"/>
  <c r="N4" i="2"/>
  <c r="N24" i="2" s="1"/>
  <c r="M4" i="2"/>
  <c r="M14" i="2" s="1"/>
  <c r="L4" i="2"/>
  <c r="L97" i="2" s="1"/>
  <c r="T4" i="58"/>
  <c r="S4" i="58"/>
  <c r="S33" i="58" s="1"/>
  <c r="R4" i="58"/>
  <c r="R10" i="58" s="1"/>
  <c r="Q4" i="58"/>
  <c r="Q33" i="58" s="1"/>
  <c r="P4" i="58"/>
  <c r="P33" i="58" s="1"/>
  <c r="O4" i="58"/>
  <c r="O33" i="58" s="1"/>
  <c r="N4" i="58"/>
  <c r="N57" i="58" s="1"/>
  <c r="M4" i="58"/>
  <c r="M10" i="58" s="1"/>
  <c r="L4" i="58"/>
  <c r="K4" i="58"/>
  <c r="K33" i="58" s="1"/>
  <c r="J4" i="58"/>
  <c r="J10" i="58" s="1"/>
  <c r="Q107" i="2"/>
  <c r="T107" i="2"/>
  <c r="U107" i="2"/>
  <c r="S107" i="2"/>
  <c r="P30" i="42"/>
  <c r="Q30" i="42"/>
  <c r="R30" i="42"/>
  <c r="S30" i="42"/>
  <c r="T30" i="42"/>
  <c r="E43" i="58"/>
  <c r="E44" i="58"/>
  <c r="E45" i="58"/>
  <c r="E46" i="58"/>
  <c r="E47" i="58"/>
  <c r="E48" i="58"/>
  <c r="E49" i="58"/>
  <c r="E50" i="58"/>
  <c r="E42" i="58"/>
  <c r="F43" i="58"/>
  <c r="F44" i="58"/>
  <c r="F45" i="58"/>
  <c r="F46" i="58"/>
  <c r="F47" i="58"/>
  <c r="F48" i="58"/>
  <c r="F49" i="58"/>
  <c r="F50" i="58"/>
  <c r="F42" i="58"/>
  <c r="F24" i="42"/>
  <c r="E24" i="42"/>
  <c r="E25" i="42"/>
  <c r="W52" i="58"/>
  <c r="S52" i="58"/>
  <c r="R52" i="58"/>
  <c r="Q52" i="58"/>
  <c r="P52" i="58"/>
  <c r="O52" i="58"/>
  <c r="N52" i="58"/>
  <c r="M52" i="58"/>
  <c r="L52" i="58"/>
  <c r="K52" i="58"/>
  <c r="J52" i="58"/>
  <c r="T38" i="58"/>
  <c r="T16" i="42" s="1"/>
  <c r="S38" i="58"/>
  <c r="S16" i="42" s="1"/>
  <c r="R38" i="58"/>
  <c r="R16" i="42" s="1"/>
  <c r="Q38" i="58"/>
  <c r="Q16" i="42" s="1"/>
  <c r="P38" i="58"/>
  <c r="P16" i="42" s="1"/>
  <c r="O38" i="58"/>
  <c r="O16" i="42" s="1"/>
  <c r="N38" i="58"/>
  <c r="N16" i="42" s="1"/>
  <c r="M38" i="58"/>
  <c r="M16" i="42" s="1"/>
  <c r="L38" i="58"/>
  <c r="L16" i="42" s="1"/>
  <c r="K38" i="58"/>
  <c r="K16" i="42" s="1"/>
  <c r="J38" i="58"/>
  <c r="J16" i="42" s="1"/>
  <c r="F38" i="58"/>
  <c r="F16" i="42" s="1"/>
  <c r="E38" i="58"/>
  <c r="E16" i="42" s="1"/>
  <c r="D38" i="58"/>
  <c r="E17" i="42"/>
  <c r="E18" i="42"/>
  <c r="C97" i="2" a="1"/>
  <c r="C97" i="2" s="1"/>
  <c r="C16" i="16"/>
  <c r="D16" i="16" s="1"/>
  <c r="G16" i="16"/>
  <c r="S14" i="54"/>
  <c r="S11" i="54"/>
  <c r="S10" i="54"/>
  <c r="S9" i="54"/>
  <c r="H66" i="4"/>
  <c r="H67" i="4"/>
  <c r="H68" i="4"/>
  <c r="H69" i="4"/>
  <c r="H70" i="4"/>
  <c r="H71" i="4" s="1"/>
  <c r="H72" i="4" s="1"/>
  <c r="H73" i="4" s="1"/>
  <c r="H74" i="4" s="1"/>
  <c r="H75" i="4" s="1"/>
  <c r="H76" i="4" s="1"/>
  <c r="H65" i="4"/>
  <c r="Q10" i="53"/>
  <c r="U77" i="2"/>
  <c r="U81" i="2"/>
  <c r="U82" i="2"/>
  <c r="T15" i="58"/>
  <c r="R35" i="42"/>
  <c r="R37" i="42"/>
  <c r="N39" i="42"/>
  <c r="Q33" i="42"/>
  <c r="M45" i="42"/>
  <c r="J39" i="42"/>
  <c r="J22" i="42"/>
  <c r="J10" i="42"/>
  <c r="J30" i="42" s="1"/>
  <c r="Q102" i="42"/>
  <c r="F25" i="42"/>
  <c r="S49" i="2"/>
  <c r="S60" i="2" s="1"/>
  <c r="U75" i="2"/>
  <c r="K24" i="2"/>
  <c r="F18" i="42"/>
  <c r="F17" i="42"/>
  <c r="J93" i="2" a="1"/>
  <c r="J93" i="2" s="1"/>
  <c r="K93" i="2" a="1"/>
  <c r="K93" i="2" s="1"/>
  <c r="L93" i="2" a="1"/>
  <c r="L93" i="2" s="1"/>
  <c r="M93" i="2" a="1"/>
  <c r="M93" i="2" s="1"/>
  <c r="U78" i="2"/>
  <c r="U80" i="2"/>
  <c r="U79" i="2"/>
  <c r="T65" i="55"/>
  <c r="T66" i="55"/>
  <c r="T67" i="55"/>
  <c r="T68" i="55"/>
  <c r="T69" i="55"/>
  <c r="T70" i="55"/>
  <c r="T71" i="55"/>
  <c r="T72" i="55"/>
  <c r="T73" i="55"/>
  <c r="T74" i="55"/>
  <c r="T75" i="55"/>
  <c r="T76" i="55"/>
  <c r="T77" i="55"/>
  <c r="T78" i="55"/>
  <c r="T79" i="55"/>
  <c r="T80" i="55"/>
  <c r="T81" i="55"/>
  <c r="T82" i="55"/>
  <c r="T83" i="55"/>
  <c r="T84" i="55"/>
  <c r="G64" i="55"/>
  <c r="G69" i="55"/>
  <c r="G70" i="55"/>
  <c r="G71" i="55"/>
  <c r="G72" i="55"/>
  <c r="G73" i="55"/>
  <c r="G74" i="55"/>
  <c r="G75" i="55"/>
  <c r="G76" i="55"/>
  <c r="G77" i="55"/>
  <c r="G78" i="55"/>
  <c r="G79" i="55"/>
  <c r="G80" i="55"/>
  <c r="G81" i="55"/>
  <c r="G82" i="55"/>
  <c r="G83" i="55"/>
  <c r="G84" i="55"/>
  <c r="C15" i="16"/>
  <c r="D15" i="16" s="1"/>
  <c r="C14" i="16"/>
  <c r="C13" i="16"/>
  <c r="D13" i="16" s="1"/>
  <c r="C12" i="16"/>
  <c r="D12" i="16" s="1"/>
  <c r="C11" i="16"/>
  <c r="D11" i="16" s="1"/>
  <c r="F70" i="58"/>
  <c r="F65" i="58"/>
  <c r="F66" i="58"/>
  <c r="F67" i="58"/>
  <c r="F68" i="58"/>
  <c r="F64" i="58"/>
  <c r="C80" i="4"/>
  <c r="K70" i="58"/>
  <c r="L70" i="58"/>
  <c r="M70" i="58"/>
  <c r="N70" i="58"/>
  <c r="O70" i="58"/>
  <c r="P70" i="58"/>
  <c r="Q70" i="58"/>
  <c r="R70" i="58"/>
  <c r="S70" i="58"/>
  <c r="J70" i="58"/>
  <c r="W79" i="58"/>
  <c r="W29" i="58"/>
  <c r="T93" i="2" a="1"/>
  <c r="T93" i="2" s="1"/>
  <c r="S93" i="2" a="1"/>
  <c r="S93" i="2" s="1"/>
  <c r="R93" i="2" a="1"/>
  <c r="R93" i="2" s="1"/>
  <c r="Q93" i="2" a="1"/>
  <c r="Q93" i="2" s="1"/>
  <c r="P93" i="2" a="1"/>
  <c r="P93" i="2" s="1"/>
  <c r="O93" i="2" a="1"/>
  <c r="O93" i="2" s="1"/>
  <c r="N93" i="2" a="1"/>
  <c r="N93" i="2" s="1"/>
  <c r="C91" i="2"/>
  <c r="C90" i="2"/>
  <c r="C89" i="2"/>
  <c r="C88" i="2"/>
  <c r="C87" i="2"/>
  <c r="C86" i="2"/>
  <c r="F20" i="42"/>
  <c r="F26" i="42"/>
  <c r="E26" i="42"/>
  <c r="F23" i="42"/>
  <c r="E23" i="42"/>
  <c r="F21" i="42"/>
  <c r="E21" i="42"/>
  <c r="K29" i="58"/>
  <c r="L29" i="58"/>
  <c r="M29" i="58"/>
  <c r="N29" i="58"/>
  <c r="O29" i="58"/>
  <c r="P29" i="58"/>
  <c r="Q29" i="58"/>
  <c r="R29" i="58"/>
  <c r="S29" i="58"/>
  <c r="J29" i="58"/>
  <c r="E19" i="58"/>
  <c r="E15" i="58"/>
  <c r="E14" i="42" s="1"/>
  <c r="D15" i="58"/>
  <c r="F15" i="58"/>
  <c r="F26" i="58" s="1"/>
  <c r="K15" i="58"/>
  <c r="L15" i="58"/>
  <c r="M15" i="58"/>
  <c r="N15" i="58"/>
  <c r="O15" i="58"/>
  <c r="P15" i="58"/>
  <c r="Q15" i="58"/>
  <c r="R15" i="58"/>
  <c r="S15" i="58"/>
  <c r="J15" i="58"/>
  <c r="E31" i="42"/>
  <c r="F30" i="42"/>
  <c r="F31" i="42"/>
  <c r="C31" i="42"/>
  <c r="E94" i="58"/>
  <c r="E30" i="42" s="1"/>
  <c r="F37" i="42"/>
  <c r="E37" i="42"/>
  <c r="K79" i="58"/>
  <c r="L79" i="58"/>
  <c r="M79" i="58"/>
  <c r="M20" i="42" s="1"/>
  <c r="N79" i="58"/>
  <c r="O79" i="58"/>
  <c r="P79" i="58"/>
  <c r="Q79" i="58"/>
  <c r="R79" i="58"/>
  <c r="S79" i="58"/>
  <c r="J79" i="58"/>
  <c r="E70" i="58"/>
  <c r="I42" i="4"/>
  <c r="I43" i="4"/>
  <c r="I44" i="4"/>
  <c r="I45" i="4"/>
  <c r="I46" i="4"/>
  <c r="I47" i="4"/>
  <c r="I48" i="4"/>
  <c r="I49" i="4"/>
  <c r="I50" i="4"/>
  <c r="I51" i="4"/>
  <c r="I52" i="4"/>
  <c r="G72" i="4" s="1"/>
  <c r="I53" i="4"/>
  <c r="G73" i="4" s="1"/>
  <c r="I54" i="4"/>
  <c r="G74" i="4" s="1"/>
  <c r="I55" i="4"/>
  <c r="G75" i="4" s="1"/>
  <c r="I56" i="4"/>
  <c r="G76" i="4" s="1"/>
  <c r="I57" i="4"/>
  <c r="I58" i="4"/>
  <c r="I59" i="4"/>
  <c r="I60" i="4"/>
  <c r="I41" i="4"/>
  <c r="H42" i="4"/>
  <c r="H43" i="4"/>
  <c r="H44" i="4"/>
  <c r="H45" i="4"/>
  <c r="H46" i="4"/>
  <c r="H47" i="4"/>
  <c r="H48" i="4"/>
  <c r="H49" i="4"/>
  <c r="H50" i="4"/>
  <c r="H41" i="4"/>
  <c r="C40" i="4"/>
  <c r="F33" i="42"/>
  <c r="E33" i="42"/>
  <c r="F28" i="42"/>
  <c r="E28" i="42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81" i="2"/>
  <c r="K81" i="2"/>
  <c r="L81" i="2"/>
  <c r="M81" i="2"/>
  <c r="N81" i="2"/>
  <c r="O81" i="2"/>
  <c r="P81" i="2"/>
  <c r="Q81" i="2"/>
  <c r="R81" i="2"/>
  <c r="S81" i="2"/>
  <c r="T81" i="2"/>
  <c r="J82" i="2"/>
  <c r="K82" i="2"/>
  <c r="L82" i="2"/>
  <c r="M82" i="2"/>
  <c r="N82" i="2"/>
  <c r="O82" i="2"/>
  <c r="P82" i="2"/>
  <c r="Q82" i="2"/>
  <c r="R82" i="2"/>
  <c r="S82" i="2"/>
  <c r="T82" i="2"/>
  <c r="J77" i="2"/>
  <c r="K77" i="2"/>
  <c r="L77" i="2"/>
  <c r="M77" i="2"/>
  <c r="O77" i="2"/>
  <c r="P77" i="2"/>
  <c r="Q77" i="2"/>
  <c r="R77" i="2"/>
  <c r="S77" i="2"/>
  <c r="T77" i="2"/>
  <c r="N77" i="2"/>
  <c r="K100" i="2"/>
  <c r="O99" i="2"/>
  <c r="O97" i="2"/>
  <c r="J98" i="2"/>
  <c r="J97" i="2"/>
  <c r="J100" i="2"/>
  <c r="N22" i="42"/>
  <c r="R22" i="42"/>
  <c r="Q12" i="42"/>
  <c r="R12" i="42"/>
  <c r="K10" i="53"/>
  <c r="K24" i="53" s="1"/>
  <c r="S8" i="54"/>
  <c r="J14" i="42"/>
  <c r="F51" i="42"/>
  <c r="C51" i="42"/>
  <c r="C52" i="42" s="1"/>
  <c r="F48" i="42"/>
  <c r="C48" i="42"/>
  <c r="C49" i="42" s="1"/>
  <c r="F45" i="42"/>
  <c r="C45" i="42"/>
  <c r="C46" i="42" s="1"/>
  <c r="F42" i="42"/>
  <c r="C42" i="42"/>
  <c r="C43" i="42" s="1"/>
  <c r="F39" i="42"/>
  <c r="C39" i="42"/>
  <c r="C40" i="42" s="1"/>
  <c r="F12" i="42"/>
  <c r="E12" i="42"/>
  <c r="E92" i="58"/>
  <c r="E91" i="58"/>
  <c r="E90" i="58"/>
  <c r="E45" i="42" s="1"/>
  <c r="E89" i="58"/>
  <c r="E42" i="42" s="1"/>
  <c r="E88" i="58"/>
  <c r="E39" i="42" s="1"/>
  <c r="F77" i="58"/>
  <c r="E77" i="58"/>
  <c r="F76" i="58"/>
  <c r="E76" i="58"/>
  <c r="F75" i="58"/>
  <c r="E75" i="58"/>
  <c r="F74" i="58"/>
  <c r="E74" i="58"/>
  <c r="E68" i="58"/>
  <c r="E67" i="58"/>
  <c r="E66" i="58"/>
  <c r="E65" i="58"/>
  <c r="E64" i="58"/>
  <c r="E60" i="58"/>
  <c r="F19" i="58"/>
  <c r="C2" i="58"/>
  <c r="C1" i="58"/>
  <c r="F16" i="44"/>
  <c r="F15" i="44"/>
  <c r="F14" i="44"/>
  <c r="E16" i="44"/>
  <c r="E15" i="44"/>
  <c r="E14" i="44"/>
  <c r="C15" i="44"/>
  <c r="C16" i="44"/>
  <c r="C13" i="44"/>
  <c r="C14" i="44"/>
  <c r="F104" i="42"/>
  <c r="E104" i="42"/>
  <c r="K14" i="44"/>
  <c r="K16" i="44"/>
  <c r="K13" i="44"/>
  <c r="O14" i="44"/>
  <c r="O16" i="44"/>
  <c r="O13" i="44"/>
  <c r="F106" i="42"/>
  <c r="F105" i="42"/>
  <c r="F98" i="42"/>
  <c r="F96" i="42"/>
  <c r="F95" i="42"/>
  <c r="F94" i="42"/>
  <c r="F88" i="42"/>
  <c r="F76" i="42"/>
  <c r="G26" i="55"/>
  <c r="G27" i="55"/>
  <c r="G28" i="55"/>
  <c r="G29" i="55"/>
  <c r="G30" i="55"/>
  <c r="G31" i="55"/>
  <c r="G32" i="55"/>
  <c r="G33" i="55"/>
  <c r="G34" i="55"/>
  <c r="G35" i="55"/>
  <c r="G36" i="55"/>
  <c r="G37" i="55"/>
  <c r="G38" i="55"/>
  <c r="G39" i="55"/>
  <c r="G40" i="55"/>
  <c r="G41" i="55"/>
  <c r="G42" i="55"/>
  <c r="G43" i="55"/>
  <c r="G44" i="55"/>
  <c r="G45" i="55"/>
  <c r="G46" i="55"/>
  <c r="G47" i="55"/>
  <c r="G48" i="55"/>
  <c r="G49" i="55"/>
  <c r="G50" i="55"/>
  <c r="G51" i="55"/>
  <c r="G52" i="55"/>
  <c r="G53" i="55"/>
  <c r="G54" i="55"/>
  <c r="G55" i="55"/>
  <c r="G56" i="55"/>
  <c r="G57" i="55"/>
  <c r="G58" i="55"/>
  <c r="G59" i="55"/>
  <c r="G60" i="55"/>
  <c r="G61" i="55"/>
  <c r="G62" i="55"/>
  <c r="G25" i="55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T9" i="55"/>
  <c r="T10" i="55"/>
  <c r="T11" i="55"/>
  <c r="T12" i="55"/>
  <c r="T13" i="55"/>
  <c r="T14" i="55"/>
  <c r="T15" i="55"/>
  <c r="T16" i="55"/>
  <c r="T17" i="55"/>
  <c r="T18" i="55"/>
  <c r="T19" i="55"/>
  <c r="T20" i="55"/>
  <c r="T21" i="55"/>
  <c r="T22" i="55"/>
  <c r="T23" i="55"/>
  <c r="T24" i="55"/>
  <c r="T25" i="55"/>
  <c r="T26" i="55"/>
  <c r="T27" i="55"/>
  <c r="T28" i="55"/>
  <c r="T29" i="55"/>
  <c r="T30" i="55"/>
  <c r="T31" i="55"/>
  <c r="T32" i="55"/>
  <c r="T33" i="55"/>
  <c r="T34" i="55"/>
  <c r="T35" i="55"/>
  <c r="T36" i="55"/>
  <c r="T37" i="55"/>
  <c r="T38" i="55"/>
  <c r="T39" i="55"/>
  <c r="T40" i="55"/>
  <c r="T41" i="55"/>
  <c r="T42" i="55"/>
  <c r="T43" i="55"/>
  <c r="T44" i="55"/>
  <c r="T45" i="55"/>
  <c r="T46" i="55"/>
  <c r="T47" i="55"/>
  <c r="T48" i="55"/>
  <c r="T49" i="55"/>
  <c r="T50" i="55"/>
  <c r="T51" i="55"/>
  <c r="T52" i="55"/>
  <c r="T53" i="55"/>
  <c r="T54" i="55"/>
  <c r="T55" i="55"/>
  <c r="T56" i="55"/>
  <c r="T57" i="55"/>
  <c r="T58" i="55"/>
  <c r="T59" i="55"/>
  <c r="T60" i="55"/>
  <c r="T61" i="55"/>
  <c r="T62" i="55"/>
  <c r="T64" i="55"/>
  <c r="O109" i="2"/>
  <c r="C24" i="4"/>
  <c r="Q14" i="42"/>
  <c r="N14" i="42"/>
  <c r="R14" i="42"/>
  <c r="O47" i="2"/>
  <c r="N109" i="2"/>
  <c r="J109" i="2"/>
  <c r="J73" i="2"/>
  <c r="J70" i="42" a="1"/>
  <c r="J70" i="42" s="1"/>
  <c r="F52" i="42"/>
  <c r="E52" i="42"/>
  <c r="F49" i="42"/>
  <c r="E49" i="42"/>
  <c r="F46" i="42"/>
  <c r="E46" i="42"/>
  <c r="F43" i="42"/>
  <c r="E43" i="42"/>
  <c r="F40" i="42"/>
  <c r="E40" i="42"/>
  <c r="E88" i="42"/>
  <c r="E106" i="42"/>
  <c r="F15" i="42"/>
  <c r="F56" i="42"/>
  <c r="F54" i="42"/>
  <c r="C94" i="42"/>
  <c r="C95" i="42"/>
  <c r="C96" i="42"/>
  <c r="F13" i="44"/>
  <c r="E56" i="42"/>
  <c r="F35" i="42"/>
  <c r="E54" i="42"/>
  <c r="F13" i="42"/>
  <c r="E13" i="42"/>
  <c r="E15" i="42"/>
  <c r="E13" i="44"/>
  <c r="E105" i="42"/>
  <c r="E76" i="42"/>
  <c r="E94" i="42"/>
  <c r="E95" i="42"/>
  <c r="E96" i="42"/>
  <c r="E98" i="42"/>
  <c r="E35" i="42"/>
  <c r="B2" i="55"/>
  <c r="S12" i="54"/>
  <c r="S16" i="54"/>
  <c r="G15" i="16"/>
  <c r="B1" i="55"/>
  <c r="E12" i="2"/>
  <c r="O65" i="42"/>
  <c r="O67" i="42"/>
  <c r="J65" i="42"/>
  <c r="J67" i="42"/>
  <c r="K65" i="42"/>
  <c r="K67" i="42"/>
  <c r="L65" i="42"/>
  <c r="L67" i="42"/>
  <c r="M65" i="42"/>
  <c r="M67" i="42"/>
  <c r="N65" i="42"/>
  <c r="N67" i="42"/>
  <c r="Q67" i="42"/>
  <c r="S67" i="42"/>
  <c r="C78" i="2"/>
  <c r="C79" i="2"/>
  <c r="C80" i="2"/>
  <c r="C81" i="2"/>
  <c r="C82" i="2"/>
  <c r="C77" i="2"/>
  <c r="S7" i="54"/>
  <c r="S13" i="54"/>
  <c r="S15" i="54"/>
  <c r="D14" i="16"/>
  <c r="C10" i="16"/>
  <c r="D10" i="16" s="1"/>
  <c r="C53" i="2"/>
  <c r="C54" i="2"/>
  <c r="C55" i="2"/>
  <c r="C56" i="2"/>
  <c r="C57" i="2"/>
  <c r="C58" i="2"/>
  <c r="E58" i="2"/>
  <c r="E57" i="2"/>
  <c r="E56" i="2"/>
  <c r="E55" i="2"/>
  <c r="E54" i="2"/>
  <c r="E53" i="2"/>
  <c r="E52" i="2"/>
  <c r="E51" i="2"/>
  <c r="B2" i="53"/>
  <c r="B1" i="53"/>
  <c r="E107" i="2"/>
  <c r="B2" i="2"/>
  <c r="B1" i="2"/>
  <c r="C64" i="4"/>
  <c r="B2" i="54"/>
  <c r="B1" i="54"/>
  <c r="E44" i="2"/>
  <c r="E45" i="2"/>
  <c r="B2" i="44"/>
  <c r="B2" i="42"/>
  <c r="B1" i="44"/>
  <c r="B1" i="42"/>
  <c r="E43" i="2"/>
  <c r="E42" i="2"/>
  <c r="E41" i="2"/>
  <c r="E40" i="2"/>
  <c r="E39" i="2"/>
  <c r="E38" i="2"/>
  <c r="B2" i="16"/>
  <c r="B1" i="16"/>
  <c r="C9" i="4"/>
  <c r="B2" i="4"/>
  <c r="B1" i="4"/>
  <c r="N70" i="42" a="1"/>
  <c r="N70" i="42" s="1"/>
  <c r="P67" i="42" l="1"/>
  <c r="S65" i="42"/>
  <c r="F14" i="42"/>
  <c r="Q22" i="42"/>
  <c r="O24" i="2"/>
  <c r="M51" i="42"/>
  <c r="P38" i="53"/>
  <c r="P10" i="58"/>
  <c r="R67" i="42"/>
  <c r="F25" i="58"/>
  <c r="N97" i="2"/>
  <c r="M24" i="42"/>
  <c r="Q35" i="42"/>
  <c r="Q65" i="42"/>
  <c r="E24" i="58"/>
  <c r="O34" i="53"/>
  <c r="E27" i="58"/>
  <c r="P37" i="42"/>
  <c r="K12" i="42"/>
  <c r="P98" i="2"/>
  <c r="K51" i="42"/>
  <c r="S51" i="42"/>
  <c r="P109" i="2"/>
  <c r="F21" i="58"/>
  <c r="F23" i="58"/>
  <c r="R65" i="42"/>
  <c r="E21" i="58"/>
  <c r="E26" i="58"/>
  <c r="M97" i="2"/>
  <c r="P92" i="42"/>
  <c r="L42" i="42"/>
  <c r="U12" i="2"/>
  <c r="E22" i="58"/>
  <c r="E22" i="42" s="1"/>
  <c r="E25" i="58"/>
  <c r="Q75" i="2"/>
  <c r="T39" i="42"/>
  <c r="E20" i="58"/>
  <c r="E23" i="58"/>
  <c r="P20" i="42"/>
  <c r="L24" i="42"/>
  <c r="P65" i="42"/>
  <c r="T65" i="42"/>
  <c r="S1" i="54"/>
  <c r="G10" i="16" s="1"/>
  <c r="C100" i="2"/>
  <c r="E48" i="42"/>
  <c r="E51" i="42"/>
  <c r="R75" i="2"/>
  <c r="C99" i="2"/>
  <c r="W93" i="2"/>
  <c r="K12" i="2"/>
  <c r="C101" i="2"/>
  <c r="C98" i="2"/>
  <c r="F63" i="55"/>
  <c r="L73" i="2"/>
  <c r="K14" i="42"/>
  <c r="L10" i="53"/>
  <c r="L24" i="53" s="1"/>
  <c r="M12" i="42"/>
  <c r="N98" i="2"/>
  <c r="S1" i="58"/>
  <c r="G12" i="16" s="1"/>
  <c r="Q74" i="42"/>
  <c r="M33" i="42"/>
  <c r="M63" i="42"/>
  <c r="M69" i="42" s="1"/>
  <c r="Q39" i="42"/>
  <c r="R12" i="2"/>
  <c r="U109" i="2"/>
  <c r="F67" i="55"/>
  <c r="N73" i="2"/>
  <c r="S14" i="42"/>
  <c r="S12" i="42"/>
  <c r="S13" i="42" s="1"/>
  <c r="S28" i="42" s="1"/>
  <c r="Q20" i="42"/>
  <c r="L100" i="2"/>
  <c r="K99" i="2"/>
  <c r="R105" i="2"/>
  <c r="R109" i="2" s="1"/>
  <c r="R64" i="2"/>
  <c r="R73" i="2" s="1"/>
  <c r="T10" i="53"/>
  <c r="M35" i="42"/>
  <c r="Q37" i="42"/>
  <c r="T67" i="42"/>
  <c r="O12" i="2"/>
  <c r="F65" i="55"/>
  <c r="G65" i="55" s="1"/>
  <c r="R98" i="2"/>
  <c r="R100" i="2"/>
  <c r="R97" i="2"/>
  <c r="J14" i="44"/>
  <c r="J15" i="44"/>
  <c r="O24" i="53"/>
  <c r="T51" i="42"/>
  <c r="M70" i="42" a="1"/>
  <c r="M70" i="42" s="1"/>
  <c r="N47" i="2"/>
  <c r="M14" i="42"/>
  <c r="K109" i="2"/>
  <c r="M22" i="42"/>
  <c r="L20" i="42"/>
  <c r="N100" i="2"/>
  <c r="K97" i="2"/>
  <c r="N14" i="2"/>
  <c r="R36" i="2"/>
  <c r="R47" i="2" s="1"/>
  <c r="R49" i="2"/>
  <c r="R60" i="2" s="1"/>
  <c r="T102" i="42"/>
  <c r="P28" i="53"/>
  <c r="P34" i="53" s="1"/>
  <c r="Q60" i="42"/>
  <c r="L37" i="42"/>
  <c r="P39" i="42"/>
  <c r="U95" i="2"/>
  <c r="U99" i="2" s="1"/>
  <c r="M37" i="42"/>
  <c r="M42" i="42"/>
  <c r="Q24" i="42"/>
  <c r="Q45" i="42"/>
  <c r="Q51" i="42"/>
  <c r="T37" i="42"/>
  <c r="N10" i="2"/>
  <c r="N12" i="2" s="1"/>
  <c r="U49" i="2"/>
  <c r="U60" i="2" s="1"/>
  <c r="Q49" i="2"/>
  <c r="Q60" i="2" s="1"/>
  <c r="L39" i="42"/>
  <c r="L63" i="42"/>
  <c r="L69" i="42" s="1"/>
  <c r="P45" i="42"/>
  <c r="U36" i="2"/>
  <c r="U47" i="2" s="1"/>
  <c r="L14" i="42"/>
  <c r="K73" i="2"/>
  <c r="K47" i="2"/>
  <c r="L12" i="42"/>
  <c r="L22" i="42"/>
  <c r="M98" i="2"/>
  <c r="N99" i="2"/>
  <c r="K98" i="2"/>
  <c r="S10" i="53"/>
  <c r="K14" i="2"/>
  <c r="M10" i="42"/>
  <c r="M30" i="42" s="1"/>
  <c r="L10" i="42"/>
  <c r="L30" i="42" s="1"/>
  <c r="L48" i="42"/>
  <c r="P51" i="42"/>
  <c r="U64" i="2"/>
  <c r="U73" i="2" s="1"/>
  <c r="M48" i="42"/>
  <c r="Q48" i="42"/>
  <c r="Q42" i="42"/>
  <c r="T45" i="42"/>
  <c r="M10" i="2"/>
  <c r="M12" i="2" s="1"/>
  <c r="S38" i="53"/>
  <c r="M16" i="44"/>
  <c r="M14" i="44"/>
  <c r="M15" i="44"/>
  <c r="M13" i="44"/>
  <c r="L14" i="44"/>
  <c r="L16" i="44"/>
  <c r="L15" i="44"/>
  <c r="L13" i="44"/>
  <c r="O70" i="42" a="1"/>
  <c r="O70" i="42" s="1"/>
  <c r="L109" i="2"/>
  <c r="N14" i="44"/>
  <c r="J28" i="53"/>
  <c r="J34" i="53" s="1"/>
  <c r="O22" i="42"/>
  <c r="L14" i="2"/>
  <c r="T105" i="2"/>
  <c r="T109" i="2" s="1"/>
  <c r="S74" i="42"/>
  <c r="K33" i="42"/>
  <c r="S48" i="42"/>
  <c r="L70" i="42" a="1"/>
  <c r="L70" i="42" s="1"/>
  <c r="J16" i="44"/>
  <c r="K38" i="53"/>
  <c r="K42" i="53" s="1"/>
  <c r="P12" i="42"/>
  <c r="P13" i="42" s="1"/>
  <c r="P28" i="42" s="1"/>
  <c r="K20" i="42"/>
  <c r="M100" i="2"/>
  <c r="P97" i="2"/>
  <c r="L98" i="2"/>
  <c r="R99" i="2"/>
  <c r="R101" i="2"/>
  <c r="M24" i="2"/>
  <c r="T95" i="2"/>
  <c r="T101" i="2" s="1"/>
  <c r="Q36" i="2"/>
  <c r="Q47" i="2" s="1"/>
  <c r="T60" i="42"/>
  <c r="Q95" i="2"/>
  <c r="O10" i="42"/>
  <c r="K35" i="42"/>
  <c r="K63" i="42"/>
  <c r="K69" i="42" s="1"/>
  <c r="S42" i="42"/>
  <c r="S92" i="42"/>
  <c r="L33" i="42"/>
  <c r="L35" i="42"/>
  <c r="P35" i="42"/>
  <c r="P33" i="42"/>
  <c r="P74" i="42"/>
  <c r="T35" i="42"/>
  <c r="T33" i="42"/>
  <c r="T74" i="42"/>
  <c r="P47" i="2"/>
  <c r="P100" i="2"/>
  <c r="K70" i="42" a="1"/>
  <c r="K70" i="42" s="1"/>
  <c r="M73" i="2"/>
  <c r="L47" i="2"/>
  <c r="M47" i="2"/>
  <c r="P14" i="42"/>
  <c r="O14" i="42"/>
  <c r="M109" i="2"/>
  <c r="N15" i="44"/>
  <c r="S22" i="42"/>
  <c r="P22" i="42"/>
  <c r="M99" i="2"/>
  <c r="T92" i="42"/>
  <c r="Q105" i="2"/>
  <c r="Q109" i="2" s="1"/>
  <c r="P60" i="42"/>
  <c r="Q64" i="2"/>
  <c r="Q73" i="2" s="1"/>
  <c r="P102" i="42"/>
  <c r="K24" i="42"/>
  <c r="S24" i="42"/>
  <c r="L51" i="42"/>
  <c r="P24" i="42"/>
  <c r="P48" i="42"/>
  <c r="T24" i="42"/>
  <c r="T48" i="42"/>
  <c r="N13" i="44"/>
  <c r="J13" i="44"/>
  <c r="L33" i="58"/>
  <c r="L10" i="58"/>
  <c r="L57" i="58"/>
  <c r="T10" i="58"/>
  <c r="T33" i="58"/>
  <c r="O14" i="2"/>
  <c r="O98" i="2"/>
  <c r="O100" i="2"/>
  <c r="S105" i="2"/>
  <c r="S109" i="2" s="1"/>
  <c r="S64" i="2"/>
  <c r="S73" i="2" s="1"/>
  <c r="S12" i="2"/>
  <c r="S95" i="2"/>
  <c r="S75" i="2"/>
  <c r="S36" i="2"/>
  <c r="S47" i="2" s="1"/>
  <c r="J99" i="2"/>
  <c r="J14" i="2"/>
  <c r="J24" i="2"/>
  <c r="J10" i="2"/>
  <c r="J47" i="2"/>
  <c r="M28" i="53"/>
  <c r="M34" i="53" s="1"/>
  <c r="M10" i="53"/>
  <c r="M24" i="53" s="1"/>
  <c r="J63" i="42"/>
  <c r="J69" i="42" s="1"/>
  <c r="J42" i="42"/>
  <c r="J48" i="42"/>
  <c r="J51" i="42"/>
  <c r="J45" i="42"/>
  <c r="J24" i="42"/>
  <c r="J37" i="42"/>
  <c r="J35" i="42"/>
  <c r="J20" i="42"/>
  <c r="J12" i="42"/>
  <c r="N33" i="42"/>
  <c r="N35" i="42"/>
  <c r="N12" i="42"/>
  <c r="N63" i="42"/>
  <c r="N69" i="42" s="1"/>
  <c r="N51" i="42"/>
  <c r="N45" i="42"/>
  <c r="N10" i="42"/>
  <c r="N30" i="42" s="1"/>
  <c r="N48" i="42"/>
  <c r="N24" i="42"/>
  <c r="N42" i="42"/>
  <c r="N20" i="42"/>
  <c r="R48" i="42"/>
  <c r="R42" i="42"/>
  <c r="R24" i="42"/>
  <c r="R92" i="42"/>
  <c r="R60" i="42"/>
  <c r="R51" i="42"/>
  <c r="R45" i="42"/>
  <c r="R39" i="42"/>
  <c r="R102" i="42"/>
  <c r="R33" i="42"/>
  <c r="R20" i="42"/>
  <c r="Q10" i="58"/>
  <c r="L10" i="2"/>
  <c r="L12" i="2" s="1"/>
  <c r="L24" i="2"/>
  <c r="L99" i="2"/>
  <c r="P10" i="2"/>
  <c r="P12" i="2" s="1"/>
  <c r="P99" i="2"/>
  <c r="P64" i="2"/>
  <c r="P73" i="2" s="1"/>
  <c r="P14" i="2"/>
  <c r="T12" i="2"/>
  <c r="T49" i="2"/>
  <c r="T60" i="2" s="1"/>
  <c r="T64" i="2"/>
  <c r="T73" i="2" s="1"/>
  <c r="T36" i="2"/>
  <c r="T47" i="2" s="1"/>
  <c r="N28" i="53"/>
  <c r="N34" i="53" s="1"/>
  <c r="N38" i="53"/>
  <c r="N42" i="53" s="1"/>
  <c r="K48" i="42"/>
  <c r="K39" i="42"/>
  <c r="K10" i="42"/>
  <c r="K30" i="42" s="1"/>
  <c r="K22" i="42"/>
  <c r="K37" i="42"/>
  <c r="K42" i="42"/>
  <c r="O63" i="42"/>
  <c r="O69" i="42" s="1"/>
  <c r="O39" i="42"/>
  <c r="O20" i="42"/>
  <c r="O45" i="42"/>
  <c r="O24" i="42"/>
  <c r="S37" i="42"/>
  <c r="S39" i="42"/>
  <c r="S60" i="42"/>
  <c r="S20" i="42"/>
  <c r="S33" i="42"/>
  <c r="S35" i="42"/>
  <c r="S102" i="42"/>
  <c r="M38" i="53"/>
  <c r="M42" i="53" s="1"/>
  <c r="J38" i="53"/>
  <c r="J42" i="53" s="1"/>
  <c r="N10" i="53"/>
  <c r="N24" i="53" s="1"/>
  <c r="Q28" i="53"/>
  <c r="Q34" i="53" s="1"/>
  <c r="R10" i="53"/>
  <c r="T38" i="53"/>
  <c r="R38" i="53"/>
  <c r="L28" i="53"/>
  <c r="L34" i="53" s="1"/>
  <c r="J33" i="58"/>
  <c r="J57" i="58"/>
  <c r="N33" i="58"/>
  <c r="R13" i="42"/>
  <c r="R28" i="42" s="1"/>
  <c r="F27" i="58"/>
  <c r="F29" i="58" s="1"/>
  <c r="F22" i="42" s="1"/>
  <c r="Q13" i="42"/>
  <c r="Q28" i="42" s="1"/>
  <c r="M57" i="58"/>
  <c r="N10" i="58"/>
  <c r="R33" i="58"/>
  <c r="M33" i="58"/>
  <c r="E20" i="42"/>
  <c r="F20" i="58"/>
  <c r="F22" i="58"/>
  <c r="F24" i="58"/>
  <c r="K57" i="58"/>
  <c r="O57" i="58"/>
  <c r="O83" i="58"/>
  <c r="S10" i="58"/>
  <c r="O10" i="58"/>
  <c r="K10" i="58"/>
  <c r="U101" i="2" l="1"/>
  <c r="P21" i="42"/>
  <c r="G67" i="55"/>
  <c r="O30" i="42"/>
  <c r="U100" i="2"/>
  <c r="W60" i="2"/>
  <c r="S21" i="42"/>
  <c r="G63" i="55"/>
  <c r="T63" i="55"/>
  <c r="T1" i="55" s="1"/>
  <c r="G11" i="16" s="1"/>
  <c r="U98" i="2"/>
  <c r="U97" i="2"/>
  <c r="W109" i="2"/>
  <c r="Q63" i="42"/>
  <c r="T100" i="2"/>
  <c r="T97" i="2"/>
  <c r="W73" i="2"/>
  <c r="Q99" i="2"/>
  <c r="Q101" i="2"/>
  <c r="Q100" i="2"/>
  <c r="Q98" i="2"/>
  <c r="Q97" i="2"/>
  <c r="X34" i="53"/>
  <c r="W47" i="2"/>
  <c r="T99" i="2"/>
  <c r="T98" i="2"/>
  <c r="C16" i="2" a="1"/>
  <c r="C26" i="2" a="1"/>
  <c r="J12" i="2"/>
  <c r="S98" i="2"/>
  <c r="S101" i="2"/>
  <c r="S99" i="2"/>
  <c r="S97" i="2"/>
  <c r="S100" i="2"/>
  <c r="R21" i="42"/>
  <c r="Q21" i="42"/>
  <c r="T63" i="42" l="1"/>
  <c r="S63" i="42"/>
  <c r="Q69" i="42"/>
  <c r="P63" i="42"/>
  <c r="R63" i="42"/>
  <c r="T1" i="2"/>
  <c r="G13" i="16" s="1"/>
  <c r="C27" i="2"/>
  <c r="C30" i="2"/>
  <c r="C31" i="2"/>
  <c r="C28" i="2"/>
  <c r="C32" i="2"/>
  <c r="C29" i="2"/>
  <c r="C26" i="2"/>
  <c r="C18" i="2"/>
  <c r="C20" i="2"/>
  <c r="C16" i="2"/>
  <c r="C17" i="2"/>
  <c r="C19" i="2"/>
  <c r="C22" i="2"/>
  <c r="C21" i="2"/>
  <c r="T69" i="42" l="1"/>
  <c r="S69" i="42"/>
  <c r="P69" i="42"/>
  <c r="R69" i="42"/>
  <c r="P22" i="2"/>
  <c r="N85" i="42" s="1"/>
  <c r="D22" i="2"/>
  <c r="E22" i="2"/>
  <c r="E20" i="2"/>
  <c r="D20" i="2"/>
  <c r="N20" i="2"/>
  <c r="M20" i="2" s="1"/>
  <c r="E32" i="2"/>
  <c r="D32" i="2"/>
  <c r="E27" i="2"/>
  <c r="Q27" i="2"/>
  <c r="T27" i="2"/>
  <c r="D27" i="2"/>
  <c r="S27" i="2"/>
  <c r="R27" i="2"/>
  <c r="D19" i="2"/>
  <c r="M19" i="2"/>
  <c r="N19" i="2" s="1"/>
  <c r="E19" i="2"/>
  <c r="E18" i="2"/>
  <c r="L18" i="2"/>
  <c r="K18" i="2" s="1"/>
  <c r="D18" i="2"/>
  <c r="Q28" i="2"/>
  <c r="D28" i="2"/>
  <c r="T28" i="2"/>
  <c r="E28" i="2"/>
  <c r="S28" i="2"/>
  <c r="R28" i="2"/>
  <c r="K17" i="2"/>
  <c r="K27" i="2" s="1"/>
  <c r="D17" i="2"/>
  <c r="E17" i="2"/>
  <c r="D26" i="2"/>
  <c r="Q26" i="2"/>
  <c r="T26" i="2"/>
  <c r="R26" i="2"/>
  <c r="E26" i="2"/>
  <c r="S26" i="2"/>
  <c r="E31" i="2"/>
  <c r="T31" i="2"/>
  <c r="R31" i="2"/>
  <c r="Q31" i="2"/>
  <c r="D31" i="2"/>
  <c r="S31" i="2"/>
  <c r="O21" i="2"/>
  <c r="O31" i="2" s="1"/>
  <c r="D21" i="2"/>
  <c r="E21" i="2"/>
  <c r="O83" i="42"/>
  <c r="J16" i="2"/>
  <c r="J26" i="2" s="1"/>
  <c r="E16" i="2"/>
  <c r="D16" i="2"/>
  <c r="E29" i="2"/>
  <c r="T29" i="2"/>
  <c r="D29" i="2"/>
  <c r="R29" i="2"/>
  <c r="Q29" i="2"/>
  <c r="S29" i="2"/>
  <c r="R30" i="2"/>
  <c r="Q30" i="2"/>
  <c r="T30" i="2"/>
  <c r="D30" i="2"/>
  <c r="E30" i="2"/>
  <c r="S30" i="2"/>
  <c r="L46" i="42" l="1"/>
  <c r="N46" i="42"/>
  <c r="M31" i="42"/>
  <c r="L83" i="42"/>
  <c r="L52" i="42"/>
  <c r="J31" i="42"/>
  <c r="K96" i="42"/>
  <c r="O95" i="42"/>
  <c r="O79" i="42"/>
  <c r="L40" i="42"/>
  <c r="R31" i="42"/>
  <c r="Q96" i="42"/>
  <c r="Q16" i="44" s="1"/>
  <c r="J77" i="42"/>
  <c r="N83" i="42"/>
  <c r="N40" i="42"/>
  <c r="L82" i="42"/>
  <c r="P94" i="42"/>
  <c r="M76" i="42"/>
  <c r="O31" i="42"/>
  <c r="Q40" i="42"/>
  <c r="P43" i="42"/>
  <c r="S40" i="42"/>
  <c r="S46" i="42"/>
  <c r="K46" i="42"/>
  <c r="M46" i="42"/>
  <c r="M96" i="42"/>
  <c r="K86" i="42"/>
  <c r="L76" i="42"/>
  <c r="P95" i="42"/>
  <c r="P15" i="44" s="1"/>
  <c r="J96" i="42"/>
  <c r="N79" i="42"/>
  <c r="O81" i="42"/>
  <c r="L81" i="42"/>
  <c r="O86" i="42"/>
  <c r="J80" i="42"/>
  <c r="O40" i="42"/>
  <c r="K49" i="42"/>
  <c r="N49" i="42"/>
  <c r="Q52" i="42"/>
  <c r="Q46" i="42"/>
  <c r="J49" i="42"/>
  <c r="P52" i="42"/>
  <c r="Q31" i="42"/>
  <c r="O76" i="42"/>
  <c r="N96" i="42"/>
  <c r="K76" i="42"/>
  <c r="R94" i="42"/>
  <c r="S96" i="42"/>
  <c r="S16" i="44" s="1"/>
  <c r="T95" i="42"/>
  <c r="T15" i="44" s="1"/>
  <c r="K82" i="42"/>
  <c r="N80" i="42"/>
  <c r="K80" i="42"/>
  <c r="M80" i="42"/>
  <c r="N82" i="42"/>
  <c r="N78" i="42"/>
  <c r="M86" i="42"/>
  <c r="K43" i="42"/>
  <c r="M40" i="42"/>
  <c r="R46" i="42"/>
  <c r="J40" i="42"/>
  <c r="J52" i="42"/>
  <c r="K40" i="42"/>
  <c r="J43" i="42"/>
  <c r="T94" i="42"/>
  <c r="J76" i="42"/>
  <c r="L94" i="42"/>
  <c r="M82" i="42"/>
  <c r="M95" i="42"/>
  <c r="K16" i="2"/>
  <c r="K26" i="2" s="1"/>
  <c r="S95" i="42"/>
  <c r="S15" i="44" s="1"/>
  <c r="K77" i="42"/>
  <c r="L79" i="42"/>
  <c r="O80" i="42"/>
  <c r="M79" i="42"/>
  <c r="J83" i="42"/>
  <c r="K83" i="42"/>
  <c r="N86" i="42"/>
  <c r="J81" i="42"/>
  <c r="O22" i="2"/>
  <c r="O32" i="2" s="1"/>
  <c r="N21" i="42" s="1"/>
  <c r="J17" i="2"/>
  <c r="J27" i="2" s="1"/>
  <c r="Q70" i="42" a="1"/>
  <c r="Q70" i="42" s="1"/>
  <c r="S70" i="42" a="1"/>
  <c r="S70" i="42" s="1"/>
  <c r="J46" i="42"/>
  <c r="P46" i="42"/>
  <c r="R52" i="42"/>
  <c r="S49" i="42"/>
  <c r="L43" i="42"/>
  <c r="N52" i="42"/>
  <c r="K52" i="42"/>
  <c r="S43" i="42"/>
  <c r="P31" i="42"/>
  <c r="L31" i="42"/>
  <c r="R43" i="42"/>
  <c r="K31" i="42"/>
  <c r="S31" i="42"/>
  <c r="S94" i="42"/>
  <c r="N95" i="42"/>
  <c r="J85" i="42"/>
  <c r="J95" i="42"/>
  <c r="P96" i="42"/>
  <c r="P16" i="44" s="1"/>
  <c r="N76" i="42"/>
  <c r="M94" i="42"/>
  <c r="T96" i="42"/>
  <c r="T16" i="44" s="1"/>
  <c r="M77" i="42"/>
  <c r="L96" i="42"/>
  <c r="Q95" i="42"/>
  <c r="Q15" i="44" s="1"/>
  <c r="N94" i="42"/>
  <c r="L84" i="42"/>
  <c r="J84" i="42"/>
  <c r="O77" i="42"/>
  <c r="L85" i="42"/>
  <c r="J79" i="42"/>
  <c r="L80" i="42"/>
  <c r="K78" i="42"/>
  <c r="K84" i="42"/>
  <c r="O82" i="42"/>
  <c r="M78" i="42"/>
  <c r="L78" i="42"/>
  <c r="N84" i="42"/>
  <c r="O84" i="42"/>
  <c r="K79" i="42"/>
  <c r="P32" i="2"/>
  <c r="O21" i="42" s="1"/>
  <c r="N31" i="42"/>
  <c r="R40" i="42"/>
  <c r="N43" i="42"/>
  <c r="M43" i="42"/>
  <c r="M52" i="42"/>
  <c r="L49" i="42"/>
  <c r="Q43" i="42"/>
  <c r="Q49" i="42"/>
  <c r="M49" i="42"/>
  <c r="P40" i="42"/>
  <c r="S52" i="42"/>
  <c r="O46" i="42"/>
  <c r="R49" i="42"/>
  <c r="P49" i="42"/>
  <c r="K94" i="42"/>
  <c r="O96" i="42"/>
  <c r="L86" i="42"/>
  <c r="J94" i="42"/>
  <c r="M83" i="42"/>
  <c r="K81" i="42"/>
  <c r="L95" i="42"/>
  <c r="M84" i="42"/>
  <c r="R96" i="42"/>
  <c r="R16" i="44" s="1"/>
  <c r="R95" i="42"/>
  <c r="R15" i="44" s="1"/>
  <c r="K95" i="42"/>
  <c r="O78" i="42"/>
  <c r="Q94" i="42"/>
  <c r="O94" i="42"/>
  <c r="L77" i="42"/>
  <c r="J82" i="42"/>
  <c r="N81" i="42"/>
  <c r="N77" i="42"/>
  <c r="M85" i="42"/>
  <c r="O85" i="42"/>
  <c r="J78" i="42"/>
  <c r="J86" i="42"/>
  <c r="M81" i="42"/>
  <c r="K85" i="42"/>
  <c r="T70" i="42" a="1"/>
  <c r="T70" i="42" s="1"/>
  <c r="R70" i="42" a="1"/>
  <c r="R70" i="42" s="1"/>
  <c r="P70" i="42" a="1"/>
  <c r="P70" i="42" s="1"/>
  <c r="N30" i="2"/>
  <c r="M29" i="2"/>
  <c r="L17" i="2"/>
  <c r="L28" i="2"/>
  <c r="M18" i="2"/>
  <c r="M28" i="2" s="1"/>
  <c r="L19" i="2"/>
  <c r="K19" i="2" s="1"/>
  <c r="K29" i="2" s="1"/>
  <c r="J18" i="2"/>
  <c r="J28" i="2" s="1"/>
  <c r="K28" i="2"/>
  <c r="M30" i="2"/>
  <c r="L20" i="2"/>
  <c r="N29" i="2"/>
  <c r="O19" i="2"/>
  <c r="N21" i="2"/>
  <c r="P21" i="2"/>
  <c r="O20" i="2"/>
  <c r="P14" i="44" l="1"/>
  <c r="L16" i="2"/>
  <c r="M16" i="2" s="1"/>
  <c r="S14" i="44"/>
  <c r="T14" i="44"/>
  <c r="R14" i="44"/>
  <c r="N98" i="42"/>
  <c r="M98" i="42"/>
  <c r="R54" i="42"/>
  <c r="R56" i="42" s="1"/>
  <c r="N22" i="2"/>
  <c r="N32" i="2" s="1"/>
  <c r="N13" i="42"/>
  <c r="N28" i="42" s="1"/>
  <c r="L54" i="42"/>
  <c r="L56" i="42" s="1"/>
  <c r="M88" i="42"/>
  <c r="S54" i="42"/>
  <c r="S56" i="42" s="1"/>
  <c r="N54" i="42"/>
  <c r="N56" i="42" s="1"/>
  <c r="K54" i="42"/>
  <c r="K56" i="42" s="1"/>
  <c r="P54" i="42"/>
  <c r="P56" i="42" s="1"/>
  <c r="T98" i="42"/>
  <c r="J54" i="42"/>
  <c r="J56" i="42" s="1"/>
  <c r="Q98" i="42"/>
  <c r="P98" i="42"/>
  <c r="O13" i="42"/>
  <c r="O28" i="42" s="1"/>
  <c r="S98" i="42"/>
  <c r="L88" i="42"/>
  <c r="K98" i="42"/>
  <c r="L29" i="2"/>
  <c r="O98" i="42"/>
  <c r="O88" i="42"/>
  <c r="N88" i="42"/>
  <c r="J88" i="42"/>
  <c r="Q14" i="44"/>
  <c r="L98" i="42"/>
  <c r="R98" i="42"/>
  <c r="K88" i="42"/>
  <c r="J98" i="42"/>
  <c r="M54" i="42"/>
  <c r="M56" i="42" s="1"/>
  <c r="Q54" i="42"/>
  <c r="Q56" i="42" s="1"/>
  <c r="J19" i="2"/>
  <c r="J29" i="2" s="1"/>
  <c r="N18" i="2"/>
  <c r="N28" i="2" s="1"/>
  <c r="M17" i="2"/>
  <c r="L27" i="2"/>
  <c r="P20" i="2"/>
  <c r="P30" i="2" s="1"/>
  <c r="O30" i="2"/>
  <c r="M21" i="2"/>
  <c r="N31" i="2"/>
  <c r="J25" i="42"/>
  <c r="J26" i="42" s="1"/>
  <c r="N25" i="42"/>
  <c r="N26" i="42" s="1"/>
  <c r="Q25" i="42"/>
  <c r="Q26" i="42" s="1"/>
  <c r="L17" i="42"/>
  <c r="L18" i="42" s="1"/>
  <c r="P31" i="2"/>
  <c r="K25" i="42"/>
  <c r="K26" i="42" s="1"/>
  <c r="S17" i="42"/>
  <c r="S18" i="42" s="1"/>
  <c r="P25" i="42"/>
  <c r="P26" i="42" s="1"/>
  <c r="R17" i="42"/>
  <c r="R18" i="42" s="1"/>
  <c r="N17" i="42"/>
  <c r="N18" i="42" s="1"/>
  <c r="S25" i="42"/>
  <c r="S26" i="42" s="1"/>
  <c r="P17" i="42"/>
  <c r="P18" i="42" s="1"/>
  <c r="O17" i="42"/>
  <c r="O18" i="42" s="1"/>
  <c r="M17" i="42"/>
  <c r="M18" i="42" s="1"/>
  <c r="T25" i="42"/>
  <c r="T26" i="42" s="1"/>
  <c r="Q17" i="42"/>
  <c r="Q18" i="42" s="1"/>
  <c r="J17" i="42"/>
  <c r="J18" i="42" s="1"/>
  <c r="T17" i="42"/>
  <c r="T18" i="42" s="1"/>
  <c r="R25" i="42"/>
  <c r="R26" i="42" s="1"/>
  <c r="M25" i="42"/>
  <c r="M26" i="42" s="1"/>
  <c r="O25" i="42"/>
  <c r="O26" i="42" s="1"/>
  <c r="L25" i="42"/>
  <c r="L26" i="42" s="1"/>
  <c r="K17" i="42"/>
  <c r="K18" i="42" s="1"/>
  <c r="P19" i="2"/>
  <c r="P29" i="2" s="1"/>
  <c r="O29" i="2"/>
  <c r="O18" i="2"/>
  <c r="L30" i="2"/>
  <c r="K20" i="2"/>
  <c r="M22" i="2"/>
  <c r="L26" i="2"/>
  <c r="M91" i="58" l="1"/>
  <c r="M92" i="58"/>
  <c r="M27" i="2"/>
  <c r="N17" i="2"/>
  <c r="M89" i="58"/>
  <c r="O89" i="58" s="1"/>
  <c r="L21" i="2"/>
  <c r="M31" i="2"/>
  <c r="P18" i="2"/>
  <c r="P28" i="2" s="1"/>
  <c r="O28" i="2"/>
  <c r="M13" i="42"/>
  <c r="M21" i="42"/>
  <c r="J20" i="2"/>
  <c r="J30" i="2" s="1"/>
  <c r="K30" i="2"/>
  <c r="L22" i="2"/>
  <c r="M32" i="2"/>
  <c r="L91" i="58" s="1"/>
  <c r="M26" i="2"/>
  <c r="N16" i="2"/>
  <c r="O92" i="58" l="1"/>
  <c r="M28" i="42"/>
  <c r="O42" i="42"/>
  <c r="O43" i="42" s="1"/>
  <c r="O17" i="2"/>
  <c r="N27" i="2"/>
  <c r="L21" i="42"/>
  <c r="L13" i="42"/>
  <c r="L28" i="42" s="1"/>
  <c r="O16" i="2"/>
  <c r="N26" i="2"/>
  <c r="K22" i="2"/>
  <c r="L32" i="2"/>
  <c r="K91" i="58" s="1"/>
  <c r="L31" i="2"/>
  <c r="K21" i="2"/>
  <c r="O51" i="42" l="1"/>
  <c r="O52" i="42" s="1"/>
  <c r="P17" i="2"/>
  <c r="P27" i="2" s="1"/>
  <c r="O27" i="2"/>
  <c r="K31" i="2"/>
  <c r="J21" i="2"/>
  <c r="J31" i="2" s="1"/>
  <c r="O26" i="2"/>
  <c r="P16" i="2"/>
  <c r="K13" i="42"/>
  <c r="K28" i="42" s="1"/>
  <c r="K21" i="42"/>
  <c r="K32" i="2"/>
  <c r="J91" i="58" s="1"/>
  <c r="J22" i="2"/>
  <c r="J32" i="2" s="1"/>
  <c r="I91" i="58" s="1"/>
  <c r="T77" i="42" l="1"/>
  <c r="R77" i="42"/>
  <c r="Q77" i="42"/>
  <c r="S77" i="42"/>
  <c r="O91" i="58"/>
  <c r="K15" i="42"/>
  <c r="O15" i="42"/>
  <c r="K23" i="42"/>
  <c r="Q23" i="42"/>
  <c r="P26" i="2"/>
  <c r="L15" i="42"/>
  <c r="M15" i="42"/>
  <c r="R23" i="42"/>
  <c r="R15" i="42"/>
  <c r="J23" i="42"/>
  <c r="Q15" i="42"/>
  <c r="N23" i="42"/>
  <c r="L23" i="42"/>
  <c r="M23" i="42"/>
  <c r="P15" i="42"/>
  <c r="S15" i="42"/>
  <c r="S23" i="42"/>
  <c r="N15" i="42"/>
  <c r="P23" i="42"/>
  <c r="J15" i="42"/>
  <c r="O23" i="42"/>
  <c r="J13" i="42"/>
  <c r="J28" i="42" s="1"/>
  <c r="J21" i="42"/>
  <c r="O48" i="42" l="1"/>
  <c r="O49" i="42" s="1"/>
  <c r="P77" i="42"/>
  <c r="Q76" i="42"/>
  <c r="R76" i="42"/>
  <c r="S76" i="42"/>
  <c r="T76" i="42"/>
  <c r="C76" i="42"/>
  <c r="R78" i="42"/>
  <c r="T78" i="42"/>
  <c r="S78" i="42"/>
  <c r="Q78" i="42"/>
  <c r="C78" i="42"/>
  <c r="O37" i="42"/>
  <c r="O33" i="42"/>
  <c r="P78" i="42" l="1"/>
  <c r="P76" i="42"/>
  <c r="S79" i="42"/>
  <c r="Q79" i="42"/>
  <c r="T79" i="42"/>
  <c r="R79" i="42"/>
  <c r="C79" i="42"/>
  <c r="O35" i="42"/>
  <c r="O54" i="42" s="1"/>
  <c r="O56" i="42" s="1"/>
  <c r="P79" i="42" l="1"/>
  <c r="S80" i="42"/>
  <c r="T80" i="42"/>
  <c r="R80" i="42"/>
  <c r="Q80" i="42"/>
  <c r="C80" i="42"/>
  <c r="P80" i="42" l="1"/>
  <c r="R81" i="42"/>
  <c r="S81" i="42"/>
  <c r="T81" i="42"/>
  <c r="Q81" i="42"/>
  <c r="C81" i="42"/>
  <c r="P81" i="42" l="1"/>
  <c r="S82" i="42"/>
  <c r="T82" i="42"/>
  <c r="R82" i="42"/>
  <c r="Q82" i="42"/>
  <c r="C82" i="42"/>
  <c r="P82" i="42" l="1"/>
  <c r="S83" i="42"/>
  <c r="R83" i="42"/>
  <c r="T83" i="42"/>
  <c r="Q83" i="42"/>
  <c r="C83" i="42"/>
  <c r="P83" i="42" l="1"/>
  <c r="R84" i="42"/>
  <c r="T84" i="42"/>
  <c r="Q84" i="42"/>
  <c r="S84" i="42"/>
  <c r="C84" i="42"/>
  <c r="P84" i="42" l="1"/>
  <c r="P85" i="42"/>
  <c r="S85" i="42"/>
  <c r="Q85" i="42"/>
  <c r="R85" i="42"/>
  <c r="T85" i="42"/>
  <c r="C85" i="42"/>
  <c r="R86" i="42" l="1"/>
  <c r="R88" i="42" s="1"/>
  <c r="P86" i="42"/>
  <c r="P88" i="42" s="1"/>
  <c r="Q86" i="42"/>
  <c r="Q88" i="42" s="1"/>
  <c r="T86" i="42"/>
  <c r="T88" i="42" s="1"/>
  <c r="S86" i="42"/>
  <c r="S88" i="42" s="1"/>
  <c r="C86" i="42"/>
  <c r="Q24" i="53"/>
  <c r="S24" i="53" l="1"/>
  <c r="R24" i="53"/>
  <c r="T24" i="53"/>
  <c r="P24" i="53"/>
  <c r="S104" i="42"/>
  <c r="S13" i="44" s="1"/>
  <c r="S105" i="42"/>
  <c r="R105" i="42"/>
  <c r="R104" i="42"/>
  <c r="R13" i="44" s="1"/>
  <c r="T104" i="42"/>
  <c r="T13" i="44" s="1"/>
  <c r="T105" i="42"/>
  <c r="Q105" i="42"/>
  <c r="Q104" i="42"/>
  <c r="Q13" i="44" s="1"/>
  <c r="P104" i="42"/>
  <c r="P13" i="44" s="1"/>
  <c r="P105" i="42"/>
  <c r="X24" i="53" l="1"/>
  <c r="P42" i="53" l="1"/>
  <c r="P106" i="42"/>
  <c r="Q42" i="53" l="1"/>
  <c r="Q106" i="42"/>
  <c r="R106" i="42" l="1"/>
  <c r="R42" i="53"/>
  <c r="S42" i="53" l="1"/>
  <c r="S106" i="42"/>
  <c r="T42" i="53" l="1"/>
  <c r="X42" i="53" s="1"/>
  <c r="S1" i="53" s="1"/>
  <c r="G14" i="16" s="1"/>
  <c r="S1" i="16" s="1"/>
  <c r="T106" i="42"/>
  <c r="W1" i="53" l="1"/>
  <c r="V1" i="54"/>
  <c r="W1" i="44"/>
  <c r="V1" i="4"/>
  <c r="W1" i="42"/>
  <c r="V1" i="58"/>
  <c r="W1" i="55"/>
  <c r="W1" i="2"/>
</calcChain>
</file>

<file path=xl/sharedStrings.xml><?xml version="1.0" encoding="utf-8"?>
<sst xmlns="http://schemas.openxmlformats.org/spreadsheetml/2006/main" count="844" uniqueCount="272">
  <si>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</si>
  <si>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</si>
  <si>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</si>
  <si>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</si>
  <si>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</si>
  <si>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</si>
  <si>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</si>
  <si>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</si>
  <si>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</si>
  <si>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</si>
  <si>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</si>
  <si>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</si>
  <si>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</si>
  <si>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</si>
  <si>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</si>
  <si>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</si>
  <si>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</si>
  <si>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</si>
  <si>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</si>
  <si>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</si>
  <si>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</si>
  <si>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</si>
  <si>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</si>
  <si>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</si>
  <si>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</si>
  <si>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</si>
  <si>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</si>
  <si>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</si>
  <si>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</si>
  <si>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</si>
  <si>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</si>
  <si>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</si>
  <si>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</si>
  <si>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</si>
  <si>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</si>
  <si>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</si>
  <si>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</si>
  <si>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</si>
  <si>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</si>
  <si>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</si>
  <si>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</si>
  <si>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</si>
  <si>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</si>
  <si>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</si>
  <si>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</si>
  <si>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Operating expenditure</t>
  </si>
  <si>
    <t>CPI indexes (nominal to real)</t>
  </si>
  <si>
    <t>Partial factor productivity</t>
  </si>
  <si>
    <t>Total step changes</t>
  </si>
  <si>
    <t>Input |Step changes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</si>
  <si>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</si>
  <si>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</si>
  <si>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</si>
  <si>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Notes</t>
  </si>
  <si>
    <t>Inputs for Post Tax Revenue Model</t>
  </si>
  <si>
    <t>Note. The dollar base should be consistent with the post tax revenue model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</si>
  <si>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</si>
  <si>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</si>
  <si>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</si>
  <si>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</si>
  <si>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</si>
  <si>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</si>
  <si>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</si>
  <si>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</si>
  <si>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</si>
  <si>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</si>
  <si>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</si>
  <si>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</si>
  <si>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</si>
  <si>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</si>
  <si>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</si>
  <si>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</si>
  <si>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</si>
  <si>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</si>
  <si>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</si>
  <si>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</si>
  <si>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</si>
  <si>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</si>
  <si>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</si>
  <si>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</si>
  <si>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</si>
  <si>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</si>
  <si>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</si>
  <si>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</si>
  <si>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</si>
  <si>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</si>
  <si>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</si>
  <si>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</si>
  <si>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</si>
  <si>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</si>
  <si>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</si>
  <si>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</si>
  <si>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</si>
  <si>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</si>
  <si>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</si>
  <si>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</si>
  <si>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</si>
  <si>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</si>
  <si>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</si>
  <si>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</si>
  <si>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</si>
  <si>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</si>
  <si>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Step changes</t>
  </si>
  <si>
    <t>Calc | Opex forecast</t>
  </si>
  <si>
    <t>Estimated final year opex</t>
  </si>
  <si>
    <t>Forecast output change</t>
  </si>
  <si>
    <t>Base</t>
  </si>
  <si>
    <t>Total forecast opex, excluding debt raising costs</t>
  </si>
  <si>
    <t>Total forecast opex, including debt raising costs</t>
  </si>
  <si>
    <t>Category specific forecasts</t>
  </si>
  <si>
    <t>Expenditure related to category specific forecasts</t>
  </si>
  <si>
    <t>Input | Adjustments</t>
  </si>
  <si>
    <t>Adjustment</t>
  </si>
  <si>
    <t>Input | Category specifc forecasts</t>
  </si>
  <si>
    <t>Calc | Category specific forecasts</t>
  </si>
  <si>
    <t>Total category specific forecasts</t>
  </si>
  <si>
    <t>WPI - DAE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</si>
  <si>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</si>
  <si>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</si>
  <si>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</si>
  <si>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</si>
  <si>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</si>
  <si>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</si>
  <si>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</si>
  <si>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</si>
  <si>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</si>
  <si>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</si>
  <si>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</si>
  <si>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</si>
  <si>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</si>
  <si>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</si>
  <si>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</si>
  <si>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</si>
  <si>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</si>
  <si>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</si>
  <si>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</si>
  <si>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</si>
  <si>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</si>
  <si>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</si>
  <si>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</si>
  <si>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</si>
  <si>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</si>
  <si>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</si>
  <si>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</si>
  <si>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</si>
  <si>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</si>
  <si>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</si>
  <si>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</si>
  <si>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</si>
  <si>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</si>
  <si>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</si>
  <si>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</si>
  <si>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</si>
  <si>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Add estimated change in opex between the base year and the final year</t>
  </si>
  <si>
    <t>Total opex, categories forecast specifically</t>
  </si>
  <si>
    <t>Add back non-recurrent efficiency gains in the base year</t>
  </si>
  <si>
    <t>Allowances related to category specific forecasts</t>
  </si>
  <si>
    <t>Reported opex, total</t>
  </si>
  <si>
    <t>Base year opex allowance, total</t>
  </si>
  <si>
    <t>Reported opex, category specific forecasts</t>
  </si>
  <si>
    <t>Base year opex allowance, category specific forecasts</t>
  </si>
  <si>
    <t>Remove estimated final year opex for categories forecast specifically</t>
  </si>
  <si>
    <t>Adjusted final year opex</t>
  </si>
  <si>
    <t>Customer numbers (#)</t>
  </si>
  <si>
    <t>Circuit Length (km)</t>
  </si>
  <si>
    <t>Ratcheted Maximum Demand (MW)</t>
  </si>
  <si>
    <t>Energy throughput (GWh)</t>
  </si>
  <si>
    <t>Output weights</t>
  </si>
  <si>
    <t>SFA CD</t>
  </si>
  <si>
    <t>LSE CD</t>
  </si>
  <si>
    <t>LSE TLG</t>
  </si>
  <si>
    <t>MPFP</t>
  </si>
  <si>
    <t>Forecast output growth</t>
  </si>
  <si>
    <t>Movement in provisions</t>
  </si>
  <si>
    <t>Total opex to be trended</t>
  </si>
  <si>
    <t>Non-recurrent efficiency gain in the base year</t>
  </si>
  <si>
    <t>Categories of opex to be excluded from forecast opex (excluding category specific forecasts)</t>
  </si>
  <si>
    <t>Option 1</t>
  </si>
  <si>
    <t>Option 2</t>
  </si>
  <si>
    <t>Final</t>
  </si>
  <si>
    <t>Inputs the cost escalation weights, cost escalation forecast, and inflation actuals and forecast. Sheet used when the rate of change is applied from the final year.</t>
  </si>
  <si>
    <t>Calculates the opex forecast. Sheet used when the rate of change is applied from the final year.</t>
  </si>
  <si>
    <t>Outputs the forecasts needed as a post tax revenue model inputs. Sheet used when the rate of change is applied from the base year.</t>
  </si>
  <si>
    <t>Previous period year 0</t>
  </si>
  <si>
    <t>DMIA expenditure</t>
  </si>
  <si>
    <t>GSL payments</t>
  </si>
  <si>
    <t>Scrapping of assets</t>
  </si>
  <si>
    <t>Previous period year 5.5</t>
  </si>
  <si>
    <t>HY 2021</t>
  </si>
  <si>
    <t>Year ending for current regulatory period</t>
  </si>
  <si>
    <t>Year ending for next regulatory period</t>
  </si>
  <si>
    <t>Previous regulatory control period, first year</t>
  </si>
  <si>
    <t>Intervening period, year</t>
  </si>
  <si>
    <t>Input | Rate of change</t>
  </si>
  <si>
    <t>Calc | Opex Forecast</t>
  </si>
  <si>
    <t>Output | Models</t>
  </si>
  <si>
    <t>SFA TLG</t>
  </si>
  <si>
    <t>2021 half year allowance, total</t>
  </si>
  <si>
    <t>2021 half year allowance, total, annualised</t>
  </si>
  <si>
    <t>Input | Opex allowances  2016 to 2020</t>
  </si>
  <si>
    <t>Input | Opex allowances  2021 half year</t>
  </si>
  <si>
    <t>2021 half year allowance, category specific forecasts</t>
  </si>
  <si>
    <t>2021 half year allowance, category specific forecasts, annualised</t>
  </si>
  <si>
    <t>AER opex model v1.9</t>
  </si>
  <si>
    <t>Emergency recoverable works</t>
  </si>
  <si>
    <t>Communications network</t>
  </si>
  <si>
    <t>Wasted truck visits</t>
  </si>
  <si>
    <t>Replacement expenditure on faults and minor repairs</t>
  </si>
  <si>
    <t>Powercor</t>
  </si>
  <si>
    <t>Cell</t>
  </si>
  <si>
    <t>Description</t>
  </si>
  <si>
    <t>Input|Reported opex</t>
  </si>
  <si>
    <t>Comms network opex adjustment</t>
  </si>
  <si>
    <t>Input|Rate of change</t>
  </si>
  <si>
    <t>Row 39</t>
  </si>
  <si>
    <t>Added inputs for BIS Oxford</t>
  </si>
  <si>
    <t>Row 40</t>
  </si>
  <si>
    <t>Calculated average of DAE and BIS oxford</t>
  </si>
  <si>
    <t>Rows 51 and 53</t>
  </si>
  <si>
    <t>Moved price change weighting from row 51 to row 53 to pick up average</t>
  </si>
  <si>
    <t>Input|Step changes</t>
  </si>
  <si>
    <t>Linked to step change model</t>
  </si>
  <si>
    <t>P40:T40</t>
  </si>
  <si>
    <t>Linked to PTRM</t>
  </si>
  <si>
    <t>Average of DAE and BIS Oxford</t>
  </si>
  <si>
    <t>RRP change</t>
  </si>
  <si>
    <t>Input|General</t>
  </si>
  <si>
    <t>G8</t>
  </si>
  <si>
    <t>Changed to 'revised'</t>
  </si>
  <si>
    <t>H84, M84</t>
  </si>
  <si>
    <t>J13:N13</t>
  </si>
  <si>
    <t>Inputs added for calculating amount, including 2019 cost from draft decision metering cost model</t>
  </si>
  <si>
    <t>Communications network opex allocation to SCS</t>
  </si>
  <si>
    <t>Minor repairs and faults</t>
  </si>
  <si>
    <t>Converted to June 2021 dollars and average of 2017 to 2019 calculated</t>
  </si>
  <si>
    <t>Linked to calculate from inputs in row 84</t>
  </si>
  <si>
    <t>Opex allowance</t>
  </si>
  <si>
    <t>Corrected to align with 2020 PTRM and EBSS model</t>
  </si>
  <si>
    <t>Security of Critical Infrastructure</t>
  </si>
  <si>
    <t>ESV levy</t>
  </si>
  <si>
    <t>WPI – BIS Oxford November 2020</t>
  </si>
  <si>
    <t>revised proposal</t>
  </si>
  <si>
    <t>Rows 84:86</t>
  </si>
  <si>
    <t>Inserted rows for inputs</t>
  </si>
  <si>
    <t>I85:M85</t>
  </si>
  <si>
    <t>2015 to 2019 actual data added</t>
  </si>
  <si>
    <t>O89</t>
  </si>
  <si>
    <t>I91:M91, O91</t>
  </si>
  <si>
    <t>M86</t>
  </si>
  <si>
    <t>2019 data added</t>
  </si>
  <si>
    <t>M92, O92</t>
  </si>
  <si>
    <t>Converted to June 2021 dollars for negative base adjustment</t>
  </si>
  <si>
    <t>C12:C22, P12:T22</t>
  </si>
  <si>
    <t>C30, P30:T30</t>
  </si>
  <si>
    <t>GSLs</t>
  </si>
  <si>
    <t>GSLs increased by 50% as a placeholder estimate for final Electricity Distribution Code review; description amended in C30</t>
  </si>
  <si>
    <t>21 Dec update</t>
  </si>
  <si>
    <t>21 December 2020 Amendments</t>
  </si>
  <si>
    <t>Linked to category specific forecasts model</t>
  </si>
  <si>
    <t>Row 30</t>
  </si>
  <si>
    <t>PAL RRP Amendments</t>
  </si>
  <si>
    <t>24 March 2021 Amendments</t>
  </si>
  <si>
    <t>Row 13</t>
  </si>
  <si>
    <t>Insurance premiums</t>
  </si>
  <si>
    <t xml:space="preserve">Values as per 'United Energy - MOD RRP IR069 - Public.xlsx' </t>
  </si>
  <si>
    <t>Increasing insurance premiums</t>
  </si>
  <si>
    <t>IT cloud solutions</t>
  </si>
  <si>
    <t>Solar enablement</t>
  </si>
  <si>
    <t>5 minute settlement</t>
  </si>
  <si>
    <t>REFCL on-going operating expenditure</t>
  </si>
  <si>
    <t/>
  </si>
  <si>
    <t>GSL payment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</si>
</sst>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4">
    <numFmt numFmtId="164" formatCode="_(* #,##0.00_);_(* \(#,##0.00\);_(* &quot;-&quot;??_);_(@_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-* #,##0_-;\-* #,##0_-;_-* &quot;-&quot;??_-;_-@_-"/>
    <numFmt numFmtId="169" formatCode="dd\-mmm"/>
    <numFmt numFmtId="170" formatCode="dd/mmm"/>
    <numFmt numFmtId="171" formatCode="_(#,##0_);\(#,##0\);_(&quot;-&quot;_)"/>
    <numFmt numFmtId="172" formatCode="_(#,##0.000_);\(#,##0.000\);_(&quot;-&quot;_)"/>
    <numFmt numFmtId="173" formatCode="_(#,##0.00_);\(#,##0.00\);_(&quot;-&quot;_)"/>
    <numFmt numFmtId="174" formatCode="[$-C09]dd\-mmm\-yy;@"/>
    <numFmt numFmtId="175" formatCode="_-* #,##0.0000_-;\-* #,##0.0000_-;_-* &quot;-&quot;??_-;_-@_-"/>
    <numFmt numFmtId="176" formatCode="_(#,##0.0000_);\(#,##0.0000\);_(&quot;-&quot;_)"/>
    <numFmt numFmtId="177" formatCode="_-* #,##0.00_-;[Red]\(#,##0.00\)_-;_-* &quot;-&quot;??_-;_-@_-"/>
    <numFmt numFmtId="178" formatCode="mm/dd/yy"/>
    <numFmt numFmtId="179" formatCode="_([$€-2]* #,##0.00_);_([$€-2]* \(#,##0.00\);_([$€-2]* &quot;-&quot;??_)"/>
    <numFmt numFmtId="180" formatCode="0_);[Red]\(0\)"/>
    <numFmt numFmtId="181" formatCode="0.0%"/>
    <numFmt numFmtId="182" formatCode="_(* #,##0_);_(* \(#,##0\);_(* &quot;-&quot;?_);_(@_)"/>
    <numFmt numFmtId="183" formatCode="#,##0.0_);\(#,##0.0\)"/>
    <numFmt numFmtId="184" formatCode="#,##0_ ;\-#,##0\ "/>
    <numFmt numFmtId="185" formatCode="#,##0;[Red]\(#,##0.0\)"/>
    <numFmt numFmtId="186" formatCode="#,##0_ ;[Red]\(#,##0\)\ "/>
    <numFmt numFmtId="187" formatCode="#,##0.00;\(#,##0.00\)"/>
    <numFmt numFmtId="188" formatCode="_)d\-mmm\-yy_)"/>
    <numFmt numFmtId="189" formatCode="_(#,##0.0_);\(#,##0.0\);_(&quot;-&quot;_)"/>
    <numFmt numFmtId="190" formatCode="_(###0_);\(###0\);_(###0_)"/>
    <numFmt numFmtId="191" formatCode="#,##0.0000_);[Red]\(#,##0.0000\)"/>
    <numFmt numFmtId="192" formatCode="0.0"/>
    <numFmt numFmtId="193" formatCode=";;_(&quot;-&quot;_)"/>
    <numFmt numFmtId="194" formatCode="_-* #,##0.0_-;\-* #,##0.0_-;_-* &quot;-&quot;??_-;_-@_-"/>
    <numFmt numFmtId="195" formatCode="0.00;\-0.00;_(&quot;-&quot;_)"/>
    <numFmt numFmtId="196" formatCode="[$-C09]mmm\-yyyy;@"/>
    <numFmt numFmtId="197" formatCode="_-* #\ ##0.00_-;\-* #\ ##0.00_-;_-* &quot;-&quot;??_-;_-@_-"/>
    <numFmt numFmtId="198" formatCode="_(#\ ##0.00_);\(#\ ##0.00\);_(&quot;-&quot;_)"/>
    <numFmt numFmtId="199" formatCode="#\ ##0.00_ ;\-#\ ##0.00\ ;&quot;-&quot;"/>
    <numFmt numFmtId="200" formatCode="#\ ##0.00;\-#\ ##0.00;&quot;-&quot;"/>
    <numFmt numFmtId="201" formatCode="&quot;Warning&quot;;&quot;Warning&quot;;&quot;OK&quot;"/>
    <numFmt numFmtId="202" formatCode="mmmm"/>
    <numFmt numFmtId="203" formatCode="mmm\ yyyy"/>
    <numFmt numFmtId="204" formatCode="0.00_ ;\-0.00\ "/>
    <numFmt numFmtId="205" formatCode="0_ ;\-0\ "/>
    <numFmt numFmtId="206" formatCode="#,##0_);\(#,##0\);\-\-_)"/>
    <numFmt numFmtId="207" formatCode="d\ mmm\ yyyy"/>
  </numFmts>
  <fonts count="94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sz val="10"/>
      <color theme="1"/>
      <name val="Verdana"/>
      <family val="2"/>
    </font>
    <font>
      <sz val="10"/>
      <name val="Calibri"/>
      <family val="2"/>
    </font>
    <font>
      <b/>
      <sz val="10"/>
      <name val="Calibri"/>
      <family val="2"/>
    </font>
    <font>
      <sz val="11"/>
      <color rgb="FF1F497D"/>
      <name val="Calibri"/>
      <family val="2"/>
    </font>
  </fonts>
  <fills count="5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</borders>
  <cellStyleXfs count="272">
    <xf numFmtId="0" fontId="0" fillId="0" borderId="0"/>
    <xf numFmtId="170" fontId="4" fillId="7" borderId="0" applyProtection="0"/>
    <xf numFmtId="9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9" fontId="14" fillId="0" borderId="0" applyFont="0" applyFill="0" applyBorder="0" applyAlignment="0" applyProtection="0"/>
    <xf numFmtId="171" fontId="13" fillId="0" borderId="5">
      <alignment horizontal="right" vertical="center"/>
      <protection locked="0"/>
    </xf>
    <xf numFmtId="164" fontId="11" fillId="0" borderId="0" applyFont="0" applyFill="0" applyBorder="0" applyAlignment="0" applyProtection="0"/>
    <xf numFmtId="0" fontId="20" fillId="0" borderId="0"/>
    <xf numFmtId="164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7" fontId="13" fillId="0" borderId="0"/>
    <xf numFmtId="177" fontId="13" fillId="0" borderId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23" fillId="21" borderId="0" applyNumberFormat="0" applyBorder="0" applyAlignment="0" applyProtection="0"/>
    <xf numFmtId="0" fontId="23" fillId="25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24" fillId="0" borderId="0"/>
    <xf numFmtId="165" fontId="25" fillId="0" borderId="0" applyFont="0" applyFill="0" applyBorder="0" applyAlignment="0" applyProtection="0"/>
    <xf numFmtId="0" fontId="26" fillId="30" borderId="0" applyNumberFormat="0" applyBorder="0" applyAlignment="0" applyProtection="0"/>
    <xf numFmtId="0" fontId="27" fillId="0" borderId="0" applyNumberFormat="0" applyFill="0" applyBorder="0" applyAlignment="0"/>
    <xf numFmtId="166" fontId="20" fillId="4" borderId="0" applyNumberFormat="0" applyFont="0" applyBorder="0" applyAlignment="0">
      <alignment horizontal="right"/>
    </xf>
    <xf numFmtId="166" fontId="20" fillId="4" borderId="0" applyNumberFormat="0" applyFont="0" applyBorder="0" applyAlignment="0">
      <alignment horizontal="right"/>
    </xf>
    <xf numFmtId="0" fontId="28" fillId="0" borderId="0" applyNumberFormat="0" applyFill="0" applyBorder="0" applyAlignment="0">
      <protection locked="0"/>
    </xf>
    <xf numFmtId="0" fontId="29" fillId="14" borderId="11" applyNumberFormat="0" applyAlignment="0" applyProtection="0"/>
    <xf numFmtId="0" fontId="30" fillId="31" borderId="12" applyNumberFormat="0" applyAlignment="0" applyProtection="0"/>
    <xf numFmtId="166" fontId="20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3" fontId="33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4" fillId="34" borderId="0" applyNumberFormat="0" applyBorder="0" applyAlignment="0" applyProtection="0"/>
    <xf numFmtId="179" fontId="19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0" fontId="36" fillId="0" borderId="0"/>
    <xf numFmtId="0" fontId="37" fillId="0" borderId="0"/>
    <xf numFmtId="0" fontId="38" fillId="35" borderId="0" applyNumberFormat="0" applyBorder="0" applyAlignment="0" applyProtection="0"/>
    <xf numFmtId="0" fontId="22" fillId="0" borderId="0" applyFill="0" applyBorder="0">
      <alignment vertical="center"/>
    </xf>
    <xf numFmtId="0" fontId="39" fillId="0" borderId="13" applyNumberFormat="0" applyFill="0" applyAlignment="0" applyProtection="0"/>
    <xf numFmtId="0" fontId="22" fillId="0" borderId="0" applyFill="0" applyBorder="0">
      <alignment vertical="center"/>
    </xf>
    <xf numFmtId="0" fontId="40" fillId="0" borderId="0" applyFill="0" applyBorder="0">
      <alignment vertical="center"/>
    </xf>
    <xf numFmtId="0" fontId="41" fillId="0" borderId="14" applyNumberFormat="0" applyFill="0" applyAlignment="0" applyProtection="0"/>
    <xf numFmtId="0" fontId="40" fillId="0" borderId="0" applyFill="0" applyBorder="0">
      <alignment vertical="center"/>
    </xf>
    <xf numFmtId="0" fontId="10" fillId="0" borderId="0" applyFill="0" applyBorder="0">
      <alignment vertical="center"/>
    </xf>
    <xf numFmtId="0" fontId="42" fillId="0" borderId="15" applyNumberFormat="0" applyFill="0" applyAlignment="0" applyProtection="0"/>
    <xf numFmtId="0" fontId="10" fillId="0" borderId="0" applyFill="0" applyBorder="0">
      <alignment vertical="center"/>
    </xf>
    <xf numFmtId="0" fontId="13" fillId="0" borderId="0" applyFill="0" applyBorder="0">
      <alignment vertical="center"/>
    </xf>
    <xf numFmtId="0" fontId="42" fillId="0" borderId="0" applyNumberFormat="0" applyFill="0" applyBorder="0" applyAlignment="0" applyProtection="0"/>
    <xf numFmtId="0" fontId="13" fillId="0" borderId="0" applyFill="0" applyBorder="0">
      <alignment vertical="center"/>
    </xf>
    <xf numFmtId="181" fontId="43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 applyFill="0" applyBorder="0">
      <alignment horizontal="center" vertical="center"/>
      <protection locked="0"/>
    </xf>
    <xf numFmtId="0" fontId="46" fillId="0" borderId="0" applyFill="0" applyBorder="0">
      <alignment horizontal="left" vertical="center"/>
      <protection locked="0"/>
    </xf>
    <xf numFmtId="0" fontId="47" fillId="12" borderId="11" applyNumberFormat="0" applyAlignment="0" applyProtection="0"/>
    <xf numFmtId="166" fontId="20" fillId="36" borderId="0" applyFont="0" applyBorder="0" applyAlignment="0">
      <alignment horizontal="right"/>
      <protection locked="0"/>
    </xf>
    <xf numFmtId="166" fontId="20" fillId="36" borderId="0" applyFont="0" applyBorder="0" applyAlignment="0">
      <alignment horizontal="right"/>
      <protection locked="0"/>
    </xf>
    <xf numFmtId="182" fontId="20" fillId="6" borderId="0" applyFont="0" applyBorder="0">
      <alignment horizontal="right"/>
      <protection locked="0"/>
    </xf>
    <xf numFmtId="182" fontId="20" fillId="6" borderId="0" applyFont="0" applyBorder="0">
      <alignment horizontal="right"/>
      <protection locked="0"/>
    </xf>
    <xf numFmtId="166" fontId="20" fillId="10" borderId="0" applyFont="0" applyBorder="0">
      <alignment horizontal="right"/>
      <protection locked="0"/>
    </xf>
    <xf numFmtId="166" fontId="20" fillId="10" borderId="0" applyFont="0" applyBorder="0">
      <alignment horizontal="right"/>
      <protection locked="0"/>
    </xf>
    <xf numFmtId="0" fontId="13" fillId="4" borderId="0"/>
    <xf numFmtId="0" fontId="48" fillId="0" borderId="16" applyNumberFormat="0" applyFill="0" applyAlignment="0" applyProtection="0"/>
    <xf numFmtId="183" fontId="49" fillId="0" borderId="0"/>
    <xf numFmtId="0" fontId="50" fillId="0" borderId="0" applyFill="0" applyBorder="0">
      <alignment horizontal="left" vertical="center"/>
    </xf>
    <xf numFmtId="0" fontId="51" fillId="15" borderId="0" applyNumberFormat="0" applyBorder="0" applyAlignment="0" applyProtection="0"/>
    <xf numFmtId="184" fontId="5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3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25" fillId="0" borderId="0"/>
    <xf numFmtId="0" fontId="20" fillId="3" borderId="0"/>
    <xf numFmtId="0" fontId="53" fillId="0" borderId="0"/>
    <xf numFmtId="0" fontId="20" fillId="0" borderId="0"/>
    <xf numFmtId="0" fontId="20" fillId="0" borderId="0"/>
    <xf numFmtId="0" fontId="20" fillId="13" borderId="17" applyNumberFormat="0" applyFont="0" applyAlignment="0" applyProtection="0"/>
    <xf numFmtId="0" fontId="54" fillId="14" borderId="18" applyNumberFormat="0" applyAlignment="0" applyProtection="0"/>
    <xf numFmtId="185" fontId="20" fillId="0" borderId="0" applyFill="0" applyBorder="0"/>
    <xf numFmtId="185" fontId="20" fillId="0" borderId="0" applyFill="0" applyBorder="0"/>
    <xf numFmtId="185" fontId="20" fillId="0" borderId="0" applyFill="0" applyBorder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81" fontId="55" fillId="0" borderId="0"/>
    <xf numFmtId="0" fontId="10" fillId="0" borderId="0" applyFill="0" applyBorder="0">
      <alignment vertical="center"/>
    </xf>
    <xf numFmtId="0" fontId="31" fillId="0" borderId="0" applyNumberFormat="0" applyFont="0" applyFill="0" applyBorder="0" applyAlignment="0" applyProtection="0">
      <alignment horizontal="left"/>
    </xf>
    <xf numFmtId="15" fontId="31" fillId="0" borderId="0" applyFont="0" applyFill="0" applyBorder="0" applyAlignment="0" applyProtection="0"/>
    <xf numFmtId="4" fontId="31" fillId="0" borderId="0" applyFont="0" applyFill="0" applyBorder="0" applyAlignment="0" applyProtection="0"/>
    <xf numFmtId="186" fontId="56" fillId="0" borderId="19"/>
    <xf numFmtId="0" fontId="57" fillId="0" borderId="20">
      <alignment horizontal="center"/>
    </xf>
    <xf numFmtId="3" fontId="31" fillId="0" borderId="0" applyFont="0" applyFill="0" applyBorder="0" applyAlignment="0" applyProtection="0"/>
    <xf numFmtId="0" fontId="31" fillId="37" borderId="0" applyNumberFormat="0" applyFont="0" applyBorder="0" applyAlignment="0" applyProtection="0"/>
    <xf numFmtId="187" fontId="20" fillId="0" borderId="0"/>
    <xf numFmtId="187" fontId="20" fillId="0" borderId="0"/>
    <xf numFmtId="187" fontId="20" fillId="0" borderId="0"/>
    <xf numFmtId="188" fontId="13" fillId="0" borderId="0" applyFill="0" applyBorder="0">
      <alignment horizontal="right" vertical="center"/>
    </xf>
    <xf numFmtId="189" fontId="13" fillId="0" borderId="0" applyFill="0" applyBorder="0">
      <alignment horizontal="right" vertical="center"/>
    </xf>
    <xf numFmtId="190" fontId="13" fillId="0" borderId="0" applyFill="0" applyBorder="0">
      <alignment horizontal="right" vertical="center"/>
    </xf>
    <xf numFmtId="0" fontId="20" fillId="13" borderId="0" applyNumberFormat="0" applyFont="0" applyBorder="0" applyAlignment="0" applyProtection="0"/>
    <xf numFmtId="0" fontId="20" fillId="13" borderId="0" applyNumberFormat="0" applyFont="0" applyBorder="0" applyAlignment="0" applyProtection="0"/>
    <xf numFmtId="0" fontId="20" fillId="14" borderId="0" applyNumberFormat="0" applyFont="0" applyBorder="0" applyAlignment="0" applyProtection="0"/>
    <xf numFmtId="0" fontId="20" fillId="14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16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Border="0" applyAlignment="0" applyProtection="0"/>
    <xf numFmtId="0" fontId="20" fillId="0" borderId="0" applyNumberFormat="0" applyFont="0" applyBorder="0" applyAlignment="0" applyProtection="0"/>
    <xf numFmtId="0" fontId="58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50" fillId="0" borderId="0"/>
    <xf numFmtId="0" fontId="59" fillId="0" borderId="0"/>
    <xf numFmtId="15" fontId="20" fillId="0" borderId="0"/>
    <xf numFmtId="15" fontId="20" fillId="0" borderId="0"/>
    <xf numFmtId="15" fontId="20" fillId="0" borderId="0"/>
    <xf numFmtId="10" fontId="20" fillId="0" borderId="0"/>
    <xf numFmtId="10" fontId="20" fillId="0" borderId="0"/>
    <xf numFmtId="10" fontId="20" fillId="0" borderId="0"/>
    <xf numFmtId="0" fontId="60" fillId="9" borderId="7" applyBorder="0" applyProtection="0">
      <alignment horizontal="centerContinuous" vertical="center"/>
    </xf>
    <xf numFmtId="0" fontId="61" fillId="0" borderId="0" applyBorder="0" applyProtection="0">
      <alignment vertical="center"/>
    </xf>
    <xf numFmtId="0" fontId="62" fillId="0" borderId="0">
      <alignment horizontal="left"/>
    </xf>
    <xf numFmtId="0" fontId="62" fillId="0" borderId="10" applyFill="0" applyBorder="0" applyProtection="0">
      <alignment horizontal="left" vertical="top"/>
    </xf>
    <xf numFmtId="49" fontId="20" fillId="0" borderId="0" applyFont="0" applyFill="0" applyBorder="0" applyAlignment="0" applyProtection="0"/>
    <xf numFmtId="0" fontId="63" fillId="0" borderId="0"/>
    <xf numFmtId="49" fontId="20" fillId="0" borderId="0" applyFont="0" applyFill="0" applyBorder="0" applyAlignment="0" applyProtection="0"/>
    <xf numFmtId="0" fontId="64" fillId="0" borderId="0"/>
    <xf numFmtId="0" fontId="64" fillId="0" borderId="0"/>
    <xf numFmtId="0" fontId="63" fillId="0" borderId="0"/>
    <xf numFmtId="183" fontId="65" fillId="0" borderId="0"/>
    <xf numFmtId="0" fontId="58" fillId="0" borderId="0" applyNumberFormat="0" applyFill="0" applyBorder="0" applyAlignment="0" applyProtection="0"/>
    <xf numFmtId="0" fontId="66" fillId="0" borderId="0" applyFill="0" applyBorder="0">
      <alignment horizontal="left" vertical="center"/>
      <protection locked="0"/>
    </xf>
    <xf numFmtId="0" fontId="63" fillId="0" borderId="0"/>
    <xf numFmtId="0" fontId="67" fillId="0" borderId="0" applyFill="0" applyBorder="0">
      <alignment horizontal="left" vertical="center"/>
      <protection locked="0"/>
    </xf>
    <xf numFmtId="0" fontId="34" fillId="0" borderId="21" applyNumberFormat="0" applyFill="0" applyAlignment="0" applyProtection="0"/>
    <xf numFmtId="0" fontId="68" fillId="0" borderId="0" applyNumberFormat="0" applyFill="0" applyBorder="0" applyAlignment="0" applyProtection="0"/>
    <xf numFmtId="191" fontId="20" fillId="0" borderId="7" applyBorder="0" applyProtection="0">
      <alignment horizontal="right"/>
    </xf>
    <xf numFmtId="191" fontId="20" fillId="0" borderId="7" applyBorder="0" applyProtection="0">
      <alignment horizontal="right"/>
    </xf>
    <xf numFmtId="191" fontId="20" fillId="0" borderId="7" applyBorder="0" applyProtection="0">
      <alignment horizontal="right"/>
    </xf>
    <xf numFmtId="0" fontId="2" fillId="0" borderId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74" fillId="42" borderId="0"/>
    <xf numFmtId="201" fontId="75" fillId="0" borderId="23">
      <alignment horizontal="center"/>
    </xf>
    <xf numFmtId="0" fontId="76" fillId="43" borderId="6">
      <alignment horizontal="center" vertical="center"/>
    </xf>
    <xf numFmtId="0" fontId="20" fillId="44" borderId="11"/>
    <xf numFmtId="0" fontId="77" fillId="0" borderId="0" applyFill="0" applyBorder="0"/>
    <xf numFmtId="0" fontId="78" fillId="0" borderId="0" applyNumberFormat="0" applyFill="0"/>
    <xf numFmtId="0" fontId="79" fillId="0" borderId="0" applyFill="0"/>
    <xf numFmtId="0" fontId="80" fillId="0" borderId="0" applyFill="0"/>
    <xf numFmtId="0" fontId="81" fillId="0" borderId="0" applyFill="0"/>
    <xf numFmtId="0" fontId="74" fillId="45" borderId="0"/>
    <xf numFmtId="0" fontId="20" fillId="38" borderId="24" applyNumberFormat="0" applyFont="0" applyAlignment="0"/>
    <xf numFmtId="0" fontId="82" fillId="7" borderId="25" applyNumberFormat="0"/>
    <xf numFmtId="0" fontId="83" fillId="46" borderId="0"/>
    <xf numFmtId="0" fontId="84" fillId="46" borderId="0" applyNumberFormat="0"/>
    <xf numFmtId="0" fontId="85" fillId="46" borderId="0"/>
    <xf numFmtId="0" fontId="86" fillId="47" borderId="6" applyNumberFormat="0">
      <alignment horizontal="center" vertical="center"/>
    </xf>
    <xf numFmtId="0" fontId="87" fillId="48" borderId="11" applyNumberFormat="0" applyAlignment="0">
      <alignment horizontal="right"/>
    </xf>
    <xf numFmtId="0" fontId="22" fillId="38" borderId="24" applyNumberFormat="0" applyAlignment="0"/>
    <xf numFmtId="0" fontId="75" fillId="0" borderId="0" applyNumberFormat="0" applyFill="0" applyBorder="0"/>
    <xf numFmtId="0" fontId="88" fillId="49" borderId="24" applyNumberFormat="0">
      <protection locked="0"/>
    </xf>
    <xf numFmtId="0" fontId="90" fillId="0" borderId="0"/>
    <xf numFmtId="9" fontId="90" fillId="0" borderId="0" applyFont="0" applyFill="0" applyBorder="0" applyAlignment="0" applyProtection="0"/>
    <xf numFmtId="167" fontId="90" fillId="0" borderId="0" applyFont="0" applyFill="0" applyBorder="0" applyAlignment="0" applyProtection="0"/>
    <xf numFmtId="0" fontId="1" fillId="0" borderId="0"/>
    <xf numFmtId="164" fontId="90" fillId="0" borderId="0" applyFont="0" applyFill="0" applyBorder="0" applyAlignment="0" applyProtection="0"/>
    <xf numFmtId="0" fontId="90" fillId="0" borderId="0"/>
    <xf numFmtId="206" fontId="20" fillId="0" borderId="0" applyFill="0" applyBorder="0">
      <alignment vertical="center"/>
    </xf>
    <xf numFmtId="0" fontId="20" fillId="0" borderId="0"/>
  </cellStyleXfs>
  <cellXfs count="255">
    <xf numFmtId="0" fontId="0" fillId="0" borderId="0" xfId="0"/>
    <xf numFmtId="0" fontId="3" fillId="2" borderId="0" xfId="0" applyFont="1" applyFill="1" applyBorder="1"/>
    <xf numFmtId="0" fontId="3" fillId="2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3" fillId="2" borderId="1" xfId="0" applyFont="1" applyFill="1" applyBorder="1"/>
    <xf numFmtId="168" fontId="4" fillId="3" borderId="0" xfId="0" applyNumberFormat="1" applyFont="1" applyFill="1"/>
    <xf numFmtId="168" fontId="5" fillId="0" borderId="0" xfId="0" applyNumberFormat="1" applyFont="1"/>
    <xf numFmtId="168" fontId="4" fillId="0" borderId="0" xfId="0" applyNumberFormat="1" applyFont="1"/>
    <xf numFmtId="168" fontId="6" fillId="0" borderId="0" xfId="0" applyNumberFormat="1" applyFont="1"/>
    <xf numFmtId="168" fontId="7" fillId="0" borderId="0" xfId="0" applyNumberFormat="1" applyFont="1" applyAlignment="1" applyProtection="1"/>
    <xf numFmtId="0" fontId="4" fillId="5" borderId="0" xfId="0" applyFont="1" applyFill="1" applyBorder="1"/>
    <xf numFmtId="0" fontId="4" fillId="6" borderId="0" xfId="0" applyFont="1" applyFill="1" applyBorder="1"/>
    <xf numFmtId="168" fontId="10" fillId="0" borderId="0" xfId="0" applyNumberFormat="1" applyFont="1"/>
    <xf numFmtId="168" fontId="6" fillId="0" borderId="0" xfId="0" applyNumberFormat="1" applyFont="1" applyAlignment="1">
      <alignment horizontal="center"/>
    </xf>
    <xf numFmtId="168" fontId="4" fillId="0" borderId="0" xfId="0" applyNumberFormat="1" applyFont="1" applyAlignment="1">
      <alignment horizontal="left" indent="1"/>
    </xf>
    <xf numFmtId="168" fontId="5" fillId="0" borderId="0" xfId="0" applyNumberFormat="1" applyFont="1" applyAlignment="1">
      <alignment horizontal="center"/>
    </xf>
    <xf numFmtId="168" fontId="0" fillId="0" borderId="0" xfId="0" applyNumberFormat="1"/>
    <xf numFmtId="164" fontId="10" fillId="0" borderId="6" xfId="0" applyNumberFormat="1" applyFont="1" applyBorder="1" applyAlignment="1">
      <alignment horizontal="center"/>
    </xf>
    <xf numFmtId="168" fontId="15" fillId="0" borderId="0" xfId="3" applyNumberFormat="1" applyFont="1" applyAlignment="1" applyProtection="1"/>
    <xf numFmtId="168" fontId="5" fillId="3" borderId="0" xfId="0" applyNumberFormat="1" applyFont="1" applyFill="1"/>
    <xf numFmtId="168" fontId="16" fillId="0" borderId="0" xfId="0" applyNumberFormat="1" applyFont="1" applyAlignment="1">
      <alignment horizontal="center"/>
    </xf>
    <xf numFmtId="172" fontId="13" fillId="0" borderId="0" xfId="5" applyNumberFormat="1" applyFont="1" applyFill="1" applyBorder="1" applyAlignment="1" applyProtection="1">
      <alignment horizontal="center" vertical="center"/>
    </xf>
    <xf numFmtId="173" fontId="10" fillId="0" borderId="0" xfId="5" applyNumberFormat="1" applyFont="1" applyFill="1" applyBorder="1" applyAlignment="1" applyProtection="1">
      <alignment horizontal="center" vertical="center"/>
    </xf>
    <xf numFmtId="173" fontId="18" fillId="0" borderId="0" xfId="5" applyNumberFormat="1" applyFont="1" applyFill="1" applyBorder="1" applyAlignment="1" applyProtection="1">
      <alignment horizontal="center" vertical="center"/>
    </xf>
    <xf numFmtId="174" fontId="4" fillId="0" borderId="0" xfId="0" applyNumberFormat="1" applyFont="1"/>
    <xf numFmtId="176" fontId="13" fillId="0" borderId="0" xfId="5" applyNumberFormat="1" applyFont="1" applyFill="1" applyBorder="1" applyAlignment="1" applyProtection="1">
      <alignment horizontal="center" vertical="center"/>
    </xf>
    <xf numFmtId="168" fontId="4" fillId="3" borderId="0" xfId="0" applyNumberFormat="1" applyFont="1" applyFill="1" applyProtection="1"/>
    <xf numFmtId="168" fontId="5" fillId="3" borderId="0" xfId="0" applyNumberFormat="1" applyFont="1" applyFill="1" applyAlignment="1" applyProtection="1">
      <alignment horizontal="center"/>
    </xf>
    <xf numFmtId="168" fontId="4" fillId="0" borderId="0" xfId="0" applyNumberFormat="1" applyFont="1" applyProtection="1"/>
    <xf numFmtId="168" fontId="5" fillId="0" borderId="0" xfId="0" applyNumberFormat="1" applyFont="1" applyAlignment="1" applyProtection="1">
      <alignment horizontal="center"/>
    </xf>
    <xf numFmtId="168" fontId="10" fillId="0" borderId="0" xfId="0" applyNumberFormat="1" applyFont="1" applyProtection="1"/>
    <xf numFmtId="168" fontId="16" fillId="0" borderId="0" xfId="0" applyNumberFormat="1" applyFont="1" applyAlignment="1" applyProtection="1">
      <alignment horizontal="center"/>
    </xf>
    <xf numFmtId="168" fontId="6" fillId="0" borderId="0" xfId="0" applyNumberFormat="1" applyFont="1" applyAlignment="1" applyProtection="1">
      <alignment horizontal="center"/>
    </xf>
    <xf numFmtId="168" fontId="15" fillId="0" borderId="0" xfId="3" applyNumberFormat="1" applyFont="1" applyAlignment="1" applyProtection="1">
      <alignment horizontal="center"/>
    </xf>
    <xf numFmtId="0" fontId="69" fillId="38" borderId="0" xfId="0" applyFont="1" applyFill="1" applyBorder="1" applyAlignment="1">
      <alignment horizontal="left" vertical="center"/>
    </xf>
    <xf numFmtId="0" fontId="69" fillId="38" borderId="0" xfId="0" applyFont="1" applyFill="1" applyBorder="1" applyAlignment="1">
      <alignment horizontal="left" indent="9"/>
    </xf>
    <xf numFmtId="0" fontId="70" fillId="38" borderId="0" xfId="0" applyFont="1" applyFill="1" applyBorder="1" applyAlignment="1" applyProtection="1"/>
    <xf numFmtId="0" fontId="0" fillId="38" borderId="0" xfId="0" applyFont="1" applyFill="1" applyBorder="1"/>
    <xf numFmtId="0" fontId="0" fillId="38" borderId="0" xfId="0" applyFont="1" applyFill="1" applyBorder="1" applyAlignment="1">
      <alignment horizontal="right"/>
    </xf>
    <xf numFmtId="164" fontId="21" fillId="38" borderId="0" xfId="0" applyNumberFormat="1" applyFont="1" applyFill="1" applyBorder="1" applyAlignment="1">
      <alignment horizontal="center"/>
    </xf>
    <xf numFmtId="0" fontId="71" fillId="38" borderId="1" xfId="0" applyFont="1" applyFill="1" applyBorder="1" applyAlignment="1">
      <alignment horizontal="left"/>
    </xf>
    <xf numFmtId="0" fontId="0" fillId="38" borderId="1" xfId="0" applyFont="1" applyFill="1" applyBorder="1"/>
    <xf numFmtId="0" fontId="0" fillId="39" borderId="4" xfId="0" applyFill="1" applyBorder="1"/>
    <xf numFmtId="0" fontId="22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167" fontId="22" fillId="39" borderId="4" xfId="0" applyNumberFormat="1" applyFont="1" applyFill="1" applyBorder="1" applyAlignment="1">
      <alignment horizontal="center" wrapText="1"/>
    </xf>
    <xf numFmtId="0" fontId="0" fillId="3" borderId="0" xfId="0" applyFill="1" applyBorder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0" borderId="0" xfId="0" applyFill="1"/>
    <xf numFmtId="0" fontId="21" fillId="39" borderId="4" xfId="0" applyFont="1" applyFill="1" applyBorder="1"/>
    <xf numFmtId="169" fontId="4" fillId="41" borderId="3" xfId="0" applyNumberFormat="1" applyFont="1" applyFill="1" applyBorder="1" applyAlignment="1" applyProtection="1">
      <alignment horizontal="center"/>
      <protection locked="0"/>
    </xf>
    <xf numFmtId="0" fontId="71" fillId="38" borderId="0" xfId="0" applyFont="1" applyFill="1" applyBorder="1" applyAlignment="1">
      <alignment horizontal="left"/>
    </xf>
    <xf numFmtId="0" fontId="71" fillId="38" borderId="0" xfId="0" applyFont="1" applyFill="1" applyBorder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Fill="1" applyBorder="1"/>
    <xf numFmtId="0" fontId="0" fillId="0" borderId="8" xfId="0" applyBorder="1"/>
    <xf numFmtId="0" fontId="4" fillId="40" borderId="0" xfId="0" applyFont="1" applyFill="1" applyBorder="1" applyAlignment="1">
      <alignment horizontal="center"/>
    </xf>
    <xf numFmtId="10" fontId="4" fillId="41" borderId="3" xfId="2" applyNumberFormat="1" applyFont="1" applyFill="1" applyBorder="1" applyAlignment="1" applyProtection="1">
      <alignment horizontal="center"/>
      <protection locked="0"/>
    </xf>
    <xf numFmtId="49" fontId="4" fillId="41" borderId="3" xfId="0" applyNumberFormat="1" applyFont="1" applyFill="1" applyBorder="1" applyAlignment="1" applyProtection="1">
      <alignment horizontal="left" indent="1"/>
      <protection locked="0"/>
    </xf>
    <xf numFmtId="168" fontId="16" fillId="0" borderId="0" xfId="0" applyNumberFormat="1" applyFont="1" applyAlignment="1" applyProtection="1">
      <alignment horizontal="center" wrapText="1"/>
    </xf>
    <xf numFmtId="192" fontId="4" fillId="41" borderId="3" xfId="0" applyNumberFormat="1" applyFont="1" applyFill="1" applyBorder="1" applyAlignment="1" applyProtection="1">
      <alignment horizontal="center"/>
      <protection locked="0"/>
    </xf>
    <xf numFmtId="196" fontId="4" fillId="0" borderId="0" xfId="0" applyNumberFormat="1" applyFont="1" applyAlignment="1" applyProtection="1">
      <alignment horizontal="left"/>
    </xf>
    <xf numFmtId="194" fontId="4" fillId="0" borderId="0" xfId="0" applyNumberFormat="1" applyFont="1" applyProtection="1"/>
    <xf numFmtId="168" fontId="5" fillId="0" borderId="0" xfId="0" applyNumberFormat="1" applyFont="1" applyAlignment="1" applyProtection="1">
      <alignment horizontal="center" wrapText="1"/>
    </xf>
    <xf numFmtId="168" fontId="6" fillId="0" borderId="0" xfId="0" applyNumberFormat="1" applyFont="1" applyProtection="1"/>
    <xf numFmtId="168" fontId="17" fillId="40" borderId="9" xfId="0" applyNumberFormat="1" applyFont="1" applyFill="1" applyBorder="1" applyAlignment="1" applyProtection="1">
      <alignment horizontal="center"/>
      <protection locked="0"/>
    </xf>
    <xf numFmtId="0" fontId="0" fillId="38" borderId="0" xfId="0" applyFont="1" applyFill="1" applyBorder="1" applyProtection="1"/>
    <xf numFmtId="0" fontId="69" fillId="38" borderId="0" xfId="0" applyFont="1" applyFill="1" applyBorder="1" applyAlignment="1" applyProtection="1">
      <alignment horizontal="left" vertical="center"/>
    </xf>
    <xf numFmtId="0" fontId="69" fillId="38" borderId="0" xfId="0" applyFont="1" applyFill="1" applyBorder="1" applyAlignment="1" applyProtection="1">
      <alignment horizontal="left" indent="9"/>
    </xf>
    <xf numFmtId="0" fontId="0" fillId="38" borderId="0" xfId="0" applyFont="1" applyFill="1" applyBorder="1" applyAlignment="1" applyProtection="1">
      <alignment horizontal="right"/>
    </xf>
    <xf numFmtId="0" fontId="4" fillId="40" borderId="0" xfId="0" applyFont="1" applyFill="1" applyBorder="1" applyAlignment="1" applyProtection="1">
      <alignment horizontal="center"/>
    </xf>
    <xf numFmtId="0" fontId="4" fillId="5" borderId="0" xfId="0" applyFont="1" applyFill="1" applyBorder="1" applyProtection="1"/>
    <xf numFmtId="0" fontId="4" fillId="6" borderId="0" xfId="0" applyFont="1" applyFill="1" applyBorder="1" applyProtection="1"/>
    <xf numFmtId="164" fontId="21" fillId="38" borderId="0" xfId="0" applyNumberFormat="1" applyFont="1" applyFill="1" applyBorder="1" applyAlignment="1" applyProtection="1">
      <alignment horizontal="center"/>
    </xf>
    <xf numFmtId="0" fontId="0" fillId="38" borderId="1" xfId="0" applyFont="1" applyFill="1" applyBorder="1" applyProtection="1"/>
    <xf numFmtId="0" fontId="71" fillId="38" borderId="1" xfId="0" applyFont="1" applyFill="1" applyBorder="1" applyAlignment="1" applyProtection="1">
      <alignment horizontal="left"/>
    </xf>
    <xf numFmtId="0" fontId="71" fillId="38" borderId="1" xfId="0" applyFont="1" applyFill="1" applyBorder="1" applyAlignment="1" applyProtection="1">
      <alignment horizontal="left" indent="9"/>
    </xf>
    <xf numFmtId="0" fontId="21" fillId="38" borderId="2" xfId="0" applyNumberFormat="1" applyFont="1" applyFill="1" applyBorder="1" applyProtection="1"/>
    <xf numFmtId="0" fontId="21" fillId="38" borderId="2" xfId="0" applyFont="1" applyFill="1" applyBorder="1" applyProtection="1"/>
    <xf numFmtId="0" fontId="72" fillId="38" borderId="2" xfId="0" applyNumberFormat="1" applyFont="1" applyFill="1" applyBorder="1" applyProtection="1"/>
    <xf numFmtId="0" fontId="72" fillId="39" borderId="4" xfId="0" applyFont="1" applyFill="1" applyBorder="1" applyProtection="1"/>
    <xf numFmtId="0" fontId="72" fillId="39" borderId="4" xfId="0" applyFont="1" applyFill="1" applyBorder="1" applyAlignment="1" applyProtection="1">
      <alignment horizontal="center"/>
    </xf>
    <xf numFmtId="0" fontId="17" fillId="39" borderId="4" xfId="0" applyFont="1" applyFill="1" applyBorder="1" applyAlignment="1" applyProtection="1">
      <alignment horizontal="center" vertical="center"/>
    </xf>
    <xf numFmtId="0" fontId="17" fillId="39" borderId="4" xfId="0" applyFont="1" applyFill="1" applyBorder="1" applyAlignment="1" applyProtection="1">
      <alignment vertical="center"/>
    </xf>
    <xf numFmtId="0" fontId="72" fillId="39" borderId="4" xfId="0" applyFont="1" applyFill="1" applyBorder="1" applyAlignment="1" applyProtection="1">
      <alignment wrapText="1"/>
    </xf>
    <xf numFmtId="167" fontId="17" fillId="39" borderId="4" xfId="0" applyNumberFormat="1" applyFont="1" applyFill="1" applyBorder="1" applyAlignment="1" applyProtection="1">
      <alignment horizontal="center" wrapText="1"/>
    </xf>
    <xf numFmtId="0" fontId="72" fillId="3" borderId="0" xfId="0" applyFont="1" applyFill="1" applyBorder="1" applyAlignment="1" applyProtection="1">
      <alignment wrapText="1"/>
    </xf>
    <xf numFmtId="0" fontId="72" fillId="3" borderId="0" xfId="0" applyFont="1" applyFill="1" applyAlignment="1" applyProtection="1">
      <alignment wrapText="1"/>
    </xf>
    <xf numFmtId="0" fontId="72" fillId="3" borderId="0" xfId="0" applyFont="1" applyFill="1" applyProtection="1"/>
    <xf numFmtId="0" fontId="72" fillId="0" borderId="0" xfId="0" applyFont="1" applyFill="1" applyProtection="1"/>
    <xf numFmtId="0" fontId="72" fillId="0" borderId="0" xfId="0" applyFont="1" applyProtection="1"/>
    <xf numFmtId="0" fontId="0" fillId="39" borderId="4" xfId="0" applyFill="1" applyBorder="1" applyProtection="1"/>
    <xf numFmtId="0" fontId="21" fillId="39" borderId="4" xfId="0" applyFont="1" applyFill="1" applyBorder="1" applyProtection="1"/>
    <xf numFmtId="0" fontId="22" fillId="39" borderId="4" xfId="0" applyFont="1" applyFill="1" applyBorder="1" applyAlignment="1" applyProtection="1">
      <alignment vertical="center"/>
    </xf>
    <xf numFmtId="0" fontId="0" fillId="39" borderId="4" xfId="0" applyFill="1" applyBorder="1" applyAlignment="1" applyProtection="1">
      <alignment wrapText="1"/>
    </xf>
    <xf numFmtId="167" fontId="22" fillId="39" borderId="4" xfId="0" applyNumberFormat="1" applyFont="1" applyFill="1" applyBorder="1" applyAlignment="1" applyProtection="1">
      <alignment horizontal="center" wrapText="1"/>
    </xf>
    <xf numFmtId="0" fontId="0" fillId="3" borderId="0" xfId="0" applyFill="1" applyBorder="1" applyAlignment="1" applyProtection="1">
      <alignment wrapText="1"/>
    </xf>
    <xf numFmtId="0" fontId="0" fillId="3" borderId="0" xfId="0" applyFill="1" applyAlignment="1" applyProtection="1">
      <alignment wrapText="1"/>
    </xf>
    <xf numFmtId="0" fontId="0" fillId="3" borderId="0" xfId="0" applyFill="1" applyProtection="1"/>
    <xf numFmtId="0" fontId="0" fillId="0" borderId="0" xfId="0" applyFill="1" applyProtection="1"/>
    <xf numFmtId="0" fontId="0" fillId="0" borderId="0" xfId="0" applyProtection="1"/>
    <xf numFmtId="168" fontId="6" fillId="0" borderId="0" xfId="0" applyNumberFormat="1" applyFont="1" applyFill="1" applyBorder="1" applyProtection="1"/>
    <xf numFmtId="168" fontId="5" fillId="0" borderId="0" xfId="0" applyNumberFormat="1" applyFont="1" applyFill="1" applyAlignment="1" applyProtection="1">
      <alignment horizontal="center"/>
    </xf>
    <xf numFmtId="168" fontId="4" fillId="0" borderId="0" xfId="0" applyNumberFormat="1" applyFont="1" applyBorder="1" applyAlignment="1" applyProtection="1">
      <alignment horizontal="left" indent="1"/>
    </xf>
    <xf numFmtId="168" fontId="4" fillId="0" borderId="0" xfId="0" applyNumberFormat="1" applyFont="1" applyAlignment="1" applyProtection="1">
      <alignment horizontal="center"/>
    </xf>
    <xf numFmtId="168" fontId="15" fillId="0" borderId="0" xfId="3" applyNumberFormat="1" applyFont="1" applyFill="1" applyAlignment="1" applyProtection="1">
      <alignment horizontal="center"/>
    </xf>
    <xf numFmtId="197" fontId="4" fillId="0" borderId="0" xfId="0" applyNumberFormat="1" applyFont="1" applyAlignment="1" applyProtection="1">
      <alignment horizontal="center"/>
    </xf>
    <xf numFmtId="168" fontId="5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Alignment="1" applyProtection="1">
      <alignment horizontal="left" indent="1"/>
    </xf>
    <xf numFmtId="168" fontId="5" fillId="0" borderId="7" xfId="0" applyNumberFormat="1" applyFont="1" applyBorder="1" applyAlignment="1" applyProtection="1">
      <alignment horizontal="center"/>
    </xf>
    <xf numFmtId="168" fontId="6" fillId="0" borderId="8" xfId="0" applyNumberFormat="1" applyFont="1" applyBorder="1" applyAlignment="1" applyProtection="1">
      <alignment horizontal="left" indent="1"/>
    </xf>
    <xf numFmtId="168" fontId="5" fillId="0" borderId="8" xfId="0" applyNumberFormat="1" applyFont="1" applyBorder="1" applyAlignment="1" applyProtection="1">
      <alignment horizontal="center"/>
    </xf>
    <xf numFmtId="197" fontId="6" fillId="0" borderId="0" xfId="0" applyNumberFormat="1" applyFont="1" applyAlignment="1" applyProtection="1">
      <alignment horizontal="center"/>
    </xf>
    <xf numFmtId="168" fontId="5" fillId="0" borderId="0" xfId="0" applyNumberFormat="1" applyFont="1" applyAlignment="1" applyProtection="1">
      <alignment horizontal="left"/>
    </xf>
    <xf numFmtId="10" fontId="4" fillId="0" borderId="0" xfId="2" applyNumberFormat="1" applyFont="1" applyAlignment="1" applyProtection="1">
      <alignment horizontal="center"/>
    </xf>
    <xf numFmtId="168" fontId="6" fillId="0" borderId="8" xfId="0" applyNumberFormat="1" applyFont="1" applyBorder="1" applyProtection="1"/>
    <xf numFmtId="175" fontId="4" fillId="0" borderId="0" xfId="0" applyNumberFormat="1" applyFont="1" applyAlignment="1" applyProtection="1">
      <alignment horizontal="center"/>
    </xf>
    <xf numFmtId="168" fontId="6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Fill="1" applyAlignment="1" applyProtection="1">
      <alignment horizontal="left" indent="2"/>
    </xf>
    <xf numFmtId="168" fontId="16" fillId="0" borderId="8" xfId="0" applyNumberFormat="1" applyFont="1" applyBorder="1" applyAlignment="1" applyProtection="1">
      <alignment horizontal="center"/>
    </xf>
    <xf numFmtId="168" fontId="6" fillId="0" borderId="0" xfId="0" applyNumberFormat="1" applyFont="1" applyBorder="1" applyAlignment="1" applyProtection="1">
      <alignment horizontal="left" indent="1"/>
    </xf>
    <xf numFmtId="168" fontId="6" fillId="0" borderId="0" xfId="0" applyNumberFormat="1" applyFont="1" applyBorder="1" applyProtection="1"/>
    <xf numFmtId="194" fontId="6" fillId="0" borderId="0" xfId="0" applyNumberFormat="1" applyFont="1" applyBorder="1" applyAlignment="1" applyProtection="1">
      <alignment horizontal="center"/>
    </xf>
    <xf numFmtId="168" fontId="16" fillId="0" borderId="0" xfId="0" applyNumberFormat="1" applyFont="1" applyBorder="1" applyAlignment="1" applyProtection="1">
      <alignment horizontal="center"/>
    </xf>
    <xf numFmtId="200" fontId="4" fillId="0" borderId="0" xfId="0" applyNumberFormat="1" applyFont="1" applyAlignment="1" applyProtection="1">
      <alignment horizontal="center"/>
    </xf>
    <xf numFmtId="200" fontId="6" fillId="0" borderId="0" xfId="0" applyNumberFormat="1" applyFont="1" applyAlignment="1" applyProtection="1">
      <alignment horizontal="center"/>
    </xf>
    <xf numFmtId="198" fontId="10" fillId="0" borderId="4" xfId="5" applyNumberFormat="1" applyFont="1" applyFill="1" applyBorder="1" applyAlignment="1" applyProtection="1">
      <alignment horizontal="center" vertical="center"/>
    </xf>
    <xf numFmtId="49" fontId="5" fillId="41" borderId="22" xfId="0" applyNumberFormat="1" applyFont="1" applyFill="1" applyBorder="1" applyAlignment="1" applyProtection="1">
      <alignment horizontal="center"/>
      <protection locked="0"/>
    </xf>
    <xf numFmtId="164" fontId="10" fillId="0" borderId="3" xfId="0" applyNumberFormat="1" applyFont="1" applyBorder="1" applyAlignment="1" applyProtection="1">
      <alignment horizontal="center"/>
    </xf>
    <xf numFmtId="164" fontId="10" fillId="0" borderId="0" xfId="0" applyNumberFormat="1" applyFont="1" applyBorder="1" applyAlignment="1" applyProtection="1">
      <alignment horizontal="center"/>
    </xf>
    <xf numFmtId="0" fontId="8" fillId="38" borderId="2" xfId="0" applyNumberFormat="1" applyFont="1" applyFill="1" applyBorder="1" applyProtection="1"/>
    <xf numFmtId="0" fontId="8" fillId="38" borderId="2" xfId="0" applyFont="1" applyFill="1" applyBorder="1" applyProtection="1"/>
    <xf numFmtId="0" fontId="9" fillId="38" borderId="2" xfId="0" applyNumberFormat="1" applyFont="1" applyFill="1" applyBorder="1" applyAlignment="1" applyProtection="1">
      <alignment horizontal="center"/>
    </xf>
    <xf numFmtId="0" fontId="9" fillId="38" borderId="2" xfId="0" applyNumberFormat="1" applyFont="1" applyFill="1" applyBorder="1" applyProtection="1"/>
    <xf numFmtId="168" fontId="6" fillId="0" borderId="7" xfId="0" applyNumberFormat="1" applyFont="1" applyBorder="1" applyProtection="1"/>
    <xf numFmtId="168" fontId="4" fillId="0" borderId="7" xfId="0" applyNumberFormat="1" applyFont="1" applyBorder="1" applyProtection="1"/>
    <xf numFmtId="168" fontId="6" fillId="0" borderId="4" xfId="0" applyNumberFormat="1" applyFont="1" applyBorder="1" applyAlignment="1" applyProtection="1">
      <alignment horizontal="left"/>
    </xf>
    <xf numFmtId="168" fontId="5" fillId="0" borderId="4" xfId="0" applyNumberFormat="1" applyFont="1" applyBorder="1" applyAlignment="1" applyProtection="1">
      <alignment horizontal="center"/>
    </xf>
    <xf numFmtId="164" fontId="4" fillId="0" borderId="0" xfId="0" applyNumberFormat="1" applyFont="1" applyProtection="1"/>
    <xf numFmtId="168" fontId="4" fillId="0" borderId="0" xfId="0" applyNumberFormat="1" applyFont="1" applyBorder="1" applyProtection="1"/>
    <xf numFmtId="10" fontId="4" fillId="0" borderId="0" xfId="2" applyNumberFormat="1" applyFont="1" applyBorder="1" applyAlignment="1" applyProtection="1">
      <alignment horizontal="center"/>
    </xf>
    <xf numFmtId="168" fontId="5" fillId="0" borderId="0" xfId="6" applyNumberFormat="1" applyFont="1" applyAlignment="1" applyProtection="1">
      <alignment horizontal="center"/>
    </xf>
    <xf numFmtId="175" fontId="4" fillId="0" borderId="0" xfId="0" applyNumberFormat="1" applyFont="1" applyProtection="1"/>
    <xf numFmtId="193" fontId="4" fillId="8" borderId="3" xfId="0" applyNumberFormat="1" applyFont="1" applyFill="1" applyBorder="1" applyAlignment="1" applyProtection="1">
      <alignment horizontal="left" indent="1"/>
    </xf>
    <xf numFmtId="0" fontId="73" fillId="39" borderId="4" xfId="0" applyFont="1" applyFill="1" applyBorder="1" applyAlignment="1" applyProtection="1"/>
    <xf numFmtId="195" fontId="5" fillId="41" borderId="3" xfId="2" applyNumberFormat="1" applyFont="1" applyFill="1" applyBorder="1" applyAlignment="1" applyProtection="1">
      <alignment horizontal="center"/>
      <protection locked="0"/>
    </xf>
    <xf numFmtId="199" fontId="6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Protection="1">
      <protection locked="0"/>
    </xf>
    <xf numFmtId="202" fontId="4" fillId="41" borderId="3" xfId="0" applyNumberFormat="1" applyFont="1" applyFill="1" applyBorder="1" applyAlignment="1" applyProtection="1">
      <alignment horizontal="center"/>
      <protection locked="0"/>
    </xf>
    <xf numFmtId="1" fontId="4" fillId="41" borderId="3" xfId="0" applyNumberFormat="1" applyFont="1" applyFill="1" applyBorder="1" applyAlignment="1" applyProtection="1">
      <alignment horizontal="center"/>
      <protection locked="0"/>
    </xf>
    <xf numFmtId="203" fontId="72" fillId="39" borderId="4" xfId="0" applyNumberFormat="1" applyFont="1" applyFill="1" applyBorder="1" applyAlignment="1" applyProtection="1">
      <alignment horizontal="center" wrapText="1"/>
    </xf>
    <xf numFmtId="203" fontId="89" fillId="38" borderId="2" xfId="0" applyNumberFormat="1" applyFont="1" applyFill="1" applyBorder="1" applyAlignment="1" applyProtection="1">
      <alignment horizontal="center"/>
    </xf>
    <xf numFmtId="203" fontId="72" fillId="38" borderId="2" xfId="0" applyNumberFormat="1" applyFont="1" applyFill="1" applyBorder="1" applyAlignment="1" applyProtection="1">
      <alignment horizontal="left"/>
    </xf>
    <xf numFmtId="203" fontId="6" fillId="0" borderId="7" xfId="0" applyNumberFormat="1" applyFont="1" applyBorder="1" applyAlignment="1" applyProtection="1">
      <alignment horizontal="center"/>
    </xf>
    <xf numFmtId="203" fontId="4" fillId="0" borderId="0" xfId="0" applyNumberFormat="1" applyFont="1" applyAlignment="1">
      <alignment horizontal="left" indent="1"/>
    </xf>
    <xf numFmtId="203" fontId="5" fillId="0" borderId="0" xfId="0" applyNumberFormat="1" applyFont="1" applyAlignment="1" applyProtection="1">
      <alignment horizontal="center"/>
    </xf>
    <xf numFmtId="203" fontId="5" fillId="41" borderId="22" xfId="0" applyNumberFormat="1" applyFont="1" applyFill="1" applyBorder="1" applyAlignment="1" applyProtection="1">
      <alignment horizontal="center"/>
      <protection locked="0"/>
    </xf>
    <xf numFmtId="203" fontId="6" fillId="0" borderId="0" xfId="0" applyNumberFormat="1" applyFont="1" applyBorder="1" applyAlignment="1" applyProtection="1">
      <alignment horizontal="center"/>
    </xf>
    <xf numFmtId="2" fontId="4" fillId="0" borderId="0" xfId="0" applyNumberFormat="1" applyFont="1" applyFill="1" applyBorder="1" applyAlignment="1" applyProtection="1">
      <alignment horizontal="center"/>
      <protection locked="0"/>
    </xf>
    <xf numFmtId="168" fontId="4" fillId="0" borderId="0" xfId="0" applyNumberFormat="1" applyFont="1" applyFill="1" applyBorder="1" applyProtection="1"/>
    <xf numFmtId="203" fontId="4" fillId="0" borderId="0" xfId="0" applyNumberFormat="1" applyFont="1" applyAlignment="1" applyProtection="1">
      <alignment horizontal="left" indent="1"/>
    </xf>
    <xf numFmtId="168" fontId="12" fillId="0" borderId="0" xfId="3" applyNumberFormat="1" applyAlignment="1" applyProtection="1">
      <alignment horizontal="center"/>
    </xf>
    <xf numFmtId="10" fontId="4" fillId="41" borderId="26" xfId="2" applyNumberFormat="1" applyFont="1" applyFill="1" applyBorder="1" applyAlignment="1" applyProtection="1">
      <alignment horizontal="center"/>
      <protection locked="0"/>
    </xf>
    <xf numFmtId="168" fontId="5" fillId="0" borderId="0" xfId="0" applyNumberFormat="1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center"/>
      <protection locked="0"/>
    </xf>
    <xf numFmtId="195" fontId="4" fillId="0" borderId="0" xfId="2" applyNumberFormat="1" applyFont="1" applyFill="1" applyBorder="1" applyAlignment="1" applyProtection="1">
      <alignment horizontal="center"/>
      <protection locked="0"/>
    </xf>
    <xf numFmtId="203" fontId="4" fillId="41" borderId="3" xfId="2" applyNumberFormat="1" applyFont="1" applyFill="1" applyBorder="1" applyAlignment="1" applyProtection="1">
      <alignment horizontal="center"/>
      <protection locked="0"/>
    </xf>
    <xf numFmtId="0" fontId="72" fillId="38" borderId="27" xfId="0" applyNumberFormat="1" applyFont="1" applyFill="1" applyBorder="1" applyAlignment="1" applyProtection="1"/>
    <xf numFmtId="168" fontId="4" fillId="0" borderId="0" xfId="0" applyNumberFormat="1" applyFont="1" applyBorder="1" applyAlignment="1" applyProtection="1">
      <alignment horizontal="center"/>
    </xf>
    <xf numFmtId="203" fontId="16" fillId="0" borderId="0" xfId="0" applyNumberFormat="1" applyFont="1" applyAlignment="1" applyProtection="1">
      <alignment horizontal="center"/>
    </xf>
    <xf numFmtId="200" fontId="4" fillId="0" borderId="0" xfId="0" applyNumberFormat="1" applyFont="1" applyBorder="1" applyAlignment="1" applyProtection="1">
      <alignment horizontal="center"/>
    </xf>
    <xf numFmtId="200" fontId="6" fillId="0" borderId="0" xfId="0" applyNumberFormat="1" applyFont="1" applyBorder="1" applyAlignment="1" applyProtection="1">
      <alignment horizontal="center"/>
    </xf>
    <xf numFmtId="197" fontId="6" fillId="0" borderId="0" xfId="0" applyNumberFormat="1" applyFont="1" applyBorder="1" applyAlignment="1" applyProtection="1">
      <alignment horizontal="center"/>
    </xf>
    <xf numFmtId="168" fontId="6" fillId="0" borderId="7" xfId="0" applyNumberFormat="1" applyFont="1" applyBorder="1" applyAlignment="1" applyProtection="1">
      <alignment horizontal="left" indent="1"/>
    </xf>
    <xf numFmtId="203" fontId="5" fillId="0" borderId="7" xfId="0" applyNumberFormat="1" applyFont="1" applyBorder="1" applyAlignment="1" applyProtection="1">
      <alignment horizontal="center"/>
    </xf>
    <xf numFmtId="204" fontId="4" fillId="0" borderId="0" xfId="2" applyNumberFormat="1" applyFont="1" applyFill="1" applyBorder="1" applyAlignment="1" applyProtection="1">
      <alignment horizontal="center"/>
    </xf>
    <xf numFmtId="0" fontId="12" fillId="38" borderId="0" xfId="3" applyFill="1" applyBorder="1" applyAlignment="1">
      <alignment horizontal="right"/>
    </xf>
    <xf numFmtId="0" fontId="72" fillId="38" borderId="2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>
      <alignment horizontal="center"/>
      <protection locked="0"/>
    </xf>
    <xf numFmtId="1" fontId="4" fillId="0" borderId="3" xfId="0" applyNumberFormat="1" applyFont="1" applyFill="1" applyBorder="1" applyAlignment="1" applyProtection="1">
      <alignment horizontal="center"/>
      <protection locked="0"/>
    </xf>
    <xf numFmtId="203" fontId="4" fillId="0" borderId="3" xfId="0" applyNumberFormat="1" applyFont="1" applyFill="1" applyBorder="1" applyAlignment="1" applyProtection="1">
      <alignment horizontal="center"/>
      <protection locked="0"/>
    </xf>
    <xf numFmtId="2" fontId="10" fillId="0" borderId="4" xfId="5" applyNumberFormat="1" applyFont="1" applyFill="1" applyBorder="1" applyAlignment="1" applyProtection="1">
      <alignment horizontal="center" vertical="center"/>
    </xf>
    <xf numFmtId="0" fontId="12" fillId="38" borderId="0" xfId="3" applyFill="1" applyBorder="1" applyAlignment="1" applyProtection="1">
      <alignment horizontal="right"/>
    </xf>
    <xf numFmtId="194" fontId="4" fillId="0" borderId="0" xfId="0" applyNumberFormat="1" applyFont="1" applyProtection="1">
      <protection locked="0"/>
    </xf>
    <xf numFmtId="194" fontId="6" fillId="0" borderId="0" xfId="0" applyNumberFormat="1" applyFont="1" applyProtection="1">
      <protection locked="0"/>
    </xf>
    <xf numFmtId="49" fontId="5" fillId="0" borderId="22" xfId="0" applyNumberFormat="1" applyFont="1" applyFill="1" applyBorder="1" applyAlignment="1" applyProtection="1">
      <alignment horizontal="center"/>
    </xf>
    <xf numFmtId="203" fontId="5" fillId="0" borderId="22" xfId="0" applyNumberFormat="1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center"/>
    </xf>
    <xf numFmtId="181" fontId="4" fillId="0" borderId="0" xfId="2" applyNumberFormat="1" applyFont="1" applyAlignment="1" applyProtection="1">
      <alignment horizontal="center"/>
      <protection locked="0"/>
    </xf>
    <xf numFmtId="173" fontId="10" fillId="0" borderId="0" xfId="5" applyNumberFormat="1" applyFont="1" applyFill="1" applyBorder="1" applyAlignment="1" applyProtection="1">
      <alignment horizontal="center" vertical="center"/>
      <protection locked="0"/>
    </xf>
    <xf numFmtId="168" fontId="13" fillId="0" borderId="0" xfId="5" applyNumberFormat="1" applyFont="1" applyFill="1" applyBorder="1" applyAlignment="1" applyProtection="1">
      <alignment horizontal="center" vertical="center"/>
      <protection locked="0"/>
    </xf>
    <xf numFmtId="168" fontId="4" fillId="0" borderId="0" xfId="0" applyNumberFormat="1" applyFont="1" applyAlignment="1" applyProtection="1">
      <alignment horizontal="center"/>
      <protection locked="0"/>
    </xf>
    <xf numFmtId="168" fontId="4" fillId="0" borderId="0" xfId="0" applyNumberFormat="1" applyFont="1" applyFill="1" applyProtection="1"/>
    <xf numFmtId="49" fontId="4" fillId="0" borderId="3" xfId="0" applyNumberFormat="1" applyFont="1" applyFill="1" applyBorder="1" applyAlignment="1" applyProtection="1">
      <alignment horizontal="left" indent="1"/>
      <protection locked="0"/>
    </xf>
    <xf numFmtId="203" fontId="4" fillId="0" borderId="0" xfId="2" applyNumberFormat="1" applyFont="1" applyFill="1" applyBorder="1" applyAlignment="1" applyProtection="1">
      <alignment horizontal="center"/>
      <protection locked="0"/>
    </xf>
    <xf numFmtId="168" fontId="16" fillId="0" borderId="0" xfId="0" applyNumberFormat="1" applyFont="1" applyFill="1" applyAlignment="1" applyProtection="1">
      <alignment horizontal="center"/>
    </xf>
    <xf numFmtId="168" fontId="4" fillId="0" borderId="0" xfId="0" applyNumberFormat="1" applyFont="1" applyFill="1" applyBorder="1" applyAlignment="1" applyProtection="1">
      <alignment horizontal="center"/>
      <protection locked="0"/>
    </xf>
    <xf numFmtId="181" fontId="4" fillId="0" borderId="0" xfId="2" applyNumberFormat="1" applyFont="1" applyFill="1" applyBorder="1" applyAlignment="1" applyProtection="1">
      <alignment horizontal="center"/>
      <protection locked="0"/>
    </xf>
    <xf numFmtId="203" fontId="5" fillId="0" borderId="22" xfId="0" applyNumberFormat="1" applyFont="1" applyFill="1" applyBorder="1" applyAlignment="1" applyProtection="1">
      <alignment horizont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168" fontId="5" fillId="0" borderId="0" xfId="0" applyNumberFormat="1" applyFont="1" applyFill="1" applyBorder="1" applyAlignment="1" applyProtection="1">
      <alignment horizontal="center"/>
      <protection locked="0"/>
    </xf>
    <xf numFmtId="203" fontId="17" fillId="8" borderId="9" xfId="0" applyNumberFormat="1" applyFont="1" applyFill="1" applyBorder="1" applyAlignment="1" applyProtection="1">
      <alignment horizontal="center"/>
      <protection locked="0"/>
    </xf>
    <xf numFmtId="205" fontId="4" fillId="0" borderId="0" xfId="0" applyNumberFormat="1" applyFont="1" applyProtection="1">
      <protection locked="0"/>
    </xf>
    <xf numFmtId="10" fontId="13" fillId="0" borderId="0" xfId="2" applyNumberFormat="1" applyFont="1" applyFill="1" applyBorder="1" applyAlignment="1" applyProtection="1">
      <alignment horizontal="center" vertical="center"/>
    </xf>
    <xf numFmtId="10" fontId="4" fillId="0" borderId="0" xfId="2" applyNumberFormat="1" applyFont="1" applyProtection="1">
      <protection locked="0"/>
    </xf>
    <xf numFmtId="203" fontId="13" fillId="8" borderId="9" xfId="0" applyNumberFormat="1" applyFont="1" applyFill="1" applyBorder="1" applyAlignment="1" applyProtection="1">
      <alignment horizontal="center"/>
      <protection locked="0"/>
    </xf>
    <xf numFmtId="193" fontId="6" fillId="8" borderId="28" xfId="0" applyNumberFormat="1" applyFont="1" applyFill="1" applyBorder="1" applyAlignment="1" applyProtection="1">
      <alignment horizontal="center"/>
      <protection locked="0"/>
    </xf>
    <xf numFmtId="1" fontId="4" fillId="0" borderId="0" xfId="0" applyNumberFormat="1" applyFont="1" applyFill="1" applyBorder="1" applyAlignment="1" applyProtection="1">
      <alignment horizontal="center"/>
      <protection locked="0"/>
    </xf>
    <xf numFmtId="203" fontId="4" fillId="0" borderId="0" xfId="0" applyNumberFormat="1" applyFont="1" applyFill="1" applyBorder="1" applyAlignment="1" applyProtection="1">
      <alignment horizontal="center"/>
      <protection locked="0"/>
    </xf>
    <xf numFmtId="168" fontId="6" fillId="0" borderId="0" xfId="0" applyNumberFormat="1" applyFont="1" applyBorder="1" applyAlignment="1">
      <alignment horizontal="center"/>
    </xf>
    <xf numFmtId="168" fontId="5" fillId="41" borderId="3" xfId="0" applyNumberFormat="1" applyFont="1" applyFill="1" applyBorder="1" applyAlignment="1" applyProtection="1">
      <alignment horizontal="center"/>
    </xf>
    <xf numFmtId="203" fontId="5" fillId="41" borderId="3" xfId="0" applyNumberFormat="1" applyFont="1" applyFill="1" applyBorder="1" applyAlignment="1" applyProtection="1">
      <alignment horizontal="center"/>
    </xf>
    <xf numFmtId="0" fontId="70" fillId="38" borderId="0" xfId="3" applyFont="1" applyFill="1" applyBorder="1" applyAlignment="1" applyProtection="1"/>
    <xf numFmtId="10" fontId="4" fillId="41" borderId="3" xfId="2" applyNumberFormat="1" applyFont="1" applyFill="1" applyBorder="1" applyAlignment="1" applyProtection="1">
      <alignment horizontal="center"/>
    </xf>
    <xf numFmtId="0" fontId="72" fillId="38" borderId="2" xfId="0" applyNumberFormat="1" applyFont="1" applyFill="1" applyBorder="1" applyAlignment="1" applyProtection="1">
      <alignment horizontal="center"/>
    </xf>
    <xf numFmtId="203" fontId="72" fillId="39" borderId="4" xfId="0" applyNumberFormat="1" applyFont="1" applyFill="1" applyBorder="1" applyAlignment="1" applyProtection="1">
      <alignment horizontal="center" vertical="center" wrapText="1"/>
    </xf>
    <xf numFmtId="192" fontId="4" fillId="41" borderId="29" xfId="0" applyNumberFormat="1" applyFont="1" applyFill="1" applyBorder="1" applyAlignment="1" applyProtection="1">
      <alignment horizontal="center"/>
      <protection locked="0"/>
    </xf>
    <xf numFmtId="10" fontId="4" fillId="0" borderId="30" xfId="2" applyNumberFormat="1" applyFont="1" applyBorder="1" applyAlignment="1" applyProtection="1">
      <alignment horizontal="center"/>
    </xf>
    <xf numFmtId="193" fontId="4" fillId="8" borderId="0" xfId="0" applyNumberFormat="1" applyFont="1" applyFill="1" applyBorder="1" applyAlignment="1" applyProtection="1">
      <alignment horizontal="left" indent="1"/>
    </xf>
    <xf numFmtId="0" fontId="91" fillId="0" borderId="0" xfId="271" applyFont="1"/>
    <xf numFmtId="0" fontId="92" fillId="0" borderId="7" xfId="271" applyFont="1" applyBorder="1" applyAlignment="1">
      <alignment vertical="top"/>
    </xf>
    <xf numFmtId="0" fontId="91" fillId="0" borderId="0" xfId="271" applyFont="1" applyFill="1"/>
    <xf numFmtId="0" fontId="92" fillId="0" borderId="0" xfId="271" applyFont="1" applyBorder="1" applyAlignment="1">
      <alignment vertical="top"/>
    </xf>
    <xf numFmtId="0" fontId="91" fillId="0" borderId="0" xfId="271" applyFont="1" applyAlignment="1">
      <alignment vertical="top"/>
    </xf>
    <xf numFmtId="0" fontId="0" fillId="50" borderId="0" xfId="0" applyFont="1" applyFill="1" applyBorder="1" applyProtection="1"/>
    <xf numFmtId="2" fontId="4" fillId="50" borderId="3" xfId="0" applyNumberFormat="1" applyFont="1" applyFill="1" applyBorder="1" applyAlignment="1" applyProtection="1">
      <alignment horizontal="center"/>
      <protection locked="0"/>
    </xf>
    <xf numFmtId="2" fontId="4" fillId="50" borderId="31" xfId="0" applyNumberFormat="1" applyFont="1" applyFill="1" applyBorder="1" applyAlignment="1" applyProtection="1">
      <alignment horizontal="center"/>
      <protection locked="0"/>
    </xf>
    <xf numFmtId="204" fontId="13" fillId="50" borderId="3" xfId="0" applyNumberFormat="1" applyFont="1" applyFill="1" applyBorder="1" applyAlignment="1">
      <alignment horizontal="center"/>
    </xf>
    <xf numFmtId="9" fontId="4" fillId="50" borderId="3" xfId="2" applyFont="1" applyFill="1" applyBorder="1" applyAlignment="1" applyProtection="1">
      <alignment horizontal="center"/>
      <protection locked="0"/>
    </xf>
    <xf numFmtId="203" fontId="6" fillId="0" borderId="0" xfId="0" applyNumberFormat="1" applyFont="1" applyAlignment="1">
      <alignment horizontal="center"/>
    </xf>
    <xf numFmtId="10" fontId="4" fillId="50" borderId="26" xfId="2" applyNumberFormat="1" applyFont="1" applyFill="1" applyBorder="1" applyAlignment="1" applyProtection="1">
      <alignment horizontal="center"/>
      <protection locked="0"/>
    </xf>
    <xf numFmtId="49" fontId="4" fillId="50" borderId="3" xfId="0" applyNumberFormat="1" applyFont="1" applyFill="1" applyBorder="1" applyAlignment="1" applyProtection="1">
      <alignment horizontal="left" indent="1"/>
      <protection locked="0"/>
    </xf>
    <xf numFmtId="193" fontId="4" fillId="50" borderId="3" xfId="0" applyNumberFormat="1" applyFont="1" applyFill="1" applyBorder="1" applyAlignment="1" applyProtection="1">
      <alignment horizontal="left" indent="1"/>
    </xf>
    <xf numFmtId="164" fontId="4" fillId="50" borderId="3" xfId="0" applyNumberFormat="1" applyFont="1" applyFill="1" applyBorder="1" applyProtection="1">
      <protection locked="0"/>
    </xf>
    <xf numFmtId="2" fontId="4" fillId="50" borderId="3" xfId="0" applyNumberFormat="1" applyFont="1" applyFill="1" applyBorder="1" applyAlignment="1" applyProtection="1">
      <alignment horizontal="left" indent="1"/>
      <protection locked="0"/>
    </xf>
    <xf numFmtId="195" fontId="4" fillId="50" borderId="3" xfId="2" applyNumberFormat="1" applyFont="1" applyFill="1" applyBorder="1" applyAlignment="1" applyProtection="1">
      <alignment horizontal="center"/>
      <protection locked="0"/>
    </xf>
    <xf numFmtId="0" fontId="93" fillId="0" borderId="0" xfId="0" applyFont="1" applyAlignment="1">
      <alignment vertical="center"/>
    </xf>
    <xf numFmtId="203" fontId="5" fillId="50" borderId="3" xfId="0" applyNumberFormat="1" applyFont="1" applyFill="1" applyBorder="1" applyAlignment="1">
      <alignment horizontal="center"/>
    </xf>
    <xf numFmtId="2" fontId="4" fillId="50" borderId="26" xfId="0" applyNumberFormat="1" applyFont="1" applyFill="1" applyBorder="1" applyAlignment="1" applyProtection="1">
      <alignment horizontal="center"/>
      <protection locked="0"/>
    </xf>
    <xf numFmtId="169" fontId="4" fillId="50" borderId="3" xfId="0" applyNumberFormat="1" applyFont="1" applyFill="1" applyBorder="1" applyAlignment="1" applyProtection="1">
      <alignment horizontal="center"/>
      <protection locked="0"/>
    </xf>
    <xf numFmtId="164" fontId="4" fillId="51" borderId="3" xfId="0" applyNumberFormat="1" applyFont="1" applyFill="1" applyBorder="1" applyProtection="1">
      <protection locked="0"/>
    </xf>
    <xf numFmtId="2" fontId="4" fillId="51" borderId="3" xfId="0" applyNumberFormat="1" applyFont="1" applyFill="1" applyBorder="1" applyAlignment="1" applyProtection="1">
      <alignment horizontal="left" indent="1"/>
      <protection locked="0"/>
    </xf>
    <xf numFmtId="0" fontId="0" fillId="51" borderId="1" xfId="0" applyFont="1" applyFill="1" applyBorder="1" applyProtection="1"/>
    <xf numFmtId="0" fontId="92" fillId="51" borderId="0" xfId="271" applyFont="1" applyFill="1"/>
    <xf numFmtId="0" fontId="91" fillId="51" borderId="0" xfId="271" applyFont="1" applyFill="1"/>
    <xf numFmtId="0" fontId="92" fillId="50" borderId="0" xfId="271" applyFont="1" applyFill="1"/>
    <xf numFmtId="0" fontId="72" fillId="38" borderId="2" xfId="0" applyNumberFormat="1" applyFont="1" applyFill="1" applyBorder="1" applyAlignment="1" applyProtection="1">
      <alignment horizontal="center"/>
    </xf>
    <xf numFmtId="164" fontId="4" fillId="52" borderId="3" xfId="0" applyNumberFormat="1" applyFont="1" applyFill="1" applyBorder="1" applyProtection="1">
      <protection locked="0"/>
    </xf>
    <xf numFmtId="2" fontId="4" fillId="52" borderId="3" xfId="0" applyNumberFormat="1" applyFont="1" applyFill="1" applyBorder="1" applyAlignment="1" applyProtection="1">
      <alignment horizontal="left" indent="1"/>
      <protection locked="0"/>
    </xf>
    <xf numFmtId="207" fontId="4" fillId="52" borderId="0" xfId="0" applyNumberFormat="1" applyFont="1" applyFill="1" applyAlignment="1" applyProtection="1">
      <alignment horizontal="center"/>
      <protection locked="0"/>
    </xf>
    <xf numFmtId="0" fontId="92" fillId="52" borderId="0" xfId="271" applyFont="1" applyFill="1"/>
    <xf numFmtId="0" fontId="91" fillId="52" borderId="0" xfId="271" applyFont="1" applyFill="1"/>
  </cellXfs>
  <cellStyles count="272">
    <cellStyle name=" 1" xfId="10" xr:uid="{00000000-0005-0000-0000-000000000000}"/>
    <cellStyle name=" 1 2" xfId="11" xr:uid="{00000000-0005-0000-0000-000001000000}"/>
    <cellStyle name=" 1_29(d) - Gas extensions -tariffs" xfId="12" xr:uid="{00000000-0005-0000-0000-000002000000}"/>
    <cellStyle name="_Capex" xfId="13" xr:uid="{00000000-0005-0000-0000-000003000000}"/>
    <cellStyle name="_Capex 2" xfId="14" xr:uid="{00000000-0005-0000-0000-000004000000}"/>
    <cellStyle name="_Capex_29(d) - Gas extensions -tariffs" xfId="15" xr:uid="{00000000-0005-0000-0000-000005000000}"/>
    <cellStyle name="_UED AMP 2009-14 Final 250309 Less PU" xfId="16" xr:uid="{00000000-0005-0000-0000-000006000000}"/>
    <cellStyle name="_UED AMP 2009-14 Final 250309 Less PU_1011 monthly" xfId="17" xr:uid="{00000000-0005-0000-0000-000007000000}"/>
    <cellStyle name="20% - Accent1 2" xfId="18" xr:uid="{00000000-0005-0000-0000-000008000000}"/>
    <cellStyle name="20% - Accent2 2" xfId="19" xr:uid="{00000000-0005-0000-0000-000009000000}"/>
    <cellStyle name="20% - Accent3 2" xfId="20" xr:uid="{00000000-0005-0000-0000-00000A000000}"/>
    <cellStyle name="20% - Accent4 2" xfId="21" xr:uid="{00000000-0005-0000-0000-00000B000000}"/>
    <cellStyle name="20% - Accent5 2" xfId="22" xr:uid="{00000000-0005-0000-0000-00000C000000}"/>
    <cellStyle name="20% - Accent6 2" xfId="23" xr:uid="{00000000-0005-0000-0000-00000D000000}"/>
    <cellStyle name="40% - Accent1 2" xfId="24" xr:uid="{00000000-0005-0000-0000-00000E000000}"/>
    <cellStyle name="40% - Accent2 2" xfId="25" xr:uid="{00000000-0005-0000-0000-00000F000000}"/>
    <cellStyle name="40% - Accent3 2" xfId="26" xr:uid="{00000000-0005-0000-0000-000010000000}"/>
    <cellStyle name="40% - Accent4 2" xfId="27" xr:uid="{00000000-0005-0000-0000-000011000000}"/>
    <cellStyle name="40% - Accent5 2" xfId="28" xr:uid="{00000000-0005-0000-0000-000012000000}"/>
    <cellStyle name="40% - Accent6 2" xfId="29" xr:uid="{00000000-0005-0000-0000-000013000000}"/>
    <cellStyle name="60% - Accent1 2" xfId="30" xr:uid="{00000000-0005-0000-0000-000014000000}"/>
    <cellStyle name="60% - Accent2 2" xfId="31" xr:uid="{00000000-0005-0000-0000-000015000000}"/>
    <cellStyle name="60% - Accent3 2" xfId="32" xr:uid="{00000000-0005-0000-0000-000016000000}"/>
    <cellStyle name="60% - Accent4 2" xfId="33" xr:uid="{00000000-0005-0000-0000-000017000000}"/>
    <cellStyle name="60% - Accent5 2" xfId="34" xr:uid="{00000000-0005-0000-0000-000018000000}"/>
    <cellStyle name="60% - Accent6 2" xfId="35" xr:uid="{00000000-0005-0000-0000-000019000000}"/>
    <cellStyle name="Accent1 - 20%" xfId="36" xr:uid="{00000000-0005-0000-0000-00001A000000}"/>
    <cellStyle name="Accent1 - 40%" xfId="37" xr:uid="{00000000-0005-0000-0000-00001B000000}"/>
    <cellStyle name="Accent1 - 60%" xfId="38" xr:uid="{00000000-0005-0000-0000-00001C000000}"/>
    <cellStyle name="Accent1 2" xfId="39" xr:uid="{00000000-0005-0000-0000-00001D000000}"/>
    <cellStyle name="Accent2 - 20%" xfId="40" xr:uid="{00000000-0005-0000-0000-00001E000000}"/>
    <cellStyle name="Accent2 - 40%" xfId="41" xr:uid="{00000000-0005-0000-0000-00001F000000}"/>
    <cellStyle name="Accent2 - 60%" xfId="42" xr:uid="{00000000-0005-0000-0000-000020000000}"/>
    <cellStyle name="Accent2 2" xfId="43" xr:uid="{00000000-0005-0000-0000-000021000000}"/>
    <cellStyle name="Accent3 - 20%" xfId="44" xr:uid="{00000000-0005-0000-0000-000022000000}"/>
    <cellStyle name="Accent3 - 40%" xfId="45" xr:uid="{00000000-0005-0000-0000-000023000000}"/>
    <cellStyle name="Accent3 - 60%" xfId="46" xr:uid="{00000000-0005-0000-0000-000024000000}"/>
    <cellStyle name="Accent3 2" xfId="47" xr:uid="{00000000-0005-0000-0000-000025000000}"/>
    <cellStyle name="Accent4 - 20%" xfId="48" xr:uid="{00000000-0005-0000-0000-000026000000}"/>
    <cellStyle name="Accent4 - 40%" xfId="49" xr:uid="{00000000-0005-0000-0000-000027000000}"/>
    <cellStyle name="Accent4 - 60%" xfId="50" xr:uid="{00000000-0005-0000-0000-000028000000}"/>
    <cellStyle name="Accent4 2" xfId="51" xr:uid="{00000000-0005-0000-0000-000029000000}"/>
    <cellStyle name="Accent5 - 20%" xfId="52" xr:uid="{00000000-0005-0000-0000-00002A000000}"/>
    <cellStyle name="Accent5 - 40%" xfId="53" xr:uid="{00000000-0005-0000-0000-00002B000000}"/>
    <cellStyle name="Accent5 - 60%" xfId="54" xr:uid="{00000000-0005-0000-0000-00002C000000}"/>
    <cellStyle name="Accent5 2" xfId="55" xr:uid="{00000000-0005-0000-0000-00002D000000}"/>
    <cellStyle name="Accent6 - 20%" xfId="56" xr:uid="{00000000-0005-0000-0000-00002E000000}"/>
    <cellStyle name="Accent6 - 40%" xfId="57" xr:uid="{00000000-0005-0000-0000-00002F000000}"/>
    <cellStyle name="Accent6 - 60%" xfId="58" xr:uid="{00000000-0005-0000-0000-000030000000}"/>
    <cellStyle name="Accent6 2" xfId="59" xr:uid="{00000000-0005-0000-0000-000031000000}"/>
    <cellStyle name="Agara" xfId="60" xr:uid="{00000000-0005-0000-0000-000032000000}"/>
    <cellStyle name="Assumptions Right Number" xfId="5" xr:uid="{00000000-0005-0000-0000-000033000000}"/>
    <cellStyle name="B79812_.wvu.PrintTitlest" xfId="61" xr:uid="{00000000-0005-0000-0000-000034000000}"/>
    <cellStyle name="Bad 2" xfId="62" xr:uid="{00000000-0005-0000-0000-000035000000}"/>
    <cellStyle name="Black" xfId="63" xr:uid="{00000000-0005-0000-0000-000036000000}"/>
    <cellStyle name="Blockout" xfId="64" xr:uid="{00000000-0005-0000-0000-000037000000}"/>
    <cellStyle name="Blockout 2" xfId="65" xr:uid="{00000000-0005-0000-0000-000038000000}"/>
    <cellStyle name="Blue" xfId="66" xr:uid="{00000000-0005-0000-0000-000039000000}"/>
    <cellStyle name="Calcs_Divider" xfId="244" xr:uid="{00000000-0005-0000-0000-00003A000000}"/>
    <cellStyle name="Calculation 2" xfId="67" xr:uid="{00000000-0005-0000-0000-00003B000000}"/>
    <cellStyle name="Check" xfId="245" xr:uid="{00000000-0005-0000-0000-00003C000000}"/>
    <cellStyle name="Check Cell 2" xfId="68" xr:uid="{00000000-0005-0000-0000-00003D000000}"/>
    <cellStyle name="Column_Heading_1" xfId="246" xr:uid="{00000000-0005-0000-0000-00003E000000}"/>
    <cellStyle name="Comma" xfId="6" builtinId="3"/>
    <cellStyle name="Comma [0]7Z_87C" xfId="69" xr:uid="{00000000-0005-0000-0000-000040000000}"/>
    <cellStyle name="Comma 0" xfId="70" xr:uid="{00000000-0005-0000-0000-000041000000}"/>
    <cellStyle name="Comma 1" xfId="71" xr:uid="{00000000-0005-0000-0000-000042000000}"/>
    <cellStyle name="Comma 1 2" xfId="72" xr:uid="{00000000-0005-0000-0000-000043000000}"/>
    <cellStyle name="Comma 2" xfId="8" xr:uid="{00000000-0005-0000-0000-000044000000}"/>
    <cellStyle name="Comma 2 2" xfId="73" xr:uid="{00000000-0005-0000-0000-000045000000}"/>
    <cellStyle name="Comma 2 3" xfId="74" xr:uid="{00000000-0005-0000-0000-000046000000}"/>
    <cellStyle name="Comma 2 3 2" xfId="75" xr:uid="{00000000-0005-0000-0000-000047000000}"/>
    <cellStyle name="Comma 2 4" xfId="76" xr:uid="{00000000-0005-0000-0000-000048000000}"/>
    <cellStyle name="Comma 2 5" xfId="77" xr:uid="{00000000-0005-0000-0000-000049000000}"/>
    <cellStyle name="Comma 3" xfId="78" xr:uid="{00000000-0005-0000-0000-00004A000000}"/>
    <cellStyle name="Comma 3 2" xfId="79" xr:uid="{00000000-0005-0000-0000-00004B000000}"/>
    <cellStyle name="Comma 3 3" xfId="80" xr:uid="{00000000-0005-0000-0000-00004C000000}"/>
    <cellStyle name="Comma 4" xfId="81" xr:uid="{00000000-0005-0000-0000-00004D000000}"/>
    <cellStyle name="Comma 5" xfId="82" xr:uid="{00000000-0005-0000-0000-00004E000000}"/>
    <cellStyle name="Comma 6" xfId="83" xr:uid="{00000000-0005-0000-0000-00004F000000}"/>
    <cellStyle name="Comma 7" xfId="84" xr:uid="{00000000-0005-0000-0000-000050000000}"/>
    <cellStyle name="Comma 8" xfId="85" xr:uid="{00000000-0005-0000-0000-000051000000}"/>
    <cellStyle name="Comma 9" xfId="268" xr:uid="{00000000-0005-0000-0000-000052000000}"/>
    <cellStyle name="Comma0" xfId="86" xr:uid="{00000000-0005-0000-0000-000053000000}"/>
    <cellStyle name="Currency 11" xfId="87" xr:uid="{00000000-0005-0000-0000-000054000000}"/>
    <cellStyle name="Currency 11 2" xfId="88" xr:uid="{00000000-0005-0000-0000-000055000000}"/>
    <cellStyle name="Currency 2" xfId="89" xr:uid="{00000000-0005-0000-0000-000056000000}"/>
    <cellStyle name="Currency 2 2" xfId="90" xr:uid="{00000000-0005-0000-0000-000057000000}"/>
    <cellStyle name="Currency 3" xfId="91" xr:uid="{00000000-0005-0000-0000-000058000000}"/>
    <cellStyle name="Currency 3 2" xfId="92" xr:uid="{00000000-0005-0000-0000-000059000000}"/>
    <cellStyle name="Currency 4" xfId="93" xr:uid="{00000000-0005-0000-0000-00005A000000}"/>
    <cellStyle name="Currency 4 2" xfId="94" xr:uid="{00000000-0005-0000-0000-00005B000000}"/>
    <cellStyle name="Currency 5" xfId="243" xr:uid="{00000000-0005-0000-0000-00005C000000}"/>
    <cellStyle name="Currency 6" xfId="266" xr:uid="{00000000-0005-0000-0000-00005D000000}"/>
    <cellStyle name="D4_B8B1_005004B79812_.wvu.PrintTitlest" xfId="95" xr:uid="{00000000-0005-0000-0000-00005E000000}"/>
    <cellStyle name="Date" xfId="96" xr:uid="{00000000-0005-0000-0000-00005F000000}"/>
    <cellStyle name="Date 2" xfId="97" xr:uid="{00000000-0005-0000-0000-000060000000}"/>
    <cellStyle name="Emphasis 1" xfId="98" xr:uid="{00000000-0005-0000-0000-000061000000}"/>
    <cellStyle name="Emphasis 2" xfId="99" xr:uid="{00000000-0005-0000-0000-000062000000}"/>
    <cellStyle name="Emphasis 3" xfId="100" xr:uid="{00000000-0005-0000-0000-000063000000}"/>
    <cellStyle name="Empty_Cell" xfId="247" xr:uid="{00000000-0005-0000-0000-000064000000}"/>
    <cellStyle name="Euro" xfId="101" xr:uid="{00000000-0005-0000-0000-000065000000}"/>
    <cellStyle name="Explanatory Text 2" xfId="102" xr:uid="{00000000-0005-0000-0000-000066000000}"/>
    <cellStyle name="Fixed" xfId="103" xr:uid="{00000000-0005-0000-0000-000067000000}"/>
    <cellStyle name="Fixed 2" xfId="104" xr:uid="{00000000-0005-0000-0000-000068000000}"/>
    <cellStyle name="Gilsans" xfId="105" xr:uid="{00000000-0005-0000-0000-000069000000}"/>
    <cellStyle name="Gilsansl" xfId="106" xr:uid="{00000000-0005-0000-0000-00006A000000}"/>
    <cellStyle name="Good 2" xfId="107" xr:uid="{00000000-0005-0000-0000-00006B000000}"/>
    <cellStyle name="Header1" xfId="248" xr:uid="{00000000-0005-0000-0000-00006C000000}"/>
    <cellStyle name="Header2" xfId="249" xr:uid="{00000000-0005-0000-0000-00006D000000}"/>
    <cellStyle name="Header3" xfId="250" xr:uid="{00000000-0005-0000-0000-00006E000000}"/>
    <cellStyle name="Header4" xfId="251" xr:uid="{00000000-0005-0000-0000-00006F000000}"/>
    <cellStyle name="Header5" xfId="252" xr:uid="{00000000-0005-0000-0000-000070000000}"/>
    <cellStyle name="Heading 1 2" xfId="108" xr:uid="{00000000-0005-0000-0000-000071000000}"/>
    <cellStyle name="Heading 1 2 2" xfId="109" xr:uid="{00000000-0005-0000-0000-000072000000}"/>
    <cellStyle name="Heading 1 3" xfId="110" xr:uid="{00000000-0005-0000-0000-000073000000}"/>
    <cellStyle name="Heading 2 2" xfId="111" xr:uid="{00000000-0005-0000-0000-000074000000}"/>
    <cellStyle name="Heading 2 2 2" xfId="112" xr:uid="{00000000-0005-0000-0000-000075000000}"/>
    <cellStyle name="Heading 2 3" xfId="113" xr:uid="{00000000-0005-0000-0000-000076000000}"/>
    <cellStyle name="Heading 3 2" xfId="114" xr:uid="{00000000-0005-0000-0000-000077000000}"/>
    <cellStyle name="Heading 3 2 2" xfId="115" xr:uid="{00000000-0005-0000-0000-000078000000}"/>
    <cellStyle name="Heading 3 3" xfId="116" xr:uid="{00000000-0005-0000-0000-000079000000}"/>
    <cellStyle name="Heading 4 2" xfId="117" xr:uid="{00000000-0005-0000-0000-00007A000000}"/>
    <cellStyle name="Heading 4 2 2" xfId="118" xr:uid="{00000000-0005-0000-0000-00007B000000}"/>
    <cellStyle name="Heading 4 3" xfId="119" xr:uid="{00000000-0005-0000-0000-00007C000000}"/>
    <cellStyle name="Heading(4)" xfId="120" xr:uid="{00000000-0005-0000-0000-00007D000000}"/>
    <cellStyle name="Hyperlink" xfId="3" builtinId="8"/>
    <cellStyle name="Hyperlink 2" xfId="121" xr:uid="{00000000-0005-0000-0000-00007F000000}"/>
    <cellStyle name="Hyperlink Arrow" xfId="122" xr:uid="{00000000-0005-0000-0000-000080000000}"/>
    <cellStyle name="Hyperlink Text" xfId="123" xr:uid="{00000000-0005-0000-0000-000081000000}"/>
    <cellStyle name="Input 2" xfId="124" xr:uid="{00000000-0005-0000-0000-000082000000}"/>
    <cellStyle name="Input|Date" xfId="1" xr:uid="{00000000-0005-0000-0000-000083000000}"/>
    <cellStyle name="Input1" xfId="125" xr:uid="{00000000-0005-0000-0000-000084000000}"/>
    <cellStyle name="Input1 2" xfId="126" xr:uid="{00000000-0005-0000-0000-000085000000}"/>
    <cellStyle name="Input2" xfId="127" xr:uid="{00000000-0005-0000-0000-000086000000}"/>
    <cellStyle name="Input2 2" xfId="128" xr:uid="{00000000-0005-0000-0000-000087000000}"/>
    <cellStyle name="Input3" xfId="129" xr:uid="{00000000-0005-0000-0000-000088000000}"/>
    <cellStyle name="Input3 2" xfId="130" xr:uid="{00000000-0005-0000-0000-000089000000}"/>
    <cellStyle name="Inputs_Divider" xfId="253" xr:uid="{00000000-0005-0000-0000-00008A000000}"/>
    <cellStyle name="InSheet" xfId="254" xr:uid="{00000000-0005-0000-0000-00008B000000}"/>
    <cellStyle name="K_Number" xfId="270" xr:uid="{00000000-0005-0000-0000-00008C000000}"/>
    <cellStyle name="Lines" xfId="131" xr:uid="{00000000-0005-0000-0000-00008D000000}"/>
    <cellStyle name="Linked Cell 2" xfId="132" xr:uid="{00000000-0005-0000-0000-00008E000000}"/>
    <cellStyle name="Mine" xfId="133" xr:uid="{00000000-0005-0000-0000-00008F000000}"/>
    <cellStyle name="Model Name" xfId="134" xr:uid="{00000000-0005-0000-0000-000090000000}"/>
    <cellStyle name="Neutral 2" xfId="135" xr:uid="{00000000-0005-0000-0000-000091000000}"/>
    <cellStyle name="Normal" xfId="0" builtinId="0"/>
    <cellStyle name="Normal - Style1" xfId="136" xr:uid="{00000000-0005-0000-0000-000093000000}"/>
    <cellStyle name="Normal 10" xfId="241" xr:uid="{00000000-0005-0000-0000-000094000000}"/>
    <cellStyle name="Normal 10 2" xfId="271" xr:uid="{9314DBF9-2403-43A3-B694-7CF11DF0531D}"/>
    <cellStyle name="Normal 11" xfId="264" xr:uid="{00000000-0005-0000-0000-000095000000}"/>
    <cellStyle name="Normal 12" xfId="267" xr:uid="{00000000-0005-0000-0000-000096000000}"/>
    <cellStyle name="Normal 13" xfId="137" xr:uid="{00000000-0005-0000-0000-000097000000}"/>
    <cellStyle name="Normal 13 2" xfId="7" xr:uid="{00000000-0005-0000-0000-000098000000}"/>
    <cellStyle name="Normal 13_29(d) - Gas extensions -tariffs" xfId="138" xr:uid="{00000000-0005-0000-0000-000099000000}"/>
    <cellStyle name="Normal 15" xfId="139" xr:uid="{00000000-0005-0000-0000-00009A000000}"/>
    <cellStyle name="Normal 16" xfId="140" xr:uid="{00000000-0005-0000-0000-00009B000000}"/>
    <cellStyle name="Normal 2" xfId="141" xr:uid="{00000000-0005-0000-0000-00009C000000}"/>
    <cellStyle name="Normal 2 2" xfId="142" xr:uid="{00000000-0005-0000-0000-00009D000000}"/>
    <cellStyle name="Normal 2 2 2" xfId="143" xr:uid="{00000000-0005-0000-0000-00009E000000}"/>
    <cellStyle name="Normal 2 3" xfId="144" xr:uid="{00000000-0005-0000-0000-00009F000000}"/>
    <cellStyle name="Normal 2 3 2" xfId="145" xr:uid="{00000000-0005-0000-0000-0000A0000000}"/>
    <cellStyle name="Normal 2 3_29(d) - Gas extensions -tariffs" xfId="146" xr:uid="{00000000-0005-0000-0000-0000A1000000}"/>
    <cellStyle name="Normal 2 4" xfId="147" xr:uid="{00000000-0005-0000-0000-0000A2000000}"/>
    <cellStyle name="Normal 2 5" xfId="148" xr:uid="{00000000-0005-0000-0000-0000A3000000}"/>
    <cellStyle name="Normal 2_29(d) - Gas extensions -tariffs" xfId="149" xr:uid="{00000000-0005-0000-0000-0000A4000000}"/>
    <cellStyle name="Normal 3" xfId="150" xr:uid="{00000000-0005-0000-0000-0000A5000000}"/>
    <cellStyle name="Normal 3 2" xfId="151" xr:uid="{00000000-0005-0000-0000-0000A6000000}"/>
    <cellStyle name="Normal 3_29(d) - Gas extensions -tariffs" xfId="152" xr:uid="{00000000-0005-0000-0000-0000A7000000}"/>
    <cellStyle name="Normal 38" xfId="153" xr:uid="{00000000-0005-0000-0000-0000A8000000}"/>
    <cellStyle name="Normal 38 2" xfId="154" xr:uid="{00000000-0005-0000-0000-0000A9000000}"/>
    <cellStyle name="Normal 38_29(d) - Gas extensions -tariffs" xfId="155" xr:uid="{00000000-0005-0000-0000-0000AA000000}"/>
    <cellStyle name="Normal 4" xfId="156" xr:uid="{00000000-0005-0000-0000-0000AB000000}"/>
    <cellStyle name="Normal 4 2" xfId="157" xr:uid="{00000000-0005-0000-0000-0000AC000000}"/>
    <cellStyle name="Normal 4 3" xfId="158" xr:uid="{00000000-0005-0000-0000-0000AD000000}"/>
    <cellStyle name="Normal 4_29(d) - Gas extensions -tariffs" xfId="159" xr:uid="{00000000-0005-0000-0000-0000AE000000}"/>
    <cellStyle name="Normal 40" xfId="160" xr:uid="{00000000-0005-0000-0000-0000AF000000}"/>
    <cellStyle name="Normal 40 2" xfId="161" xr:uid="{00000000-0005-0000-0000-0000B0000000}"/>
    <cellStyle name="Normal 40_29(d) - Gas extensions -tariffs" xfId="162" xr:uid="{00000000-0005-0000-0000-0000B1000000}"/>
    <cellStyle name="Normal 42" xfId="269" xr:uid="{00000000-0005-0000-0000-0000B2000000}"/>
    <cellStyle name="Normal 5" xfId="163" xr:uid="{00000000-0005-0000-0000-0000B3000000}"/>
    <cellStyle name="Normal 5 2" xfId="164" xr:uid="{00000000-0005-0000-0000-0000B4000000}"/>
    <cellStyle name="Normal 6" xfId="165" xr:uid="{00000000-0005-0000-0000-0000B5000000}"/>
    <cellStyle name="Normal 6 2" xfId="166" xr:uid="{00000000-0005-0000-0000-0000B6000000}"/>
    <cellStyle name="Normal 7" xfId="9" xr:uid="{00000000-0005-0000-0000-0000B7000000}"/>
    <cellStyle name="Normal 7 2" xfId="167" xr:uid="{00000000-0005-0000-0000-0000B8000000}"/>
    <cellStyle name="Normal 8" xfId="168" xr:uid="{00000000-0005-0000-0000-0000B9000000}"/>
    <cellStyle name="Normal 9" xfId="169" xr:uid="{00000000-0005-0000-0000-0000BA000000}"/>
    <cellStyle name="Note 2" xfId="170" xr:uid="{00000000-0005-0000-0000-0000BB000000}"/>
    <cellStyle name="OffSheet" xfId="255" xr:uid="{00000000-0005-0000-0000-0000BC000000}"/>
    <cellStyle name="Output 2" xfId="171" xr:uid="{00000000-0005-0000-0000-0000BD000000}"/>
    <cellStyle name="Percent" xfId="2" builtinId="5"/>
    <cellStyle name="Percent [2]" xfId="172" xr:uid="{00000000-0005-0000-0000-0000BF000000}"/>
    <cellStyle name="Percent [2] 2" xfId="173" xr:uid="{00000000-0005-0000-0000-0000C0000000}"/>
    <cellStyle name="Percent [2]_29(d) - Gas extensions -tariffs" xfId="174" xr:uid="{00000000-0005-0000-0000-0000C1000000}"/>
    <cellStyle name="Percent 2" xfId="4" xr:uid="{00000000-0005-0000-0000-0000C2000000}"/>
    <cellStyle name="Percent 2 2" xfId="175" xr:uid="{00000000-0005-0000-0000-0000C3000000}"/>
    <cellStyle name="Percent 3" xfId="176" xr:uid="{00000000-0005-0000-0000-0000C4000000}"/>
    <cellStyle name="Percent 3 2" xfId="177" xr:uid="{00000000-0005-0000-0000-0000C5000000}"/>
    <cellStyle name="Percent 4" xfId="178" xr:uid="{00000000-0005-0000-0000-0000C6000000}"/>
    <cellStyle name="Percent 5" xfId="242" xr:uid="{00000000-0005-0000-0000-0000C7000000}"/>
    <cellStyle name="Percent 6" xfId="265" xr:uid="{00000000-0005-0000-0000-0000C8000000}"/>
    <cellStyle name="Percent 7" xfId="179" xr:uid="{00000000-0005-0000-0000-0000C9000000}"/>
    <cellStyle name="Percentage" xfId="180" xr:uid="{00000000-0005-0000-0000-0000CA000000}"/>
    <cellStyle name="Period Title" xfId="181" xr:uid="{00000000-0005-0000-0000-0000CB000000}"/>
    <cellStyle name="PSChar" xfId="182" xr:uid="{00000000-0005-0000-0000-0000CC000000}"/>
    <cellStyle name="PSDate" xfId="183" xr:uid="{00000000-0005-0000-0000-0000CD000000}"/>
    <cellStyle name="PSDec" xfId="184" xr:uid="{00000000-0005-0000-0000-0000CE000000}"/>
    <cellStyle name="PSDetail" xfId="185" xr:uid="{00000000-0005-0000-0000-0000CF000000}"/>
    <cellStyle name="PSHeading" xfId="186" xr:uid="{00000000-0005-0000-0000-0000D0000000}"/>
    <cellStyle name="PSInt" xfId="187" xr:uid="{00000000-0005-0000-0000-0000D1000000}"/>
    <cellStyle name="PSSpacer" xfId="188" xr:uid="{00000000-0005-0000-0000-0000D2000000}"/>
    <cellStyle name="Ratio" xfId="189" xr:uid="{00000000-0005-0000-0000-0000D3000000}"/>
    <cellStyle name="Ratio 2" xfId="190" xr:uid="{00000000-0005-0000-0000-0000D4000000}"/>
    <cellStyle name="Ratio_29(d) - Gas extensions -tariffs" xfId="191" xr:uid="{00000000-0005-0000-0000-0000D5000000}"/>
    <cellStyle name="Right Date" xfId="192" xr:uid="{00000000-0005-0000-0000-0000D6000000}"/>
    <cellStyle name="Right Number" xfId="193" xr:uid="{00000000-0005-0000-0000-0000D7000000}"/>
    <cellStyle name="Right Year" xfId="194" xr:uid="{00000000-0005-0000-0000-0000D8000000}"/>
    <cellStyle name="SAPError" xfId="195" xr:uid="{00000000-0005-0000-0000-0000D9000000}"/>
    <cellStyle name="SAPError 2" xfId="196" xr:uid="{00000000-0005-0000-0000-0000DA000000}"/>
    <cellStyle name="SAPKey" xfId="197" xr:uid="{00000000-0005-0000-0000-0000DB000000}"/>
    <cellStyle name="SAPKey 2" xfId="198" xr:uid="{00000000-0005-0000-0000-0000DC000000}"/>
    <cellStyle name="SAPLocked" xfId="199" xr:uid="{00000000-0005-0000-0000-0000DD000000}"/>
    <cellStyle name="SAPLocked 2" xfId="200" xr:uid="{00000000-0005-0000-0000-0000DE000000}"/>
    <cellStyle name="SAPOutput" xfId="201" xr:uid="{00000000-0005-0000-0000-0000DF000000}"/>
    <cellStyle name="SAPOutput 2" xfId="202" xr:uid="{00000000-0005-0000-0000-0000E0000000}"/>
    <cellStyle name="SAPSpace" xfId="203" xr:uid="{00000000-0005-0000-0000-0000E1000000}"/>
    <cellStyle name="SAPSpace 2" xfId="204" xr:uid="{00000000-0005-0000-0000-0000E2000000}"/>
    <cellStyle name="SAPText" xfId="205" xr:uid="{00000000-0005-0000-0000-0000E3000000}"/>
    <cellStyle name="SAPText 2" xfId="206" xr:uid="{00000000-0005-0000-0000-0000E4000000}"/>
    <cellStyle name="SAPUnLocked" xfId="207" xr:uid="{00000000-0005-0000-0000-0000E5000000}"/>
    <cellStyle name="SAPUnLocked 2" xfId="208" xr:uid="{00000000-0005-0000-0000-0000E6000000}"/>
    <cellStyle name="Sheet Title" xfId="209" xr:uid="{00000000-0005-0000-0000-0000E7000000}"/>
    <cellStyle name="SheetHeader1" xfId="256" xr:uid="{00000000-0005-0000-0000-0000E8000000}"/>
    <cellStyle name="SheetHeader2" xfId="257" xr:uid="{00000000-0005-0000-0000-0000E9000000}"/>
    <cellStyle name="SheetHeader3" xfId="258" xr:uid="{00000000-0005-0000-0000-0000EA000000}"/>
    <cellStyle name="Style 1" xfId="210" xr:uid="{00000000-0005-0000-0000-0000EB000000}"/>
    <cellStyle name="Style 1 2" xfId="211" xr:uid="{00000000-0005-0000-0000-0000EC000000}"/>
    <cellStyle name="Style 1_29(d) - Gas extensions -tariffs" xfId="212" xr:uid="{00000000-0005-0000-0000-0000ED000000}"/>
    <cellStyle name="Style2" xfId="213" xr:uid="{00000000-0005-0000-0000-0000EE000000}"/>
    <cellStyle name="Style3" xfId="214" xr:uid="{00000000-0005-0000-0000-0000EF000000}"/>
    <cellStyle name="Style4" xfId="215" xr:uid="{00000000-0005-0000-0000-0000F0000000}"/>
    <cellStyle name="Style4 2" xfId="216" xr:uid="{00000000-0005-0000-0000-0000F1000000}"/>
    <cellStyle name="Style4_29(d) - Gas extensions -tariffs" xfId="217" xr:uid="{00000000-0005-0000-0000-0000F2000000}"/>
    <cellStyle name="Style5" xfId="218" xr:uid="{00000000-0005-0000-0000-0000F3000000}"/>
    <cellStyle name="Style5 2" xfId="219" xr:uid="{00000000-0005-0000-0000-0000F4000000}"/>
    <cellStyle name="Style5_29(d) - Gas extensions -tariffs" xfId="220" xr:uid="{00000000-0005-0000-0000-0000F5000000}"/>
    <cellStyle name="Table Head Green" xfId="221" xr:uid="{00000000-0005-0000-0000-0000F6000000}"/>
    <cellStyle name="Table Head_pldt" xfId="222" xr:uid="{00000000-0005-0000-0000-0000F7000000}"/>
    <cellStyle name="Table Source" xfId="223" xr:uid="{00000000-0005-0000-0000-0000F8000000}"/>
    <cellStyle name="Table Units" xfId="224" xr:uid="{00000000-0005-0000-0000-0000F9000000}"/>
    <cellStyle name="Table_Heading" xfId="259" xr:uid="{00000000-0005-0000-0000-0000FA000000}"/>
    <cellStyle name="Technical_Input" xfId="260" xr:uid="{00000000-0005-0000-0000-0000FB000000}"/>
    <cellStyle name="Text" xfId="225" xr:uid="{00000000-0005-0000-0000-0000FC000000}"/>
    <cellStyle name="Text 2" xfId="226" xr:uid="{00000000-0005-0000-0000-0000FD000000}"/>
    <cellStyle name="Text 3" xfId="227" xr:uid="{00000000-0005-0000-0000-0000FE000000}"/>
    <cellStyle name="Text Head 1" xfId="228" xr:uid="{00000000-0005-0000-0000-0000FF000000}"/>
    <cellStyle name="Text Head 2" xfId="229" xr:uid="{00000000-0005-0000-0000-000000010000}"/>
    <cellStyle name="Text Indent 2" xfId="230" xr:uid="{00000000-0005-0000-0000-000001010000}"/>
    <cellStyle name="Theirs" xfId="231" xr:uid="{00000000-0005-0000-0000-000002010000}"/>
    <cellStyle name="Title 2" xfId="232" xr:uid="{00000000-0005-0000-0000-000003010000}"/>
    <cellStyle name="TOC 1" xfId="233" xr:uid="{00000000-0005-0000-0000-000004010000}"/>
    <cellStyle name="TOC 2" xfId="234" xr:uid="{00000000-0005-0000-0000-000005010000}"/>
    <cellStyle name="TOC 3" xfId="235" xr:uid="{00000000-0005-0000-0000-000006010000}"/>
    <cellStyle name="Total 2" xfId="236" xr:uid="{00000000-0005-0000-0000-000007010000}"/>
    <cellStyle name="Totals" xfId="261" xr:uid="{00000000-0005-0000-0000-000008010000}"/>
    <cellStyle name="unit" xfId="262" xr:uid="{00000000-0005-0000-0000-000009010000}"/>
    <cellStyle name="User_Input" xfId="263" xr:uid="{00000000-0005-0000-0000-00000A010000}"/>
    <cellStyle name="Warning Text 2" xfId="237" xr:uid="{00000000-0005-0000-0000-00000B010000}"/>
    <cellStyle name="year" xfId="238" xr:uid="{00000000-0005-0000-0000-00000C010000}"/>
    <cellStyle name="year 2" xfId="239" xr:uid="{00000000-0005-0000-0000-00000D010000}"/>
    <cellStyle name="year_29(d) - Gas extensions -tariffs" xfId="240" xr:uid="{00000000-0005-0000-0000-00000E010000}"/>
  </cellStyles>
  <dxfs count="25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theme="0"/>
      </font>
    </dxf>
    <dxf>
      <font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FFFF"/>
      <color rgb="FF66FF33"/>
      <color rgb="FFFFFFCC"/>
      <color rgb="FFFF99FF"/>
      <color rgb="FFDBE5F1"/>
      <color rgb="FFDAEEF3"/>
      <color rgb="FF006100"/>
      <color rgb="FFC6EFCE"/>
      <color rgb="FF9C000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AL%20RRP%20MOD%2010.02%20-%20PTRM%202021-26%20-%20insurance%20update%20-%20Mar2021%20-%20Public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6.8%20STPIS%20Exclusion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Amendments"/>
      <sheetName val="AER Amendments"/>
      <sheetName val="Intro"/>
      <sheetName val="DMS input"/>
      <sheetName val="PTRM input"/>
      <sheetName val="WACC"/>
      <sheetName val="Assets"/>
      <sheetName val="Analysi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</sheetNames>
    <sheetDataSet>
      <sheetData sheetId="0">
        <row r="6">
          <cell r="C6" t="str">
            <v>-- select --</v>
          </cell>
          <cell r="D6" t="str">
            <v>-- select --</v>
          </cell>
        </row>
        <row r="7">
          <cell r="C7" t="str">
            <v>Actual</v>
          </cell>
          <cell r="D7" t="str">
            <v>Public</v>
          </cell>
        </row>
        <row r="8">
          <cell r="C8" t="str">
            <v>Estimate</v>
          </cell>
          <cell r="D8" t="str">
            <v>Confidential</v>
          </cell>
        </row>
        <row r="9">
          <cell r="C9" t="str">
            <v>Consolidated</v>
          </cell>
        </row>
        <row r="14">
          <cell r="C14" t="str">
            <v>-- select --</v>
          </cell>
          <cell r="D14" t="str">
            <v>Revenue cap</v>
          </cell>
        </row>
        <row r="15">
          <cell r="C15" t="str">
            <v>After appeal</v>
          </cell>
          <cell r="D15" t="str">
            <v>Revenue yield</v>
          </cell>
        </row>
        <row r="16">
          <cell r="C16" t="str">
            <v>Draft decision</v>
          </cell>
          <cell r="D16" t="str">
            <v>Weighted average price cap</v>
          </cell>
        </row>
        <row r="17">
          <cell r="C17" t="str">
            <v>Final decision</v>
          </cell>
        </row>
        <row r="18">
          <cell r="C18" t="str">
            <v>PTRM update 1</v>
          </cell>
        </row>
        <row r="19">
          <cell r="C19" t="str">
            <v>PTRM update 2</v>
          </cell>
        </row>
        <row r="20">
          <cell r="C20" t="str">
            <v>PTRM update 3</v>
          </cell>
        </row>
        <row r="21">
          <cell r="C21" t="str">
            <v>PTRM update 4</v>
          </cell>
        </row>
        <row r="22">
          <cell r="C22" t="str">
            <v>PTRM update 5</v>
          </cell>
        </row>
        <row r="23">
          <cell r="C23" t="str">
            <v>PTRM update 6</v>
          </cell>
        </row>
        <row r="24">
          <cell r="C24" t="str">
            <v>PTRM update 7</v>
          </cell>
        </row>
        <row r="25">
          <cell r="C25" t="str">
            <v>Regulatory proposal</v>
          </cell>
        </row>
        <row r="26">
          <cell r="C26" t="str">
            <v>Reporting</v>
          </cell>
        </row>
        <row r="27">
          <cell r="C27" t="str">
            <v>Revised regulatory proposal</v>
          </cell>
        </row>
      </sheetData>
      <sheetData sheetId="1">
        <row r="13">
          <cell r="B13" t="str">
            <v>AGN (Albury and Victoria)</v>
          </cell>
          <cell r="C13" t="str">
            <v>Australian Gas Networks Limited (reporting data for Albury and Victoria)</v>
          </cell>
          <cell r="D13">
            <v>19078551685</v>
          </cell>
          <cell r="E13" t="str">
            <v>Vic</v>
          </cell>
          <cell r="F13" t="str">
            <v>Gas</v>
          </cell>
          <cell r="G13" t="str">
            <v>Distribution</v>
          </cell>
          <cell r="I13" t="str">
            <v>Calendar</v>
          </cell>
          <cell r="J13" t="str">
            <v>December</v>
          </cell>
          <cell r="K13">
            <v>5</v>
          </cell>
          <cell r="L13">
            <v>5</v>
          </cell>
          <cell r="M13">
            <v>5</v>
          </cell>
          <cell r="N13" t="str">
            <v>x</v>
          </cell>
          <cell r="P13" t="str">
            <v>Level 6</v>
          </cell>
          <cell r="Q13" t="str">
            <v>400 King William Street</v>
          </cell>
          <cell r="R13" t="str">
            <v>ADELAIDE</v>
          </cell>
          <cell r="S13" t="str">
            <v>SA</v>
          </cell>
          <cell r="U13" t="str">
            <v>PO Box 6468</v>
          </cell>
          <cell r="V13" t="str">
            <v>Halifax Street</v>
          </cell>
          <cell r="W13" t="str">
            <v>ADELAIDE</v>
          </cell>
          <cell r="X13" t="str">
            <v>SA</v>
          </cell>
          <cell r="AC13" t="str">
            <v>NO</v>
          </cell>
          <cell r="AD13" t="str">
            <v>NO</v>
          </cell>
          <cell r="AE13" t="str">
            <v>NO</v>
          </cell>
          <cell r="AF13" t="str">
            <v>NO</v>
          </cell>
          <cell r="AG13" t="str">
            <v>NO</v>
          </cell>
          <cell r="AI13" t="str">
            <v>CBD</v>
          </cell>
          <cell r="AJ13" t="str">
            <v>Urban</v>
          </cell>
          <cell r="AK13" t="str">
            <v>Short rural</v>
          </cell>
          <cell r="AL13" t="str">
            <v>Long rural</v>
          </cell>
          <cell r="AN13" t="str">
            <v>NO</v>
          </cell>
        </row>
        <row r="14">
          <cell r="B14" t="str">
            <v>AGN (Albury)</v>
          </cell>
          <cell r="C14" t="str">
            <v>Australian Gas Networks Limited (reporting data for Albury)</v>
          </cell>
          <cell r="D14">
            <v>19078551685</v>
          </cell>
          <cell r="E14" t="str">
            <v>Vic</v>
          </cell>
          <cell r="F14" t="str">
            <v>Gas</v>
          </cell>
          <cell r="G14" t="str">
            <v>Distribution</v>
          </cell>
          <cell r="I14" t="str">
            <v>Calendar</v>
          </cell>
          <cell r="J14" t="str">
            <v>December</v>
          </cell>
          <cell r="K14">
            <v>5</v>
          </cell>
          <cell r="L14">
            <v>5</v>
          </cell>
          <cell r="M14">
            <v>5</v>
          </cell>
          <cell r="N14" t="str">
            <v>x</v>
          </cell>
          <cell r="P14" t="str">
            <v>Level 6</v>
          </cell>
          <cell r="Q14" t="str">
            <v>400 King William Street</v>
          </cell>
          <cell r="R14" t="str">
            <v>ADELAIDE</v>
          </cell>
          <cell r="S14" t="str">
            <v>SA</v>
          </cell>
          <cell r="U14" t="str">
            <v>PO Box 6468</v>
          </cell>
          <cell r="V14" t="str">
            <v>Halifax Street</v>
          </cell>
          <cell r="W14" t="str">
            <v>ADELAIDE</v>
          </cell>
          <cell r="X14" t="str">
            <v>SA</v>
          </cell>
          <cell r="AC14" t="str">
            <v>NO</v>
          </cell>
          <cell r="AD14" t="str">
            <v>NO</v>
          </cell>
          <cell r="AE14" t="str">
            <v>NO</v>
          </cell>
          <cell r="AF14" t="str">
            <v>NO</v>
          </cell>
          <cell r="AG14" t="str">
            <v>NO</v>
          </cell>
          <cell r="AI14" t="str">
            <v>CBD</v>
          </cell>
          <cell r="AJ14" t="str">
            <v>Urban</v>
          </cell>
          <cell r="AK14" t="str">
            <v>Short rural</v>
          </cell>
          <cell r="AL14" t="str">
            <v>Long rural</v>
          </cell>
          <cell r="AN14" t="str">
            <v>NO</v>
          </cell>
        </row>
        <row r="15">
          <cell r="B15" t="str">
            <v>AGN (SA)</v>
          </cell>
          <cell r="C15" t="str">
            <v>Australian Gas Networks Limited (reporting data for SA)</v>
          </cell>
          <cell r="D15">
            <v>19078551685</v>
          </cell>
          <cell r="E15" t="str">
            <v>SA</v>
          </cell>
          <cell r="F15" t="str">
            <v>Gas</v>
          </cell>
          <cell r="G15" t="str">
            <v>Distribution</v>
          </cell>
          <cell r="I15" t="str">
            <v>Financial</v>
          </cell>
          <cell r="J15" t="str">
            <v>June</v>
          </cell>
          <cell r="K15">
            <v>5</v>
          </cell>
          <cell r="L15">
            <v>5</v>
          </cell>
          <cell r="M15">
            <v>5</v>
          </cell>
          <cell r="N15">
            <v>5</v>
          </cell>
          <cell r="O15" t="str">
            <v>distribution determination</v>
          </cell>
          <cell r="P15" t="str">
            <v>Level 6</v>
          </cell>
          <cell r="Q15" t="str">
            <v>400 King William Street</v>
          </cell>
          <cell r="R15" t="str">
            <v>ADELAIDE</v>
          </cell>
          <cell r="S15" t="str">
            <v>SA</v>
          </cell>
          <cell r="U15" t="str">
            <v>PO Box 6468</v>
          </cell>
          <cell r="V15" t="str">
            <v>Halifax Street</v>
          </cell>
          <cell r="W15" t="str">
            <v>ADELAIDE</v>
          </cell>
          <cell r="X15" t="str">
            <v>SA</v>
          </cell>
          <cell r="AC15" t="str">
            <v>NO</v>
          </cell>
          <cell r="AD15" t="str">
            <v>NO</v>
          </cell>
          <cell r="AE15" t="str">
            <v>NO</v>
          </cell>
          <cell r="AF15" t="str">
            <v>NO</v>
          </cell>
          <cell r="AG15" t="str">
            <v>NO</v>
          </cell>
          <cell r="AI15" t="str">
            <v>CBD</v>
          </cell>
          <cell r="AJ15" t="str">
            <v>Urban</v>
          </cell>
          <cell r="AK15" t="str">
            <v>Short rural</v>
          </cell>
          <cell r="AL15" t="str">
            <v>Long rural</v>
          </cell>
          <cell r="AN15" t="str">
            <v>NO</v>
          </cell>
        </row>
        <row r="16">
          <cell r="B16" t="str">
            <v>AGN (Victoria)</v>
          </cell>
          <cell r="C16" t="str">
            <v>Australian Gas Networks Limited (reporting data for Victoria)</v>
          </cell>
          <cell r="D16">
            <v>19078551685</v>
          </cell>
          <cell r="E16" t="str">
            <v>Vic</v>
          </cell>
          <cell r="F16" t="str">
            <v>Gas</v>
          </cell>
          <cell r="G16" t="str">
            <v>Distribution</v>
          </cell>
          <cell r="I16" t="str">
            <v>Calendar</v>
          </cell>
          <cell r="J16" t="str">
            <v>December</v>
          </cell>
          <cell r="K16">
            <v>5</v>
          </cell>
          <cell r="L16">
            <v>5</v>
          </cell>
          <cell r="M16">
            <v>5</v>
          </cell>
          <cell r="N16" t="str">
            <v>x</v>
          </cell>
          <cell r="P16" t="str">
            <v>Level 6</v>
          </cell>
          <cell r="Q16" t="str">
            <v>400 King William Street</v>
          </cell>
          <cell r="R16" t="str">
            <v>ADELAIDE</v>
          </cell>
          <cell r="S16" t="str">
            <v>SA</v>
          </cell>
          <cell r="U16" t="str">
            <v>PO Box 6468</v>
          </cell>
          <cell r="V16" t="str">
            <v>Halifax Street</v>
          </cell>
          <cell r="W16" t="str">
            <v>ADELAIDE</v>
          </cell>
          <cell r="X16" t="str">
            <v>SA</v>
          </cell>
          <cell r="AC16" t="str">
            <v>NO</v>
          </cell>
          <cell r="AD16" t="str">
            <v>NO</v>
          </cell>
          <cell r="AE16" t="str">
            <v>NO</v>
          </cell>
          <cell r="AF16" t="str">
            <v>NO</v>
          </cell>
          <cell r="AG16" t="str">
            <v>NO</v>
          </cell>
          <cell r="AI16" t="str">
            <v>CBD</v>
          </cell>
          <cell r="AJ16" t="str">
            <v>Urban</v>
          </cell>
          <cell r="AK16" t="str">
            <v>Short rural</v>
          </cell>
          <cell r="AL16" t="str">
            <v>Long rural</v>
          </cell>
          <cell r="AN16" t="str">
            <v>NO</v>
          </cell>
        </row>
        <row r="17">
          <cell r="B17" t="str">
            <v>Ausgrid</v>
          </cell>
          <cell r="C17" t="str">
            <v>Ausgrid</v>
          </cell>
          <cell r="D17">
            <v>67505337385</v>
          </cell>
          <cell r="E17" t="str">
            <v>NSW</v>
          </cell>
          <cell r="F17" t="str">
            <v>Electricity</v>
          </cell>
          <cell r="G17" t="str">
            <v>Distribution</v>
          </cell>
          <cell r="I17" t="str">
            <v>Financial</v>
          </cell>
          <cell r="J17" t="str">
            <v>June</v>
          </cell>
          <cell r="K17">
            <v>5</v>
          </cell>
          <cell r="L17">
            <v>5</v>
          </cell>
          <cell r="M17">
            <v>5</v>
          </cell>
          <cell r="N17">
            <v>5</v>
          </cell>
          <cell r="O17" t="str">
            <v>2014-19 Distribution Determination</v>
          </cell>
          <cell r="P17" t="str">
            <v>570 George St</v>
          </cell>
          <cell r="R17" t="str">
            <v>SYDNEY</v>
          </cell>
          <cell r="S17" t="str">
            <v>NSW</v>
          </cell>
          <cell r="U17" t="str">
            <v>GPO Box 4009</v>
          </cell>
          <cell r="W17" t="str">
            <v>SYDNEY</v>
          </cell>
          <cell r="X17" t="str">
            <v>NSW</v>
          </cell>
          <cell r="AC17" t="str">
            <v>YES</v>
          </cell>
          <cell r="AD17" t="str">
            <v>YES</v>
          </cell>
          <cell r="AE17" t="str">
            <v>YES</v>
          </cell>
          <cell r="AF17" t="str">
            <v>YES</v>
          </cell>
          <cell r="AG17" t="str">
            <v>NO</v>
          </cell>
          <cell r="AI17" t="str">
            <v>CBD</v>
          </cell>
          <cell r="AJ17" t="str">
            <v>Urban</v>
          </cell>
          <cell r="AK17" t="str">
            <v>Short rural</v>
          </cell>
          <cell r="AL17" t="str">
            <v>Long rural</v>
          </cell>
          <cell r="AN17" t="str">
            <v>YES</v>
          </cell>
        </row>
        <row r="18">
          <cell r="B18" t="str">
            <v>Ausgrid (Tx Assets)</v>
          </cell>
          <cell r="C18" t="str">
            <v>Ausgrid (Tx Assets)</v>
          </cell>
          <cell r="D18">
            <v>67505337385</v>
          </cell>
          <cell r="E18" t="str">
            <v>NSW</v>
          </cell>
          <cell r="F18" t="str">
            <v>Electricity</v>
          </cell>
          <cell r="G18" t="str">
            <v>Distribution</v>
          </cell>
          <cell r="I18" t="str">
            <v>Financial</v>
          </cell>
          <cell r="J18" t="str">
            <v>June</v>
          </cell>
          <cell r="K18">
            <v>5</v>
          </cell>
          <cell r="L18">
            <v>5</v>
          </cell>
          <cell r="M18">
            <v>5</v>
          </cell>
          <cell r="N18">
            <v>5</v>
          </cell>
          <cell r="O18" t="str">
            <v>distribution determination</v>
          </cell>
          <cell r="P18" t="str">
            <v>570 George St</v>
          </cell>
          <cell r="R18" t="str">
            <v>SYDNEY</v>
          </cell>
          <cell r="S18" t="str">
            <v>NSW</v>
          </cell>
          <cell r="U18" t="str">
            <v>GPO Box 4009</v>
          </cell>
          <cell r="W18" t="str">
            <v>SYDNEY</v>
          </cell>
          <cell r="X18" t="str">
            <v>NSW</v>
          </cell>
          <cell r="AC18" t="str">
            <v>YES</v>
          </cell>
          <cell r="AD18" t="str">
            <v>YES</v>
          </cell>
          <cell r="AE18" t="str">
            <v>YES</v>
          </cell>
          <cell r="AF18" t="str">
            <v>YES</v>
          </cell>
          <cell r="AG18" t="str">
            <v>NO</v>
          </cell>
          <cell r="AI18" t="str">
            <v>CBD</v>
          </cell>
          <cell r="AJ18" t="str">
            <v>Urban</v>
          </cell>
          <cell r="AK18" t="str">
            <v>Short rural</v>
          </cell>
          <cell r="AL18" t="str">
            <v>Long rural</v>
          </cell>
          <cell r="AN18" t="str">
            <v>NO</v>
          </cell>
        </row>
        <row r="19">
          <cell r="B19" t="str">
            <v>AusNet (D)</v>
          </cell>
          <cell r="C19" t="str">
            <v>AusNet Electricity Services Pty Ltd</v>
          </cell>
          <cell r="D19">
            <v>91064651118</v>
          </cell>
          <cell r="E19" t="str">
            <v>Vic</v>
          </cell>
          <cell r="F19" t="str">
            <v>Electricity</v>
          </cell>
          <cell r="G19" t="str">
            <v>Distribution</v>
          </cell>
          <cell r="I19" t="str">
            <v>Calendar</v>
          </cell>
          <cell r="J19" t="str">
            <v>December</v>
          </cell>
          <cell r="K19">
            <v>5</v>
          </cell>
          <cell r="L19">
            <v>5</v>
          </cell>
          <cell r="M19">
            <v>5</v>
          </cell>
          <cell r="N19">
            <v>2</v>
          </cell>
          <cell r="O19" t="str">
            <v>2016-20 Distribution Determination</v>
          </cell>
          <cell r="P19" t="str">
            <v>Level 32</v>
          </cell>
          <cell r="Q19" t="str">
            <v>2 Southbank Boulevard</v>
          </cell>
          <cell r="R19" t="str">
            <v>SOUTHBANK</v>
          </cell>
          <cell r="S19" t="str">
            <v>Vic</v>
          </cell>
          <cell r="U19" t="str">
            <v>Locked Bag 14051</v>
          </cell>
          <cell r="W19" t="str">
            <v>MELBOURNE CITY MAIL CENTRE</v>
          </cell>
          <cell r="X19" t="str">
            <v>Vic</v>
          </cell>
          <cell r="AC19" t="str">
            <v>NO</v>
          </cell>
          <cell r="AD19" t="str">
            <v>YES</v>
          </cell>
          <cell r="AE19" t="str">
            <v>YES</v>
          </cell>
          <cell r="AF19" t="str">
            <v>YES</v>
          </cell>
          <cell r="AG19" t="str">
            <v>NO</v>
          </cell>
          <cell r="AI19" t="str">
            <v>CBD</v>
          </cell>
          <cell r="AJ19" t="str">
            <v>Urban</v>
          </cell>
          <cell r="AK19" t="str">
            <v>Short rural</v>
          </cell>
          <cell r="AL19" t="str">
            <v>Long rural</v>
          </cell>
          <cell r="AN19" t="str">
            <v>YES</v>
          </cell>
        </row>
        <row r="20">
          <cell r="B20" t="str">
            <v>AusNet (Gas)</v>
          </cell>
          <cell r="C20" t="str">
            <v>AusNet Gas Services</v>
          </cell>
          <cell r="D20" t="str">
            <v>086015036</v>
          </cell>
          <cell r="E20" t="str">
            <v>Vic</v>
          </cell>
          <cell r="F20" t="str">
            <v>Gas</v>
          </cell>
          <cell r="G20" t="str">
            <v>Distribution</v>
          </cell>
          <cell r="I20" t="str">
            <v>Calendar</v>
          </cell>
          <cell r="J20" t="str">
            <v>December</v>
          </cell>
          <cell r="K20">
            <v>5</v>
          </cell>
          <cell r="L20">
            <v>5</v>
          </cell>
          <cell r="M20">
            <v>5</v>
          </cell>
          <cell r="N20" t="str">
            <v>X</v>
          </cell>
          <cell r="P20" t="str">
            <v>Level 19, HSBC Building</v>
          </cell>
          <cell r="Q20" t="str">
            <v>580 George Street</v>
          </cell>
          <cell r="R20" t="str">
            <v>SYDNEY</v>
          </cell>
          <cell r="S20" t="str">
            <v>NSW</v>
          </cell>
          <cell r="U20" t="str">
            <v>PO Box R41</v>
          </cell>
          <cell r="W20" t="str">
            <v>ROYAL EXCHANGE</v>
          </cell>
          <cell r="X20" t="str">
            <v>NSW</v>
          </cell>
          <cell r="AC20" t="str">
            <v>NO</v>
          </cell>
          <cell r="AD20" t="str">
            <v>NO</v>
          </cell>
          <cell r="AE20" t="str">
            <v>NO</v>
          </cell>
          <cell r="AF20" t="str">
            <v>NO</v>
          </cell>
          <cell r="AG20" t="str">
            <v>NO</v>
          </cell>
          <cell r="AI20" t="str">
            <v>CBD</v>
          </cell>
          <cell r="AJ20" t="str">
            <v>Urban</v>
          </cell>
          <cell r="AK20" t="str">
            <v>Short rural</v>
          </cell>
          <cell r="AL20" t="str">
            <v>Long rural</v>
          </cell>
          <cell r="AN20" t="str">
            <v>NO</v>
          </cell>
        </row>
        <row r="21">
          <cell r="B21" t="str">
            <v>Australian Distribution Co.</v>
          </cell>
          <cell r="C21" t="str">
            <v>Australian Distribution Co.</v>
          </cell>
          <cell r="D21">
            <v>11222333444</v>
          </cell>
          <cell r="E21" t="str">
            <v>-</v>
          </cell>
          <cell r="F21" t="str">
            <v>Electricity</v>
          </cell>
          <cell r="G21" t="str">
            <v>Distribution</v>
          </cell>
          <cell r="I21" t="str">
            <v>Financial</v>
          </cell>
          <cell r="J21" t="str">
            <v>June</v>
          </cell>
          <cell r="K21">
            <v>5</v>
          </cell>
          <cell r="L21">
            <v>5</v>
          </cell>
          <cell r="M21">
            <v>5</v>
          </cell>
          <cell r="N21">
            <v>2</v>
          </cell>
          <cell r="O21" t="str">
            <v>distribution determination</v>
          </cell>
          <cell r="P21" t="str">
            <v>123 Straight Street</v>
          </cell>
          <cell r="R21" t="str">
            <v>SYDNEY</v>
          </cell>
          <cell r="S21" t="str">
            <v>NSW</v>
          </cell>
          <cell r="U21" t="str">
            <v>PO Box 123</v>
          </cell>
          <cell r="W21" t="str">
            <v>SYDNEY</v>
          </cell>
          <cell r="X21" t="str">
            <v>NSW</v>
          </cell>
          <cell r="AC21" t="str">
            <v>YES</v>
          </cell>
          <cell r="AD21" t="str">
            <v>YES</v>
          </cell>
          <cell r="AE21" t="str">
            <v>YES</v>
          </cell>
          <cell r="AF21" t="str">
            <v>YES</v>
          </cell>
          <cell r="AG21" t="str">
            <v>NO</v>
          </cell>
          <cell r="AI21" t="str">
            <v>CBD</v>
          </cell>
          <cell r="AJ21" t="str">
            <v>Urban</v>
          </cell>
          <cell r="AK21" t="str">
            <v>Short rural</v>
          </cell>
          <cell r="AL21" t="str">
            <v>Long rural</v>
          </cell>
          <cell r="AN21" t="str">
            <v>YES</v>
          </cell>
        </row>
        <row r="22">
          <cell r="B22" t="str">
            <v>Central Ranges Pipeline (D)</v>
          </cell>
          <cell r="C22" t="str">
            <v>Central Ranges Pipeline Pty Ltd</v>
          </cell>
          <cell r="D22">
            <v>108218355</v>
          </cell>
          <cell r="E22" t="str">
            <v>NSW</v>
          </cell>
          <cell r="F22" t="str">
            <v>Gas</v>
          </cell>
          <cell r="G22" t="str">
            <v>Distribution</v>
          </cell>
          <cell r="I22" t="str">
            <v>Financial</v>
          </cell>
          <cell r="J22" t="str">
            <v>June</v>
          </cell>
          <cell r="K22">
            <v>15</v>
          </cell>
          <cell r="L22">
            <v>5</v>
          </cell>
          <cell r="M22">
            <v>5</v>
          </cell>
          <cell r="N22">
            <v>5</v>
          </cell>
          <cell r="O22" t="str">
            <v>distribution determination</v>
          </cell>
          <cell r="P22" t="str">
            <v>Level 19</v>
          </cell>
          <cell r="Q22" t="str">
            <v>580 George Street</v>
          </cell>
          <cell r="R22" t="str">
            <v>SYDNEY</v>
          </cell>
          <cell r="S22" t="str">
            <v>NSW</v>
          </cell>
          <cell r="U22" t="str">
            <v>PO Box R41</v>
          </cell>
          <cell r="W22" t="str">
            <v>ROYAL EXCHANGE</v>
          </cell>
          <cell r="X22" t="str">
            <v>NSW</v>
          </cell>
          <cell r="AC22" t="str">
            <v>NO</v>
          </cell>
          <cell r="AD22" t="str">
            <v>NO</v>
          </cell>
          <cell r="AE22" t="str">
            <v>NO</v>
          </cell>
          <cell r="AF22" t="str">
            <v>NO</v>
          </cell>
          <cell r="AG22" t="str">
            <v>NO</v>
          </cell>
          <cell r="AI22" t="str">
            <v>CBD</v>
          </cell>
          <cell r="AJ22" t="str">
            <v>Urban</v>
          </cell>
          <cell r="AK22" t="str">
            <v>Short rural</v>
          </cell>
          <cell r="AL22" t="str">
            <v>Long rural</v>
          </cell>
          <cell r="AN22" t="str">
            <v>NO</v>
          </cell>
        </row>
        <row r="23">
          <cell r="B23" t="str">
            <v>CitiPower</v>
          </cell>
          <cell r="C23" t="str">
            <v>CitiPower</v>
          </cell>
          <cell r="D23">
            <v>76064651056</v>
          </cell>
          <cell r="E23" t="str">
            <v>Vic</v>
          </cell>
          <cell r="F23" t="str">
            <v>Electricity</v>
          </cell>
          <cell r="G23" t="str">
            <v>Distribution</v>
          </cell>
          <cell r="I23" t="str">
            <v>Calendar</v>
          </cell>
          <cell r="J23" t="str">
            <v>December</v>
          </cell>
          <cell r="K23">
            <v>5</v>
          </cell>
          <cell r="L23">
            <v>5</v>
          </cell>
          <cell r="M23">
            <v>5</v>
          </cell>
          <cell r="N23">
            <v>2</v>
          </cell>
          <cell r="O23" t="str">
            <v>2016-20 Distribution Determination</v>
          </cell>
          <cell r="P23" t="str">
            <v>40 Market Street</v>
          </cell>
          <cell r="R23" t="str">
            <v>MELBOURNE</v>
          </cell>
          <cell r="S23" t="str">
            <v>Vic</v>
          </cell>
          <cell r="U23" t="str">
            <v>Locked Bag 14090</v>
          </cell>
          <cell r="W23" t="str">
            <v>MELBOURNE</v>
          </cell>
          <cell r="X23" t="str">
            <v>Vic</v>
          </cell>
          <cell r="AC23" t="str">
            <v>YES</v>
          </cell>
          <cell r="AD23" t="str">
            <v>YES</v>
          </cell>
          <cell r="AE23" t="str">
            <v>NO</v>
          </cell>
          <cell r="AF23" t="str">
            <v>NO</v>
          </cell>
          <cell r="AG23" t="str">
            <v>NO</v>
          </cell>
          <cell r="AI23" t="str">
            <v>CBD</v>
          </cell>
          <cell r="AJ23" t="str">
            <v>Urban</v>
          </cell>
          <cell r="AK23" t="str">
            <v>Short rural</v>
          </cell>
          <cell r="AL23" t="str">
            <v>Long rural</v>
          </cell>
          <cell r="AN23" t="str">
            <v>YES</v>
          </cell>
        </row>
        <row r="24">
          <cell r="B24" t="str">
            <v>Endeavour Energy</v>
          </cell>
          <cell r="C24" t="str">
            <v>Endeavour Energy</v>
          </cell>
          <cell r="D24">
            <v>11247365823</v>
          </cell>
          <cell r="E24" t="str">
            <v>NSW</v>
          </cell>
          <cell r="F24" t="str">
            <v>Electricity</v>
          </cell>
          <cell r="G24" t="str">
            <v>Distribution</v>
          </cell>
          <cell r="I24" t="str">
            <v>Financial</v>
          </cell>
          <cell r="J24" t="str">
            <v>June</v>
          </cell>
          <cell r="K24">
            <v>5</v>
          </cell>
          <cell r="L24">
            <v>5</v>
          </cell>
          <cell r="M24">
            <v>5</v>
          </cell>
          <cell r="N24">
            <v>5</v>
          </cell>
          <cell r="O24" t="str">
            <v>2014-19 Distribution Determination</v>
          </cell>
          <cell r="P24" t="str">
            <v>51 Huntingwood Drive</v>
          </cell>
          <cell r="R24" t="str">
            <v>HUNTINGWOOD</v>
          </cell>
          <cell r="S24" t="str">
            <v>NSW</v>
          </cell>
          <cell r="U24" t="str">
            <v>PO Box 811</v>
          </cell>
          <cell r="W24" t="str">
            <v>SEVEN HILLS</v>
          </cell>
          <cell r="X24" t="str">
            <v>NSW</v>
          </cell>
          <cell r="AC24" t="str">
            <v>NO</v>
          </cell>
          <cell r="AD24" t="str">
            <v>YES</v>
          </cell>
          <cell r="AE24" t="str">
            <v>YES</v>
          </cell>
          <cell r="AF24" t="str">
            <v>YES</v>
          </cell>
          <cell r="AG24" t="str">
            <v>NO</v>
          </cell>
          <cell r="AI24" t="str">
            <v>CBD</v>
          </cell>
          <cell r="AJ24" t="str">
            <v>Urban</v>
          </cell>
          <cell r="AK24" t="str">
            <v>Short rural</v>
          </cell>
          <cell r="AL24" t="str">
            <v>Long rural</v>
          </cell>
          <cell r="AN24" t="str">
            <v>YES</v>
          </cell>
        </row>
        <row r="25">
          <cell r="B25" t="str">
            <v>Energex</v>
          </cell>
          <cell r="C25" t="str">
            <v>Energex</v>
          </cell>
          <cell r="D25">
            <v>40078849055</v>
          </cell>
          <cell r="E25" t="str">
            <v>Qld</v>
          </cell>
          <cell r="F25" t="str">
            <v>Electricity</v>
          </cell>
          <cell r="G25" t="str">
            <v>Distribution</v>
          </cell>
          <cell r="I25" t="str">
            <v>Financial</v>
          </cell>
          <cell r="J25" t="str">
            <v>June</v>
          </cell>
          <cell r="K25">
            <v>5</v>
          </cell>
          <cell r="L25">
            <v>5</v>
          </cell>
          <cell r="M25">
            <v>5</v>
          </cell>
          <cell r="N25">
            <v>5</v>
          </cell>
          <cell r="O25" t="str">
            <v>2015-20 Distribution Determination</v>
          </cell>
          <cell r="P25" t="str">
            <v>26 Reddacliff Street</v>
          </cell>
          <cell r="R25" t="str">
            <v>NEWSTEAD</v>
          </cell>
          <cell r="S25" t="str">
            <v>Qld</v>
          </cell>
          <cell r="U25" t="str">
            <v>26 Reddacliff Street</v>
          </cell>
          <cell r="W25" t="str">
            <v>NEWSTEAD</v>
          </cell>
          <cell r="X25" t="str">
            <v>QLD</v>
          </cell>
          <cell r="AC25" t="str">
            <v>YES</v>
          </cell>
          <cell r="AD25" t="str">
            <v>YES</v>
          </cell>
          <cell r="AE25" t="str">
            <v>YES</v>
          </cell>
          <cell r="AF25" t="str">
            <v>NO</v>
          </cell>
          <cell r="AG25" t="str">
            <v>NO</v>
          </cell>
          <cell r="AI25" t="str">
            <v>CBD</v>
          </cell>
          <cell r="AJ25" t="str">
            <v>Urban</v>
          </cell>
          <cell r="AK25" t="str">
            <v>Short rural</v>
          </cell>
          <cell r="AL25" t="str">
            <v>Long rural</v>
          </cell>
          <cell r="AN25" t="str">
            <v>YES</v>
          </cell>
        </row>
        <row r="26">
          <cell r="B26" t="str">
            <v>Ergon Energy</v>
          </cell>
          <cell r="C26" t="str">
            <v>Ergon Energy</v>
          </cell>
          <cell r="D26">
            <v>50087646062</v>
          </cell>
          <cell r="E26" t="str">
            <v>Qld</v>
          </cell>
          <cell r="F26" t="str">
            <v>Electricity</v>
          </cell>
          <cell r="G26" t="str">
            <v>Distribution</v>
          </cell>
          <cell r="I26" t="str">
            <v>Financial</v>
          </cell>
          <cell r="J26" t="str">
            <v>June</v>
          </cell>
          <cell r="K26">
            <v>5</v>
          </cell>
          <cell r="L26">
            <v>5</v>
          </cell>
          <cell r="M26">
            <v>5</v>
          </cell>
          <cell r="N26">
            <v>5</v>
          </cell>
          <cell r="O26" t="str">
            <v>2015-20 Distribution Determination</v>
          </cell>
          <cell r="P26" t="str">
            <v>22 Walker Street</v>
          </cell>
          <cell r="R26" t="str">
            <v>TOWNSVILLE</v>
          </cell>
          <cell r="S26" t="str">
            <v>Qld</v>
          </cell>
          <cell r="U26" t="str">
            <v>Po Box 264</v>
          </cell>
          <cell r="W26" t="str">
            <v>FORTITUDE VALLEY</v>
          </cell>
          <cell r="X26" t="str">
            <v>QLD</v>
          </cell>
          <cell r="AC26" t="str">
            <v>NO</v>
          </cell>
          <cell r="AD26" t="str">
            <v>YES</v>
          </cell>
          <cell r="AE26" t="str">
            <v>YES</v>
          </cell>
          <cell r="AF26" t="str">
            <v>YES</v>
          </cell>
          <cell r="AG26" t="str">
            <v>NO</v>
          </cell>
          <cell r="AI26" t="str">
            <v>CBD</v>
          </cell>
          <cell r="AJ26" t="str">
            <v>Urban</v>
          </cell>
          <cell r="AK26" t="str">
            <v>Short rural</v>
          </cell>
          <cell r="AL26" t="str">
            <v>Long rural</v>
          </cell>
          <cell r="AN26" t="str">
            <v>YES</v>
          </cell>
        </row>
        <row r="27">
          <cell r="B27" t="str">
            <v>Essential Energy</v>
          </cell>
          <cell r="C27" t="str">
            <v>Essential Energy</v>
          </cell>
          <cell r="D27">
            <v>37428185226</v>
          </cell>
          <cell r="E27" t="str">
            <v>NSW</v>
          </cell>
          <cell r="F27" t="str">
            <v>Electricity</v>
          </cell>
          <cell r="G27" t="str">
            <v>Distribution</v>
          </cell>
          <cell r="I27" t="str">
            <v>Financial</v>
          </cell>
          <cell r="J27" t="str">
            <v>June</v>
          </cell>
          <cell r="K27">
            <v>5</v>
          </cell>
          <cell r="L27">
            <v>5</v>
          </cell>
          <cell r="M27">
            <v>5</v>
          </cell>
          <cell r="N27">
            <v>5</v>
          </cell>
          <cell r="O27" t="str">
            <v>2014-19 Distribution Determination</v>
          </cell>
          <cell r="P27" t="str">
            <v>8 Buller Street</v>
          </cell>
          <cell r="R27" t="str">
            <v>PORT MACQUARIE</v>
          </cell>
          <cell r="S27" t="str">
            <v>NSW</v>
          </cell>
          <cell r="U27" t="str">
            <v>PO Box 5730</v>
          </cell>
          <cell r="W27" t="str">
            <v>PORT MACQUARIE</v>
          </cell>
          <cell r="X27" t="str">
            <v>NSW</v>
          </cell>
          <cell r="AC27" t="str">
            <v>NO</v>
          </cell>
          <cell r="AD27" t="str">
            <v>NO</v>
          </cell>
          <cell r="AE27" t="str">
            <v>YES</v>
          </cell>
          <cell r="AF27" t="str">
            <v>YES</v>
          </cell>
          <cell r="AG27" t="str">
            <v>NO</v>
          </cell>
          <cell r="AI27" t="str">
            <v>CBD</v>
          </cell>
          <cell r="AJ27" t="str">
            <v>Urban</v>
          </cell>
          <cell r="AK27" t="str">
            <v>Short rural</v>
          </cell>
          <cell r="AL27" t="str">
            <v>Long rural</v>
          </cell>
          <cell r="AN27" t="str">
            <v>YES</v>
          </cell>
        </row>
        <row r="28">
          <cell r="B28" t="str">
            <v>Evoenergy</v>
          </cell>
          <cell r="C28" t="str">
            <v>Evoenergy</v>
          </cell>
          <cell r="D28">
            <v>76670568688</v>
          </cell>
          <cell r="E28" t="str">
            <v>ACT</v>
          </cell>
          <cell r="F28" t="str">
            <v>Electricity</v>
          </cell>
          <cell r="G28" t="str">
            <v>Distribution</v>
          </cell>
          <cell r="I28" t="str">
            <v>Financial</v>
          </cell>
          <cell r="J28" t="str">
            <v>June</v>
          </cell>
          <cell r="K28">
            <v>5</v>
          </cell>
          <cell r="L28">
            <v>5</v>
          </cell>
          <cell r="M28">
            <v>5</v>
          </cell>
          <cell r="N28">
            <v>5</v>
          </cell>
          <cell r="O28" t="str">
            <v>2014-19 Distribution Determination</v>
          </cell>
          <cell r="P28" t="str">
            <v>40 Bunda Street</v>
          </cell>
          <cell r="R28" t="str">
            <v>CANBERRA</v>
          </cell>
          <cell r="S28" t="str">
            <v>ACT</v>
          </cell>
          <cell r="U28" t="str">
            <v>GPO BOX 366</v>
          </cell>
          <cell r="W28" t="str">
            <v>CANBERRA</v>
          </cell>
          <cell r="X28" t="str">
            <v>ACT</v>
          </cell>
          <cell r="AC28" t="str">
            <v>NO</v>
          </cell>
          <cell r="AD28" t="str">
            <v>YES</v>
          </cell>
          <cell r="AE28" t="str">
            <v>YES</v>
          </cell>
          <cell r="AF28" t="str">
            <v>NO</v>
          </cell>
          <cell r="AG28" t="str">
            <v>NO</v>
          </cell>
          <cell r="AI28" t="str">
            <v>CBD</v>
          </cell>
          <cell r="AJ28" t="str">
            <v>Urban</v>
          </cell>
          <cell r="AK28" t="str">
            <v>Short rural</v>
          </cell>
          <cell r="AL28" t="str">
            <v>Long rural</v>
          </cell>
          <cell r="AN28" t="str">
            <v>YES</v>
          </cell>
        </row>
        <row r="29">
          <cell r="B29" t="str">
            <v>Evoenergy (Tx Assets)</v>
          </cell>
          <cell r="C29" t="str">
            <v>Evoenergy (Tx Assets)</v>
          </cell>
          <cell r="D29">
            <v>76670568688</v>
          </cell>
          <cell r="E29" t="str">
            <v>ACT</v>
          </cell>
          <cell r="F29" t="str">
            <v>Electricity</v>
          </cell>
          <cell r="G29" t="str">
            <v>Distribution</v>
          </cell>
          <cell r="I29" t="str">
            <v>Financial</v>
          </cell>
          <cell r="J29" t="str">
            <v>June</v>
          </cell>
          <cell r="K29">
            <v>5</v>
          </cell>
          <cell r="L29">
            <v>5</v>
          </cell>
          <cell r="M29">
            <v>5</v>
          </cell>
          <cell r="N29">
            <v>5</v>
          </cell>
          <cell r="O29" t="str">
            <v>distribution determination</v>
          </cell>
          <cell r="P29" t="str">
            <v>40 Bunda Street</v>
          </cell>
          <cell r="R29" t="str">
            <v>CANBERRA</v>
          </cell>
          <cell r="S29" t="str">
            <v>ACT</v>
          </cell>
          <cell r="U29" t="str">
            <v>GPO BOX 366</v>
          </cell>
          <cell r="W29" t="str">
            <v>CANBERRA</v>
          </cell>
          <cell r="X29" t="str">
            <v>ACT</v>
          </cell>
          <cell r="AC29" t="str">
            <v>NO</v>
          </cell>
          <cell r="AD29" t="str">
            <v>YES</v>
          </cell>
          <cell r="AE29" t="str">
            <v>YES</v>
          </cell>
          <cell r="AF29" t="str">
            <v>NO</v>
          </cell>
          <cell r="AG29" t="str">
            <v>NO</v>
          </cell>
          <cell r="AI29" t="str">
            <v>CBD</v>
          </cell>
          <cell r="AJ29" t="str">
            <v>Urban</v>
          </cell>
          <cell r="AK29" t="str">
            <v>Short rural</v>
          </cell>
          <cell r="AL29" t="str">
            <v>Long rural</v>
          </cell>
          <cell r="AN29" t="str">
            <v>NO</v>
          </cell>
        </row>
        <row r="30">
          <cell r="B30" t="str">
            <v>Evoenergy Gas</v>
          </cell>
          <cell r="C30" t="str">
            <v>Evoenergy Gas</v>
          </cell>
          <cell r="D30">
            <v>76670568688</v>
          </cell>
          <cell r="E30" t="str">
            <v>ACT</v>
          </cell>
          <cell r="F30" t="str">
            <v>Gas</v>
          </cell>
          <cell r="G30" t="str">
            <v>Distribution</v>
          </cell>
          <cell r="I30" t="str">
            <v>Financial</v>
          </cell>
          <cell r="J30" t="str">
            <v>June</v>
          </cell>
          <cell r="K30">
            <v>5</v>
          </cell>
          <cell r="L30">
            <v>5</v>
          </cell>
          <cell r="M30">
            <v>5</v>
          </cell>
          <cell r="N30" t="str">
            <v>x</v>
          </cell>
          <cell r="P30" t="str">
            <v>40 Bunda Street</v>
          </cell>
          <cell r="R30" t="str">
            <v>CANBERRA</v>
          </cell>
          <cell r="S30" t="str">
            <v>ACT</v>
          </cell>
          <cell r="U30" t="str">
            <v>GPO BOX 366</v>
          </cell>
          <cell r="W30" t="str">
            <v>CANBERRA</v>
          </cell>
          <cell r="X30" t="str">
            <v>ACT</v>
          </cell>
          <cell r="AC30" t="str">
            <v>NO</v>
          </cell>
          <cell r="AD30" t="str">
            <v>NO</v>
          </cell>
          <cell r="AE30" t="str">
            <v>NO</v>
          </cell>
          <cell r="AF30" t="str">
            <v>NO</v>
          </cell>
          <cell r="AG30" t="str">
            <v>NO</v>
          </cell>
          <cell r="AI30" t="str">
            <v>CBD</v>
          </cell>
          <cell r="AJ30" t="str">
            <v>Urban</v>
          </cell>
          <cell r="AK30" t="str">
            <v>Short rural</v>
          </cell>
          <cell r="AL30" t="str">
            <v>Long rural</v>
          </cell>
          <cell r="AN30" t="str">
            <v>NO</v>
          </cell>
        </row>
        <row r="31">
          <cell r="B31" t="str">
            <v>Jemena Electricity</v>
          </cell>
          <cell r="C31" t="str">
            <v>Jemena Electricity</v>
          </cell>
          <cell r="D31">
            <v>82064651083</v>
          </cell>
          <cell r="E31" t="str">
            <v>Vic</v>
          </cell>
          <cell r="F31" t="str">
            <v>Electricity</v>
          </cell>
          <cell r="G31" t="str">
            <v>Distribution</v>
          </cell>
          <cell r="I31" t="str">
            <v>Calendar</v>
          </cell>
          <cell r="J31" t="str">
            <v>December</v>
          </cell>
          <cell r="K31">
            <v>5</v>
          </cell>
          <cell r="L31">
            <v>5</v>
          </cell>
          <cell r="M31">
            <v>5</v>
          </cell>
          <cell r="N31">
            <v>2</v>
          </cell>
          <cell r="O31" t="str">
            <v>2016-20 Distribution Determination</v>
          </cell>
          <cell r="P31" t="str">
            <v>Level 16</v>
          </cell>
          <cell r="Q31" t="str">
            <v>567 Collins Street</v>
          </cell>
          <cell r="R31" t="str">
            <v>MELBOURNE</v>
          </cell>
          <cell r="S31" t="str">
            <v>Vic</v>
          </cell>
          <cell r="U31" t="str">
            <v>PO Box 16182</v>
          </cell>
          <cell r="W31" t="str">
            <v>MELBOURNE</v>
          </cell>
          <cell r="X31" t="str">
            <v>Vic</v>
          </cell>
          <cell r="AC31" t="str">
            <v>NO</v>
          </cell>
          <cell r="AD31" t="str">
            <v>YES</v>
          </cell>
          <cell r="AE31" t="str">
            <v>YES</v>
          </cell>
          <cell r="AF31" t="str">
            <v>NO</v>
          </cell>
          <cell r="AG31" t="str">
            <v>NO</v>
          </cell>
          <cell r="AI31" t="str">
            <v>CBD</v>
          </cell>
          <cell r="AJ31" t="str">
            <v>Urban</v>
          </cell>
          <cell r="AK31" t="str">
            <v>Short rural</v>
          </cell>
          <cell r="AL31" t="str">
            <v>Long rural</v>
          </cell>
          <cell r="AN31" t="str">
            <v>YES</v>
          </cell>
        </row>
        <row r="32">
          <cell r="B32" t="str">
            <v>JGN</v>
          </cell>
          <cell r="C32" t="str">
            <v>Jemena Gas Networks (NSW) Ltd</v>
          </cell>
          <cell r="D32" t="str">
            <v>003 004 322</v>
          </cell>
          <cell r="E32" t="str">
            <v>NSW</v>
          </cell>
          <cell r="F32" t="str">
            <v>Gas</v>
          </cell>
          <cell r="G32" t="str">
            <v>Distribution</v>
          </cell>
          <cell r="I32" t="str">
            <v>Financial</v>
          </cell>
          <cell r="J32" t="str">
            <v>June</v>
          </cell>
          <cell r="K32">
            <v>5</v>
          </cell>
          <cell r="L32">
            <v>5</v>
          </cell>
          <cell r="M32">
            <v>5</v>
          </cell>
          <cell r="AC32" t="str">
            <v>NO</v>
          </cell>
          <cell r="AD32" t="str">
            <v>NO</v>
          </cell>
          <cell r="AE32" t="str">
            <v>NO</v>
          </cell>
          <cell r="AF32" t="str">
            <v>NO</v>
          </cell>
          <cell r="AG32" t="str">
            <v>NO</v>
          </cell>
          <cell r="AI32" t="str">
            <v>CBD</v>
          </cell>
          <cell r="AJ32" t="str">
            <v>Urban</v>
          </cell>
          <cell r="AK32" t="str">
            <v>Short rural</v>
          </cell>
          <cell r="AL32" t="str">
            <v>Long rural</v>
          </cell>
          <cell r="AN32" t="str">
            <v>NO</v>
          </cell>
        </row>
        <row r="33">
          <cell r="B33" t="str">
            <v>Multinet Gas</v>
          </cell>
          <cell r="C33" t="str">
            <v>Multinet Gas (DB No.1) Pty Ltd (ACN 086 026 986), Multinet Gas (DB No.2) Pty Ltd (ACN 086 230 122)</v>
          </cell>
          <cell r="D33" t="str">
            <v>086026986</v>
          </cell>
          <cell r="E33" t="str">
            <v>Vic</v>
          </cell>
          <cell r="F33" t="str">
            <v>Gas</v>
          </cell>
          <cell r="G33" t="str">
            <v>Distribution</v>
          </cell>
          <cell r="I33" t="str">
            <v>Calendar</v>
          </cell>
          <cell r="J33" t="str">
            <v>December</v>
          </cell>
          <cell r="K33">
            <v>5</v>
          </cell>
          <cell r="L33">
            <v>5</v>
          </cell>
          <cell r="M33">
            <v>5</v>
          </cell>
          <cell r="N33" t="str">
            <v>x</v>
          </cell>
          <cell r="P33" t="str">
            <v>43-45 Centreway</v>
          </cell>
          <cell r="R33" t="str">
            <v>MT WAVERLEY</v>
          </cell>
          <cell r="S33" t="str">
            <v>Vic</v>
          </cell>
          <cell r="AC33" t="str">
            <v>NO</v>
          </cell>
          <cell r="AD33" t="str">
            <v>NO</v>
          </cell>
          <cell r="AE33" t="str">
            <v>NO</v>
          </cell>
          <cell r="AF33" t="str">
            <v>NO</v>
          </cell>
          <cell r="AG33" t="str">
            <v>NO</v>
          </cell>
          <cell r="AI33" t="str">
            <v>CBD</v>
          </cell>
          <cell r="AJ33" t="str">
            <v>Urban</v>
          </cell>
          <cell r="AK33" t="str">
            <v>Short rural</v>
          </cell>
          <cell r="AL33" t="str">
            <v>Long rural</v>
          </cell>
          <cell r="AN33" t="str">
            <v>NO</v>
          </cell>
        </row>
        <row r="34">
          <cell r="B34" t="str">
            <v>Power and Water</v>
          </cell>
          <cell r="C34" t="str">
            <v>Power and Water Corporation</v>
          </cell>
          <cell r="D34">
            <v>15947352360</v>
          </cell>
          <cell r="E34" t="str">
            <v>NT</v>
          </cell>
          <cell r="F34" t="str">
            <v>Electricity</v>
          </cell>
          <cell r="G34" t="str">
            <v>Distribution</v>
          </cell>
          <cell r="I34" t="str">
            <v>Financial</v>
          </cell>
          <cell r="J34" t="str">
            <v>June</v>
          </cell>
          <cell r="K34">
            <v>5</v>
          </cell>
          <cell r="L34">
            <v>5</v>
          </cell>
          <cell r="M34">
            <v>5</v>
          </cell>
          <cell r="N34" t="str">
            <v>x</v>
          </cell>
          <cell r="O34" t="str">
            <v>distribution determination</v>
          </cell>
          <cell r="P34" t="str">
            <v>GPO Box 1921</v>
          </cell>
          <cell r="R34" t="str">
            <v>DARWIN</v>
          </cell>
          <cell r="S34" t="str">
            <v>NT</v>
          </cell>
          <cell r="U34" t="str">
            <v>GPO Box 1921</v>
          </cell>
          <cell r="W34" t="str">
            <v>DARWIN</v>
          </cell>
          <cell r="X34" t="str">
            <v>NT</v>
          </cell>
          <cell r="AC34" t="str">
            <v>YES</v>
          </cell>
          <cell r="AD34" t="str">
            <v>YES</v>
          </cell>
          <cell r="AE34" t="str">
            <v>YES</v>
          </cell>
          <cell r="AF34" t="str">
            <v>YES</v>
          </cell>
          <cell r="AG34" t="str">
            <v>NO</v>
          </cell>
          <cell r="AI34" t="str">
            <v>CBD</v>
          </cell>
          <cell r="AJ34" t="str">
            <v>Urban</v>
          </cell>
          <cell r="AK34" t="str">
            <v>Short rural</v>
          </cell>
          <cell r="AL34" t="str">
            <v>Long rural</v>
          </cell>
          <cell r="AN34" t="str">
            <v>NO</v>
          </cell>
        </row>
        <row r="35">
          <cell r="B35" t="str">
            <v>Powercor Australia</v>
          </cell>
          <cell r="C35" t="str">
            <v>Powercor Australia</v>
          </cell>
          <cell r="D35">
            <v>89064651109</v>
          </cell>
          <cell r="E35" t="str">
            <v>Vic</v>
          </cell>
          <cell r="F35" t="str">
            <v>Electricity</v>
          </cell>
          <cell r="G35" t="str">
            <v>Distribution</v>
          </cell>
          <cell r="I35" t="str">
            <v>Calendar</v>
          </cell>
          <cell r="J35" t="str">
            <v>December</v>
          </cell>
          <cell r="K35">
            <v>5</v>
          </cell>
          <cell r="L35">
            <v>5</v>
          </cell>
          <cell r="M35">
            <v>5</v>
          </cell>
          <cell r="N35">
            <v>2</v>
          </cell>
          <cell r="O35" t="str">
            <v>2016-20 Distribution Determination</v>
          </cell>
          <cell r="P35" t="str">
            <v>40 Market Street</v>
          </cell>
          <cell r="R35" t="str">
            <v>MELBOURNE</v>
          </cell>
          <cell r="S35" t="str">
            <v>Vic</v>
          </cell>
          <cell r="U35" t="str">
            <v>Locked bag 14090</v>
          </cell>
          <cell r="W35" t="str">
            <v>MELBOURNE</v>
          </cell>
          <cell r="X35" t="str">
            <v>Vic</v>
          </cell>
          <cell r="AC35" t="str">
            <v>NO</v>
          </cell>
          <cell r="AD35" t="str">
            <v>NO</v>
          </cell>
          <cell r="AE35" t="str">
            <v>YES</v>
          </cell>
          <cell r="AF35" t="str">
            <v>YES</v>
          </cell>
          <cell r="AG35" t="str">
            <v>NO</v>
          </cell>
          <cell r="AI35" t="str">
            <v>CBD</v>
          </cell>
          <cell r="AJ35" t="str">
            <v>Urban</v>
          </cell>
          <cell r="AK35" t="str">
            <v>Short rural</v>
          </cell>
          <cell r="AL35" t="str">
            <v>Long rural</v>
          </cell>
          <cell r="AN35" t="str">
            <v>YES</v>
          </cell>
        </row>
        <row r="36">
          <cell r="B36" t="str">
            <v>SA Power Networks</v>
          </cell>
          <cell r="C36" t="str">
            <v>SA Power Networks</v>
          </cell>
          <cell r="D36">
            <v>13332330749</v>
          </cell>
          <cell r="E36" t="str">
            <v>SA</v>
          </cell>
          <cell r="F36" t="str">
            <v>Electricity</v>
          </cell>
          <cell r="G36" t="str">
            <v>Distribution</v>
          </cell>
          <cell r="I36" t="str">
            <v>Financial</v>
          </cell>
          <cell r="J36" t="str">
            <v>June</v>
          </cell>
          <cell r="K36">
            <v>5</v>
          </cell>
          <cell r="L36">
            <v>5</v>
          </cell>
          <cell r="M36">
            <v>5</v>
          </cell>
          <cell r="N36">
            <v>5</v>
          </cell>
          <cell r="O36" t="str">
            <v>2015-20 Distribution Determination</v>
          </cell>
          <cell r="P36" t="str">
            <v>1 Anzac Highway</v>
          </cell>
          <cell r="R36" t="str">
            <v>KESWICK</v>
          </cell>
          <cell r="S36" t="str">
            <v>SA</v>
          </cell>
          <cell r="U36" t="str">
            <v>GPO Box 77</v>
          </cell>
          <cell r="W36" t="str">
            <v>ADELAIDE</v>
          </cell>
          <cell r="X36" t="str">
            <v>SA</v>
          </cell>
          <cell r="AC36" t="str">
            <v>NO</v>
          </cell>
          <cell r="AD36" t="str">
            <v>NO</v>
          </cell>
          <cell r="AE36" t="str">
            <v>YES</v>
          </cell>
          <cell r="AF36" t="str">
            <v>YES</v>
          </cell>
          <cell r="AG36" t="str">
            <v>NO</v>
          </cell>
          <cell r="AI36" t="str">
            <v>CBD</v>
          </cell>
          <cell r="AJ36" t="str">
            <v>Urban</v>
          </cell>
          <cell r="AK36" t="str">
            <v>Short rural</v>
          </cell>
          <cell r="AL36" t="str">
            <v>Long rural</v>
          </cell>
          <cell r="AN36" t="str">
            <v>NO</v>
          </cell>
        </row>
        <row r="37">
          <cell r="B37" t="str">
            <v>TasNetworks (D)</v>
          </cell>
          <cell r="C37" t="str">
            <v>TasNetworks (D)</v>
          </cell>
          <cell r="D37">
            <v>24167357299</v>
          </cell>
          <cell r="E37" t="str">
            <v>Tas</v>
          </cell>
          <cell r="F37" t="str">
            <v>Electricity</v>
          </cell>
          <cell r="G37" t="str">
            <v>Distribution</v>
          </cell>
          <cell r="I37" t="str">
            <v>Financial</v>
          </cell>
          <cell r="J37" t="str">
            <v>June</v>
          </cell>
          <cell r="K37">
            <v>5</v>
          </cell>
          <cell r="L37">
            <v>5</v>
          </cell>
          <cell r="M37">
            <v>5</v>
          </cell>
          <cell r="N37">
            <v>5</v>
          </cell>
          <cell r="O37" t="str">
            <v>distribution determination</v>
          </cell>
          <cell r="P37" t="str">
            <v>1-7 Maria Street</v>
          </cell>
          <cell r="R37" t="str">
            <v>LENAH VALLEY</v>
          </cell>
          <cell r="S37" t="str">
            <v>Tas</v>
          </cell>
          <cell r="U37" t="str">
            <v>PO Box 606</v>
          </cell>
          <cell r="W37" t="str">
            <v>MOONAH</v>
          </cell>
          <cell r="X37" t="str">
            <v>Tas</v>
          </cell>
          <cell r="AC37" t="str">
            <v>YES</v>
          </cell>
          <cell r="AD37" t="str">
            <v>YES</v>
          </cell>
          <cell r="AE37" t="str">
            <v>YES</v>
          </cell>
          <cell r="AF37" t="str">
            <v>YES</v>
          </cell>
          <cell r="AG37" t="str">
            <v>YES</v>
          </cell>
          <cell r="AI37" t="str">
            <v>Critical Infrastructure</v>
          </cell>
          <cell r="AJ37" t="str">
            <v>High density commercial</v>
          </cell>
          <cell r="AK37" t="str">
            <v>Urban</v>
          </cell>
          <cell r="AL37" t="str">
            <v>High density rural</v>
          </cell>
          <cell r="AM37" t="str">
            <v>Low density rural</v>
          </cell>
          <cell r="AN37" t="str">
            <v>YES</v>
          </cell>
        </row>
        <row r="38">
          <cell r="B38" t="str">
            <v>United Energy</v>
          </cell>
          <cell r="C38" t="str">
            <v>United Energy</v>
          </cell>
          <cell r="D38">
            <v>70064651029</v>
          </cell>
          <cell r="E38" t="str">
            <v>Vic</v>
          </cell>
          <cell r="F38" t="str">
            <v>Electricity</v>
          </cell>
          <cell r="G38" t="str">
            <v>Distribution</v>
          </cell>
          <cell r="I38" t="str">
            <v>Calendar</v>
          </cell>
          <cell r="J38" t="str">
            <v>December</v>
          </cell>
          <cell r="K38">
            <v>5</v>
          </cell>
          <cell r="L38">
            <v>5</v>
          </cell>
          <cell r="M38">
            <v>5</v>
          </cell>
          <cell r="N38">
            <v>2</v>
          </cell>
          <cell r="O38" t="str">
            <v>2016-20 Distribution Determination</v>
          </cell>
          <cell r="P38" t="str">
            <v>43-45 Centreway</v>
          </cell>
          <cell r="R38" t="str">
            <v>MOUNT WAVERLEY</v>
          </cell>
          <cell r="S38" t="str">
            <v>Vic</v>
          </cell>
          <cell r="U38" t="str">
            <v>PO Box 449</v>
          </cell>
          <cell r="W38" t="str">
            <v>MOUNT WAVERLEY</v>
          </cell>
          <cell r="X38" t="str">
            <v>Vic</v>
          </cell>
          <cell r="AC38" t="str">
            <v>NO</v>
          </cell>
          <cell r="AD38" t="str">
            <v>NO</v>
          </cell>
          <cell r="AE38" t="str">
            <v>YES</v>
          </cell>
          <cell r="AF38" t="str">
            <v>NO</v>
          </cell>
          <cell r="AG38" t="str">
            <v>NO</v>
          </cell>
          <cell r="AI38" t="str">
            <v>CBD</v>
          </cell>
          <cell r="AJ38" t="str">
            <v>Urban</v>
          </cell>
          <cell r="AK38" t="str">
            <v>Short rural</v>
          </cell>
          <cell r="AL38" t="str">
            <v>Long rural</v>
          </cell>
          <cell r="AN38" t="str">
            <v>YES</v>
          </cell>
        </row>
        <row r="45">
          <cell r="B45" t="str">
            <v>ARR</v>
          </cell>
          <cell r="D45" t="str">
            <v>ANNUAL REPORTING</v>
          </cell>
          <cell r="E45">
            <v>1</v>
          </cell>
        </row>
        <row r="46">
          <cell r="B46" t="str">
            <v>CA</v>
          </cell>
          <cell r="D46" t="str">
            <v>CATEGORY ANALYSIS</v>
          </cell>
          <cell r="E46">
            <v>1</v>
          </cell>
        </row>
        <row r="47">
          <cell r="B47" t="str">
            <v>CESS</v>
          </cell>
          <cell r="D47" t="str">
            <v>CAPITLAL EXPENDITURE SHARING SCHEMING</v>
          </cell>
          <cell r="E47">
            <v>5</v>
          </cell>
        </row>
        <row r="48">
          <cell r="B48" t="str">
            <v>CPI</v>
          </cell>
          <cell r="D48" t="str">
            <v>CPI</v>
          </cell>
          <cell r="E48">
            <v>5</v>
          </cell>
        </row>
        <row r="49">
          <cell r="B49" t="str">
            <v>EB</v>
          </cell>
          <cell r="D49" t="str">
            <v>ECONOMIC BENCHMARKING</v>
          </cell>
          <cell r="E49">
            <v>1</v>
          </cell>
        </row>
        <row r="50">
          <cell r="B50" t="str">
            <v>Pricing</v>
          </cell>
          <cell r="D50" t="str">
            <v>PRICING PROPOSAL</v>
          </cell>
          <cell r="E50">
            <v>5</v>
          </cell>
        </row>
        <row r="51">
          <cell r="B51" t="str">
            <v>PTRM</v>
          </cell>
          <cell r="D51" t="str">
            <v>POST TAX REVENUE MODEL</v>
          </cell>
          <cell r="E51">
            <v>5</v>
          </cell>
        </row>
        <row r="52">
          <cell r="B52" t="str">
            <v>Reset</v>
          </cell>
          <cell r="D52" t="str">
            <v>REGULATORY REPORTING STATEMENT</v>
          </cell>
          <cell r="E52">
            <v>5</v>
          </cell>
        </row>
        <row r="53">
          <cell r="B53" t="str">
            <v>RFM</v>
          </cell>
          <cell r="D53" t="str">
            <v>ROLL FORWARD MODEL</v>
          </cell>
          <cell r="E53">
            <v>5</v>
          </cell>
        </row>
        <row r="54">
          <cell r="B54" t="str">
            <v>WACC</v>
          </cell>
          <cell r="D54" t="str">
            <v>WEIGHTED AVERAGE COST OF CAPITAL</v>
          </cell>
          <cell r="E54">
            <v>1</v>
          </cell>
        </row>
        <row r="59">
          <cell r="E59" t="e">
            <v>#N/A</v>
          </cell>
          <cell r="G59" t="e">
            <v>#N/A</v>
          </cell>
        </row>
        <row r="60">
          <cell r="E60" t="e">
            <v>#N/A</v>
          </cell>
          <cell r="G60" t="e">
            <v>#N/A</v>
          </cell>
          <cell r="I60" t="e">
            <v>#N/A</v>
          </cell>
        </row>
        <row r="61">
          <cell r="E61" t="e">
            <v>#N/A</v>
          </cell>
          <cell r="G61" t="e">
            <v>#N/A</v>
          </cell>
          <cell r="I61" t="e">
            <v>#N/A</v>
          </cell>
        </row>
        <row r="62">
          <cell r="E62" t="e">
            <v>#N/A</v>
          </cell>
          <cell r="G62" t="e">
            <v>#N/A</v>
          </cell>
          <cell r="I62" t="e">
            <v>#N/A</v>
          </cell>
        </row>
        <row r="63">
          <cell r="E63" t="e">
            <v>#N/A</v>
          </cell>
          <cell r="G63" t="e">
            <v>#N/A</v>
          </cell>
          <cell r="I63" t="e">
            <v>#N/A</v>
          </cell>
        </row>
        <row r="64">
          <cell r="E64" t="e">
            <v>#N/A</v>
          </cell>
          <cell r="G64" t="e">
            <v>#N/A</v>
          </cell>
          <cell r="I64" t="e">
            <v>#N/A</v>
          </cell>
        </row>
        <row r="65">
          <cell r="E65" t="e">
            <v>#N/A</v>
          </cell>
          <cell r="G65" t="e">
            <v>#N/A</v>
          </cell>
          <cell r="I65" t="e">
            <v>#N/A</v>
          </cell>
        </row>
        <row r="66">
          <cell r="E66" t="e">
            <v>#N/A</v>
          </cell>
          <cell r="G66" t="e">
            <v>#N/A</v>
          </cell>
          <cell r="I66" t="e">
            <v>#N/A</v>
          </cell>
        </row>
        <row r="67">
          <cell r="E67" t="e">
            <v>#N/A</v>
          </cell>
          <cell r="G67" t="e">
            <v>#N/A</v>
          </cell>
          <cell r="I67" t="e">
            <v>#N/A</v>
          </cell>
        </row>
        <row r="68">
          <cell r="E68" t="e">
            <v>#N/A</v>
          </cell>
          <cell r="G68" t="e">
            <v>#N/A</v>
          </cell>
          <cell r="I68" t="e">
            <v>#N/A</v>
          </cell>
        </row>
        <row r="69">
          <cell r="E69" t="e">
            <v>#N/A</v>
          </cell>
          <cell r="G69" t="e">
            <v>#N/A</v>
          </cell>
          <cell r="I69" t="e">
            <v>#N/A</v>
          </cell>
        </row>
        <row r="70">
          <cell r="E70" t="e">
            <v>#N/A</v>
          </cell>
          <cell r="G70" t="e">
            <v>#N/A</v>
          </cell>
          <cell r="I70" t="e">
            <v>#N/A</v>
          </cell>
        </row>
        <row r="71">
          <cell r="E71" t="e">
            <v>#N/A</v>
          </cell>
          <cell r="G71" t="e">
            <v>#N/A</v>
          </cell>
          <cell r="I71" t="e">
            <v>#N/A</v>
          </cell>
        </row>
        <row r="72">
          <cell r="E72" t="e">
            <v>#N/A</v>
          </cell>
          <cell r="G72" t="e">
            <v>#N/A</v>
          </cell>
          <cell r="I72" t="e">
            <v>#N/A</v>
          </cell>
        </row>
        <row r="73">
          <cell r="E73" t="e">
            <v>#N/A</v>
          </cell>
          <cell r="G73" t="e">
            <v>#N/A</v>
          </cell>
          <cell r="I73" t="e">
            <v>#N/A</v>
          </cell>
        </row>
      </sheetData>
      <sheetData sheetId="2">
        <row r="10">
          <cell r="C10" t="str">
            <v>PTRM</v>
          </cell>
        </row>
        <row r="13">
          <cell r="C13" t="str">
            <v>Public</v>
          </cell>
        </row>
        <row r="20">
          <cell r="C20" t="str">
            <v>Distribution</v>
          </cell>
        </row>
        <row r="22">
          <cell r="C22" t="str">
            <v>Calendar</v>
          </cell>
        </row>
        <row r="28">
          <cell r="C28" t="str">
            <v>CRY not present</v>
          </cell>
        </row>
        <row r="29">
          <cell r="C29" t="str">
            <v>December</v>
          </cell>
        </row>
        <row r="35">
          <cell r="C35" t="str">
            <v>2020-21</v>
          </cell>
        </row>
        <row r="37">
          <cell r="C37">
            <v>0</v>
          </cell>
        </row>
        <row r="38">
          <cell r="C38" t="e">
            <v>#N/A</v>
          </cell>
        </row>
        <row r="39">
          <cell r="C39" t="e">
            <v>#N/A</v>
          </cell>
        </row>
        <row r="40">
          <cell r="C40" t="e">
            <v>#N/A</v>
          </cell>
        </row>
        <row r="41">
          <cell r="C41" t="e">
            <v>#N/A</v>
          </cell>
        </row>
        <row r="45">
          <cell r="C45" t="e">
            <v>#N/A</v>
          </cell>
        </row>
        <row r="46">
          <cell r="C46" t="e">
            <v>#N/A</v>
          </cell>
        </row>
        <row r="47">
          <cell r="C47" t="e">
            <v>#N/A</v>
          </cell>
        </row>
        <row r="48">
          <cell r="C48" t="e">
            <v>#N/A</v>
          </cell>
        </row>
        <row r="50">
          <cell r="C50" t="e">
            <v>#N/A</v>
          </cell>
        </row>
        <row r="51">
          <cell r="C51" t="e">
            <v>#N/A</v>
          </cell>
        </row>
        <row r="52">
          <cell r="C52">
            <v>0</v>
          </cell>
        </row>
        <row r="53">
          <cell r="C53" t="e">
            <v>#N/A</v>
          </cell>
        </row>
        <row r="54">
          <cell r="C54">
            <v>0</v>
          </cell>
        </row>
        <row r="55">
          <cell r="C55">
            <v>5</v>
          </cell>
        </row>
        <row r="56">
          <cell r="C56" t="e">
            <v>#N/A</v>
          </cell>
        </row>
        <row r="57">
          <cell r="C57" t="e">
            <v>#N/A</v>
          </cell>
        </row>
        <row r="58">
          <cell r="C58">
            <v>0</v>
          </cell>
        </row>
        <row r="59">
          <cell r="C59" t="e">
            <v>#N/A</v>
          </cell>
        </row>
        <row r="61">
          <cell r="C61" t="str">
            <v>No</v>
          </cell>
        </row>
        <row r="62">
          <cell r="C62">
            <v>0</v>
          </cell>
        </row>
        <row r="63">
          <cell r="C63" t="str">
            <v>not a Multiple year submission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1">
          <cell r="C71">
            <v>0</v>
          </cell>
        </row>
        <row r="72">
          <cell r="C72">
            <v>0</v>
          </cell>
        </row>
        <row r="73">
          <cell r="C73">
            <v>0</v>
          </cell>
        </row>
        <row r="74">
          <cell r="C74" t="str">
            <v>no</v>
          </cell>
        </row>
        <row r="89">
          <cell r="C89" t="str">
            <v>no</v>
          </cell>
        </row>
        <row r="91">
          <cell r="C91" t="str">
            <v>not a CA</v>
          </cell>
        </row>
        <row r="97">
          <cell r="C97" t="str">
            <v>dms_LeapYear not present</v>
          </cell>
        </row>
        <row r="98">
          <cell r="C98">
            <v>1826</v>
          </cell>
        </row>
        <row r="99">
          <cell r="C99">
            <v>365</v>
          </cell>
        </row>
        <row r="105">
          <cell r="C105" t="e">
            <v>#N/A</v>
          </cell>
        </row>
        <row r="110">
          <cell r="C110">
            <v>12</v>
          </cell>
        </row>
        <row r="111">
          <cell r="C111" t="str">
            <v>0</v>
          </cell>
        </row>
        <row r="124">
          <cell r="C124" t="str">
            <v>NO</v>
          </cell>
        </row>
      </sheetData>
      <sheetData sheetId="3">
        <row r="16">
          <cell r="AL16" t="str">
            <v>Powercor Australia</v>
          </cell>
        </row>
        <row r="24">
          <cell r="BQ24" t="str">
            <v/>
          </cell>
        </row>
        <row r="42">
          <cell r="AR42" t="str">
            <v>2020-21</v>
          </cell>
        </row>
        <row r="61">
          <cell r="AR61" t="str">
            <v>Revised regulatory proposal</v>
          </cell>
        </row>
        <row r="63">
          <cell r="AR63" t="str">
            <v>Consolidated</v>
          </cell>
        </row>
        <row r="65">
          <cell r="AR65" t="str">
            <v>Public</v>
          </cell>
        </row>
        <row r="67">
          <cell r="AR67" t="str">
            <v>.</v>
          </cell>
        </row>
        <row r="71">
          <cell r="AR71" t="str">
            <v>dd/mm/yy</v>
          </cell>
        </row>
      </sheetData>
      <sheetData sheetId="4" refreshError="1"/>
      <sheetData sheetId="5" refreshError="1"/>
      <sheetData sheetId="6" refreshError="1"/>
      <sheetData sheetId="7" refreshError="1"/>
      <sheetData sheetId="8">
        <row r="7">
          <cell r="G7" t="str">
            <v>Subtransmission</v>
          </cell>
          <cell r="J7">
            <v>631.04529082324132</v>
          </cell>
          <cell r="L7" t="str">
            <v>n/a</v>
          </cell>
          <cell r="M7">
            <v>50</v>
          </cell>
          <cell r="N7">
            <v>588.22749886208192</v>
          </cell>
          <cell r="O7">
            <v>36.096971341800831</v>
          </cell>
          <cell r="P7">
            <v>44</v>
          </cell>
        </row>
        <row r="8">
          <cell r="G8" t="str">
            <v>Distribution system assets</v>
          </cell>
          <cell r="J8">
            <v>3189.3007731464468</v>
          </cell>
          <cell r="L8" t="str">
            <v>n/a</v>
          </cell>
          <cell r="M8">
            <v>51</v>
          </cell>
          <cell r="N8">
            <v>2844.44520079329</v>
          </cell>
          <cell r="O8">
            <v>33.115178900756604</v>
          </cell>
          <cell r="P8">
            <v>46</v>
          </cell>
        </row>
        <row r="9">
          <cell r="G9" t="str">
            <v>Public lighting</v>
          </cell>
          <cell r="J9">
            <v>4.4723309350486717</v>
          </cell>
          <cell r="L9" t="str">
            <v>n/a</v>
          </cell>
          <cell r="M9" t="str">
            <v>n/a</v>
          </cell>
          <cell r="N9">
            <v>0</v>
          </cell>
          <cell r="O9" t="str">
            <v>n/a</v>
          </cell>
          <cell r="P9" t="str">
            <v>n/a</v>
          </cell>
        </row>
        <row r="10">
          <cell r="G10" t="str">
            <v>SCADA/Network control</v>
          </cell>
          <cell r="J10">
            <v>94.880621880475545</v>
          </cell>
          <cell r="L10" t="str">
            <v>n/a</v>
          </cell>
          <cell r="M10">
            <v>13</v>
          </cell>
          <cell r="N10">
            <v>92.255105258856361</v>
          </cell>
          <cell r="O10">
            <v>7.8415205629197224</v>
          </cell>
          <cell r="P10">
            <v>10</v>
          </cell>
        </row>
        <row r="11">
          <cell r="G11" t="str">
            <v>Non-network general assets - IT</v>
          </cell>
          <cell r="J11">
            <v>92.539182414076151</v>
          </cell>
          <cell r="L11" t="str">
            <v>n/a</v>
          </cell>
          <cell r="M11">
            <v>6</v>
          </cell>
          <cell r="N11">
            <v>75.264308099692343</v>
          </cell>
          <cell r="O11">
            <v>3.0666984687542076</v>
          </cell>
          <cell r="P11">
            <v>4</v>
          </cell>
        </row>
        <row r="12">
          <cell r="G12" t="str">
            <v>Non-network general assets - Other</v>
          </cell>
          <cell r="J12">
            <v>261.23494839233194</v>
          </cell>
          <cell r="L12" t="str">
            <v>n/a</v>
          </cell>
          <cell r="M12">
            <v>15</v>
          </cell>
          <cell r="N12">
            <v>202.08912310450614</v>
          </cell>
          <cell r="O12">
            <v>9.1247954328509184</v>
          </cell>
          <cell r="P12">
            <v>12</v>
          </cell>
        </row>
        <row r="13">
          <cell r="G13" t="str">
            <v>VBRC</v>
          </cell>
          <cell r="J13">
            <v>148.80063728106239</v>
          </cell>
          <cell r="L13" t="str">
            <v>n/a</v>
          </cell>
          <cell r="M13" t="str">
            <v>n/a</v>
          </cell>
          <cell r="N13">
            <v>122.79160461036743</v>
          </cell>
          <cell r="O13">
            <v>39.420854904383994</v>
          </cell>
          <cell r="P13" t="str">
            <v>n/a</v>
          </cell>
        </row>
        <row r="14">
          <cell r="G14" t="str">
            <v>Land</v>
          </cell>
          <cell r="J14">
            <v>24.567221756643605</v>
          </cell>
          <cell r="L14" t="str">
            <v>n/a</v>
          </cell>
          <cell r="M14" t="str">
            <v>n/a</v>
          </cell>
          <cell r="N14">
            <v>32.328517100954855</v>
          </cell>
          <cell r="O14" t="str">
            <v>n/a</v>
          </cell>
          <cell r="P14" t="str">
            <v>n/a</v>
          </cell>
        </row>
        <row r="15">
          <cell r="G15" t="str">
            <v>Accelerated depreciation assets</v>
          </cell>
          <cell r="J15">
            <v>29.487319101720015</v>
          </cell>
          <cell r="L15" t="str">
            <v>n/a</v>
          </cell>
          <cell r="M15" t="str">
            <v>n/a</v>
          </cell>
          <cell r="N15">
            <v>25.483147326122086</v>
          </cell>
          <cell r="O15">
            <v>5</v>
          </cell>
          <cell r="P15" t="str">
            <v>n/a</v>
          </cell>
        </row>
        <row r="55">
          <cell r="G55" t="str">
            <v>In-house software</v>
          </cell>
          <cell r="L55" t="str">
            <v>n/a</v>
          </cell>
          <cell r="M55">
            <v>5</v>
          </cell>
          <cell r="P55">
            <v>5</v>
          </cell>
        </row>
        <row r="56">
          <cell r="G56" t="str">
            <v>Equity raising costs</v>
          </cell>
          <cell r="J56">
            <v>20.611356057227599</v>
          </cell>
          <cell r="L56" t="str">
            <v>n/a</v>
          </cell>
          <cell r="M56">
            <v>40.437232534320437</v>
          </cell>
          <cell r="N56">
            <v>3.1015406454458017</v>
          </cell>
          <cell r="O56">
            <v>3.0055397614778259</v>
          </cell>
          <cell r="P56">
            <v>5</v>
          </cell>
        </row>
        <row r="57">
          <cell r="J57">
            <v>4496.9396817882744</v>
          </cell>
        </row>
        <row r="110">
          <cell r="G110">
            <v>0.13685527505287665</v>
          </cell>
        </row>
        <row r="373">
          <cell r="G373">
            <v>2.3743086789108414E-2</v>
          </cell>
        </row>
        <row r="375">
          <cell r="G375">
            <v>0.58499999999999996</v>
          </cell>
        </row>
        <row r="376">
          <cell r="G376">
            <v>0.6</v>
          </cell>
        </row>
        <row r="386">
          <cell r="G386">
            <v>0.9</v>
          </cell>
        </row>
        <row r="387">
          <cell r="G387">
            <v>0.03</v>
          </cell>
        </row>
        <row r="388">
          <cell r="G388">
            <v>0.01</v>
          </cell>
        </row>
        <row r="389">
          <cell r="G389">
            <v>0.3</v>
          </cell>
        </row>
        <row r="390">
          <cell r="G390">
            <v>7.9106106888880028E-4</v>
          </cell>
        </row>
      </sheetData>
      <sheetData sheetId="9">
        <row r="18">
          <cell r="G18">
            <v>4.5902498875882172E-2</v>
          </cell>
          <cell r="H18">
            <v>4.4323538630180841E-2</v>
          </cell>
          <cell r="I18">
            <v>4.2744578384479509E-2</v>
          </cell>
          <cell r="J18">
            <v>4.1165618138778171E-2</v>
          </cell>
          <cell r="K18">
            <v>3.9586657893076839E-2</v>
          </cell>
          <cell r="L18">
            <v>3.9586657893076839E-2</v>
          </cell>
          <cell r="M18">
            <v>3.9586657893076839E-2</v>
          </cell>
          <cell r="N18">
            <v>3.9586657893076839E-2</v>
          </cell>
          <cell r="O18">
            <v>3.9586657893076839E-2</v>
          </cell>
          <cell r="P18">
            <v>3.9586657893076839E-2</v>
          </cell>
        </row>
        <row r="19">
          <cell r="G19">
            <v>2.1645481539978119E-2</v>
          </cell>
          <cell r="H19">
            <v>2.010314121448329E-2</v>
          </cell>
          <cell r="I19">
            <v>1.8560800888988462E-2</v>
          </cell>
          <cell r="J19">
            <v>1.7018460563493765E-2</v>
          </cell>
          <cell r="K19">
            <v>1.5476120237998936E-2</v>
          </cell>
          <cell r="L19">
            <v>1.5476120237998936E-2</v>
          </cell>
          <cell r="M19">
            <v>1.5476120237998936E-2</v>
          </cell>
          <cell r="N19">
            <v>1.5476120237998936E-2</v>
          </cell>
          <cell r="O19">
            <v>1.5476120237998936E-2</v>
          </cell>
          <cell r="P19">
            <v>1.5476120237998936E-2</v>
          </cell>
        </row>
      </sheetData>
      <sheetData sheetId="10" refreshError="1"/>
      <sheetData sheetId="11" refreshError="1"/>
      <sheetData sheetId="12" refreshError="1"/>
      <sheetData sheetId="13">
        <row r="47">
          <cell r="G47">
            <v>4.4951852278776558E-2</v>
          </cell>
          <cell r="H47">
            <v>5.1317375234451124E-2</v>
          </cell>
          <cell r="I47">
            <v>5.1430044323603416E-2</v>
          </cell>
          <cell r="J47">
            <v>5.1541631367058055E-2</v>
          </cell>
          <cell r="K47">
            <v>5.1652120914944956E-2</v>
          </cell>
          <cell r="L47">
            <v>3.7695543741994617E-2</v>
          </cell>
          <cell r="M47">
            <v>3.7695543741994617E-2</v>
          </cell>
          <cell r="N47">
            <v>3.7695543741994617E-2</v>
          </cell>
          <cell r="O47">
            <v>3.7695543741994617E-2</v>
          </cell>
          <cell r="P47">
            <v>3.7695543741994617E-2</v>
          </cell>
        </row>
        <row r="63">
          <cell r="G63">
            <v>9.4555556169120009E-2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-8.8870940887622717E-3</v>
          </cell>
          <cell r="M63">
            <v>-8.8870940887622717E-3</v>
          </cell>
          <cell r="N63">
            <v>-8.8870940887622717E-3</v>
          </cell>
          <cell r="O63">
            <v>-8.8870940887622717E-3</v>
          </cell>
          <cell r="P63">
            <v>-8.8870940887622717E-3</v>
          </cell>
        </row>
        <row r="83"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</sheetData>
      <sheetData sheetId="14" refreshError="1"/>
      <sheetData sheetId="15">
        <row r="54">
          <cell r="Q54">
            <v>0.13685527505287665</v>
          </cell>
        </row>
      </sheetData>
      <sheetData sheetId="16" refreshError="1"/>
      <sheetData sheetId="17" refreshError="1"/>
      <sheetData sheetId="1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1"/>
  </sheetPr>
  <dimension ref="A1:AU39"/>
  <sheetViews>
    <sheetView showGridLines="0" workbookViewId="0"/>
  </sheetViews>
  <sheetFormatPr defaultColWidth="0" defaultRowHeight="11.25" zeroHeight="1"/>
  <cols>
    <col min="1" max="2" width="1.5" style="8" customWidth="1"/>
    <col min="3" max="3" width="30.83203125" style="8" customWidth="1"/>
    <col min="4" max="4" width="163.83203125" style="8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203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41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62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0</v>
      </c>
      <c r="D6" s="9" t="s">
        <v>1</v>
      </c>
    </row>
    <row r="7" spans="1:47">
      <c r="C7" s="19" t="s">
        <v>60</v>
      </c>
      <c r="D7" s="7" t="s">
        <v>61</v>
      </c>
    </row>
    <row r="8" spans="1:47">
      <c r="C8" s="19" t="s">
        <v>35</v>
      </c>
      <c r="D8" s="7" t="s">
        <v>95</v>
      </c>
    </row>
    <row r="9" spans="1:47">
      <c r="C9" s="19" t="s">
        <v>56</v>
      </c>
      <c r="D9" s="7" t="s">
        <v>57</v>
      </c>
    </row>
    <row r="10" spans="1:47">
      <c r="C10" s="19" t="s">
        <v>193</v>
      </c>
      <c r="D10" s="7" t="s">
        <v>180</v>
      </c>
    </row>
    <row r="11" spans="1:47">
      <c r="C11" s="19" t="s">
        <v>59</v>
      </c>
      <c r="D11" s="7" t="s">
        <v>50</v>
      </c>
    </row>
    <row r="12" spans="1:47">
      <c r="C12" s="19" t="s">
        <v>194</v>
      </c>
      <c r="D12" s="7" t="s">
        <v>181</v>
      </c>
    </row>
    <row r="13" spans="1:47">
      <c r="C13" s="19" t="s">
        <v>195</v>
      </c>
      <c r="D13" s="7" t="s">
        <v>182</v>
      </c>
    </row>
    <row r="14" spans="1:47">
      <c r="C14" s="19" t="s">
        <v>52</v>
      </c>
      <c r="D14" s="7" t="s">
        <v>58</v>
      </c>
    </row>
    <row r="15" spans="1:47">
      <c r="C15" s="19" t="s">
        <v>25</v>
      </c>
      <c r="D15" s="7" t="s">
        <v>51</v>
      </c>
    </row>
    <row r="16" spans="1:47" ht="12.75">
      <c r="C16" s="10"/>
      <c r="D16" s="7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D18" s="7"/>
      <c r="F18" s="25"/>
    </row>
    <row r="19" spans="1:47" hidden="1">
      <c r="D19" s="7"/>
      <c r="F19" s="25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C23" s="7"/>
      <c r="D23" s="7"/>
      <c r="F23" s="25"/>
    </row>
    <row r="24" spans="1:47" hidden="1">
      <c r="C24" s="7"/>
      <c r="D24" s="7"/>
      <c r="F24" s="25"/>
    </row>
    <row r="25" spans="1:47" hidden="1">
      <c r="C25" s="7"/>
      <c r="D25" s="7"/>
    </row>
    <row r="26" spans="1:47" hidden="1">
      <c r="D26" s="7"/>
    </row>
    <row r="27" spans="1:47" hidden="1"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t="12.75" hidden="1">
      <c r="C31" s="10"/>
      <c r="D31" s="7"/>
    </row>
    <row r="32" spans="1:47" hidden="1"/>
    <row r="33" hidden="1"/>
    <row r="34" hidden="1"/>
    <row r="35" hidden="1"/>
    <row r="36" hidden="1"/>
    <row r="37" hidden="1"/>
    <row r="38" hidden="1"/>
    <row r="39" hidden="1"/>
  </sheetData>
  <hyperlinks>
    <hyperlink ref="C12" location="'Calc|Opex forecast'!A1" display="Calc | Opex Forecast_final" xr:uid="{00000000-0004-0000-0000-000000000000}"/>
    <hyperlink ref="C14" location="'Lookup|Tables'!A1" display="Lookup | Tables" xr:uid="{00000000-0004-0000-0000-000001000000}"/>
    <hyperlink ref="C15" location="'Check|List'!A1" display="Check | List" xr:uid="{00000000-0004-0000-0000-000002000000}"/>
    <hyperlink ref="C7" location="'Input|General'!A1" display="Input | General" xr:uid="{00000000-0004-0000-0000-000003000000}"/>
    <hyperlink ref="C9" location="'Input|Reported opex'!A1" display="Input | Reported opex" xr:uid="{00000000-0004-0000-0000-000004000000}"/>
    <hyperlink ref="C10" location="'Input|Rate of change'!A1" display="Input | Rate of change_final" xr:uid="{00000000-0004-0000-0000-000005000000}"/>
    <hyperlink ref="C11" location="'Input|Step changes'!A1" display="Input | Step changes" xr:uid="{00000000-0004-0000-0000-000006000000}"/>
    <hyperlink ref="C8" location="'Input|Inflation'!A1" display="Input | Inflation" xr:uid="{00000000-0004-0000-0000-000007000000}"/>
    <hyperlink ref="C13" location="'Output|Models'!A1" display="Output | Models" xr:uid="{00000000-0004-0000-0000-000008000000}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E3D6C-7C1A-476F-9A10-63BBC263CA45}">
  <sheetPr codeName="Sheet4">
    <tabColor rgb="FF00FFFF"/>
  </sheetPr>
  <dimension ref="A1:D33"/>
  <sheetViews>
    <sheetView showGridLines="0" workbookViewId="0">
      <selection activeCell="A30" sqref="A30:F33"/>
    </sheetView>
  </sheetViews>
  <sheetFormatPr defaultRowHeight="12.75"/>
  <cols>
    <col min="1" max="1" width="28.83203125" style="222" customWidth="1"/>
    <col min="2" max="2" width="22" style="222" customWidth="1"/>
    <col min="3" max="3" width="34.33203125" style="222" customWidth="1"/>
    <col min="4" max="4" width="69.1640625" style="222" bestFit="1" customWidth="1"/>
    <col min="5" max="16384" width="9.33203125" style="222"/>
  </cols>
  <sheetData>
    <row r="1" spans="1:4">
      <c r="A1" s="248" t="s">
        <v>260</v>
      </c>
      <c r="B1" s="248"/>
    </row>
    <row r="3" spans="1:4">
      <c r="A3" s="223" t="s">
        <v>27</v>
      </c>
      <c r="B3" s="223" t="s">
        <v>209</v>
      </c>
      <c r="C3" s="223" t="s">
        <v>210</v>
      </c>
      <c r="D3" s="223" t="s">
        <v>210</v>
      </c>
    </row>
    <row r="4" spans="1:4">
      <c r="A4" s="226" t="s">
        <v>226</v>
      </c>
      <c r="B4" s="226" t="s">
        <v>227</v>
      </c>
      <c r="C4" s="226" t="s">
        <v>228</v>
      </c>
      <c r="D4" s="225"/>
    </row>
    <row r="5" spans="1:4">
      <c r="A5" s="222" t="s">
        <v>211</v>
      </c>
      <c r="B5" s="222" t="s">
        <v>230</v>
      </c>
      <c r="C5" s="222" t="s">
        <v>236</v>
      </c>
      <c r="D5" s="222" t="s">
        <v>237</v>
      </c>
    </row>
    <row r="6" spans="1:4">
      <c r="A6" s="222" t="s">
        <v>211</v>
      </c>
      <c r="B6" s="226" t="s">
        <v>242</v>
      </c>
      <c r="C6" s="226" t="s">
        <v>243</v>
      </c>
      <c r="D6" s="225"/>
    </row>
    <row r="7" spans="1:4">
      <c r="A7" s="222" t="s">
        <v>211</v>
      </c>
      <c r="B7" s="222" t="s">
        <v>229</v>
      </c>
      <c r="C7" s="222" t="s">
        <v>212</v>
      </c>
      <c r="D7" s="222" t="s">
        <v>231</v>
      </c>
    </row>
    <row r="8" spans="1:4">
      <c r="A8" s="222" t="s">
        <v>211</v>
      </c>
      <c r="B8" s="222" t="s">
        <v>244</v>
      </c>
      <c r="C8" s="222" t="s">
        <v>233</v>
      </c>
      <c r="D8" s="222" t="s">
        <v>245</v>
      </c>
    </row>
    <row r="9" spans="1:4">
      <c r="A9" s="222" t="s">
        <v>211</v>
      </c>
      <c r="B9" s="222" t="s">
        <v>248</v>
      </c>
      <c r="C9" s="222" t="s">
        <v>239</v>
      </c>
      <c r="D9" s="222" t="s">
        <v>249</v>
      </c>
    </row>
    <row r="10" spans="1:4">
      <c r="A10" s="222" t="s">
        <v>211</v>
      </c>
      <c r="B10" s="222" t="s">
        <v>246</v>
      </c>
      <c r="C10" s="222" t="s">
        <v>212</v>
      </c>
      <c r="D10" s="222" t="s">
        <v>235</v>
      </c>
    </row>
    <row r="11" spans="1:4">
      <c r="A11" s="222" t="s">
        <v>211</v>
      </c>
      <c r="B11" s="222" t="s">
        <v>247</v>
      </c>
      <c r="C11" s="222" t="s">
        <v>233</v>
      </c>
      <c r="D11" s="222" t="s">
        <v>234</v>
      </c>
    </row>
    <row r="12" spans="1:4">
      <c r="A12" s="222" t="s">
        <v>211</v>
      </c>
      <c r="B12" s="222" t="s">
        <v>250</v>
      </c>
      <c r="C12" s="222" t="s">
        <v>239</v>
      </c>
      <c r="D12" s="222" t="s">
        <v>251</v>
      </c>
    </row>
    <row r="13" spans="1:4">
      <c r="A13" s="222" t="s">
        <v>213</v>
      </c>
      <c r="B13" s="222" t="s">
        <v>214</v>
      </c>
      <c r="C13" s="222" t="s">
        <v>79</v>
      </c>
      <c r="D13" s="222" t="s">
        <v>215</v>
      </c>
    </row>
    <row r="14" spans="1:4">
      <c r="A14" s="222" t="s">
        <v>213</v>
      </c>
      <c r="B14" s="222" t="s">
        <v>216</v>
      </c>
      <c r="C14" s="222" t="s">
        <v>79</v>
      </c>
      <c r="D14" s="222" t="s">
        <v>217</v>
      </c>
    </row>
    <row r="15" spans="1:4">
      <c r="A15" s="222" t="s">
        <v>213</v>
      </c>
      <c r="B15" s="222" t="s">
        <v>218</v>
      </c>
      <c r="C15" s="222" t="s">
        <v>79</v>
      </c>
      <c r="D15" s="222" t="s">
        <v>219</v>
      </c>
    </row>
    <row r="16" spans="1:4">
      <c r="A16" s="222" t="s">
        <v>220</v>
      </c>
      <c r="B16" s="222" t="s">
        <v>252</v>
      </c>
      <c r="C16" s="222" t="s">
        <v>102</v>
      </c>
      <c r="D16" s="224" t="s">
        <v>221</v>
      </c>
    </row>
    <row r="17" spans="1:4">
      <c r="A17" s="222" t="s">
        <v>220</v>
      </c>
      <c r="B17" s="222" t="s">
        <v>253</v>
      </c>
      <c r="C17" s="222" t="s">
        <v>254</v>
      </c>
      <c r="D17" s="222" t="s">
        <v>255</v>
      </c>
    </row>
    <row r="18" spans="1:4">
      <c r="A18" s="222" t="s">
        <v>220</v>
      </c>
      <c r="B18" s="222" t="s">
        <v>222</v>
      </c>
      <c r="C18" s="222" t="s">
        <v>39</v>
      </c>
      <c r="D18" s="222" t="s">
        <v>223</v>
      </c>
    </row>
    <row r="19" spans="1:4" ht="15">
      <c r="A19" s="239"/>
    </row>
    <row r="22" spans="1:4">
      <c r="A22" s="246" t="s">
        <v>257</v>
      </c>
      <c r="B22" s="247"/>
    </row>
    <row r="24" spans="1:4">
      <c r="A24" s="223" t="s">
        <v>27</v>
      </c>
      <c r="B24" s="223" t="s">
        <v>209</v>
      </c>
      <c r="C24" s="223" t="s">
        <v>210</v>
      </c>
      <c r="D24" s="223"/>
    </row>
    <row r="25" spans="1:4">
      <c r="A25" s="222" t="s">
        <v>220</v>
      </c>
      <c r="B25" s="222" t="s">
        <v>259</v>
      </c>
      <c r="C25" s="222" t="s">
        <v>254</v>
      </c>
      <c r="D25" s="222" t="s">
        <v>258</v>
      </c>
    </row>
    <row r="30" spans="1:4">
      <c r="A30" s="253" t="s">
        <v>261</v>
      </c>
      <c r="B30" s="254"/>
    </row>
    <row r="32" spans="1:4">
      <c r="A32" s="223" t="s">
        <v>27</v>
      </c>
      <c r="B32" s="223" t="s">
        <v>209</v>
      </c>
      <c r="C32" s="223" t="s">
        <v>210</v>
      </c>
      <c r="D32" s="223"/>
    </row>
    <row r="33" spans="1:4">
      <c r="A33" s="222" t="s">
        <v>220</v>
      </c>
      <c r="B33" s="222" t="s">
        <v>262</v>
      </c>
      <c r="C33" s="222" t="s">
        <v>263</v>
      </c>
      <c r="D33" s="222" t="s">
        <v>264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FF99"/>
  </sheetPr>
  <dimension ref="A1:AU29"/>
  <sheetViews>
    <sheetView showGridLines="0" zoomScaleNormal="100" workbookViewId="0">
      <selection activeCell="G1" sqref="G1"/>
    </sheetView>
  </sheetViews>
  <sheetFormatPr defaultColWidth="0" defaultRowHeight="11.25" zeroHeight="1"/>
  <cols>
    <col min="1" max="2" width="1.5" style="29" customWidth="1"/>
    <col min="3" max="3" width="42" style="29" customWidth="1"/>
    <col min="4" max="4" width="11.1640625" style="30" customWidth="1"/>
    <col min="5" max="6" width="3.33203125" style="30" customWidth="1"/>
    <col min="7" max="7" width="16.1640625" style="30" bestFit="1" customWidth="1"/>
    <col min="8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P1" s="227" t="s">
        <v>225</v>
      </c>
      <c r="R1" s="72" t="s">
        <v>81</v>
      </c>
      <c r="S1" s="76" t="str">
        <f>IF(COUNTA($S$5:$S$17)=COUNTIF($S5:$S18,"OK"),"OK","Check")</f>
        <v>OK</v>
      </c>
      <c r="U1" s="185" t="s">
        <v>24</v>
      </c>
      <c r="V1" s="76" t="str">
        <f>'Check|List'!$S$1</f>
        <v>Check</v>
      </c>
    </row>
    <row r="2" spans="1:47" s="77" customFormat="1" ht="13.5" thickBot="1">
      <c r="B2" s="78" t="str">
        <f>Index!$C$7</f>
        <v>Input | General</v>
      </c>
      <c r="C2" s="78"/>
      <c r="D2" s="78"/>
      <c r="E2" s="78"/>
      <c r="F2" s="79"/>
      <c r="G2" s="79"/>
      <c r="H2" s="79"/>
      <c r="I2" s="79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3" customFormat="1" ht="12.75">
      <c r="A4" s="94"/>
      <c r="B4" s="95" t="s">
        <v>92</v>
      </c>
      <c r="C4" s="94"/>
      <c r="D4" s="94"/>
      <c r="E4" s="94"/>
      <c r="F4" s="96"/>
      <c r="G4" s="96"/>
      <c r="H4" s="96"/>
      <c r="I4" s="96"/>
      <c r="J4" s="97"/>
      <c r="K4" s="98"/>
      <c r="L4" s="97"/>
      <c r="M4" s="98"/>
      <c r="N4" s="97"/>
      <c r="O4" s="97"/>
      <c r="P4" s="97"/>
      <c r="Q4" s="97"/>
      <c r="R4" s="97"/>
      <c r="S4" s="97"/>
      <c r="T4" s="97"/>
      <c r="U4" s="97"/>
      <c r="V4" s="98"/>
      <c r="W4" s="98"/>
      <c r="X4" s="99"/>
      <c r="Y4" s="99"/>
      <c r="Z4" s="99"/>
      <c r="AA4" s="99"/>
      <c r="AB4" s="100"/>
      <c r="AC4" s="101"/>
      <c r="AD4" s="101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</row>
    <row r="5" spans="1:47"/>
    <row r="6" spans="1:47">
      <c r="C6" s="31" t="s">
        <v>93</v>
      </c>
      <c r="D6" s="32" t="s">
        <v>7</v>
      </c>
      <c r="E6" s="32"/>
      <c r="F6" s="33"/>
      <c r="G6" s="33" t="s">
        <v>66</v>
      </c>
      <c r="H6" s="33"/>
      <c r="I6" s="29"/>
    </row>
    <row r="7" spans="1:47">
      <c r="C7" s="29" t="s">
        <v>63</v>
      </c>
      <c r="D7" s="30" t="s">
        <v>67</v>
      </c>
      <c r="E7" s="29"/>
      <c r="F7" s="29"/>
      <c r="G7" s="52" t="s">
        <v>208</v>
      </c>
      <c r="H7" s="29"/>
      <c r="I7" s="29"/>
      <c r="S7" s="131" t="str">
        <f>IF(COUNTBLANK($G7),"Check","Ok")</f>
        <v>Ok</v>
      </c>
    </row>
    <row r="8" spans="1:47">
      <c r="C8" s="29" t="s">
        <v>133</v>
      </c>
      <c r="D8" s="30" t="s">
        <v>68</v>
      </c>
      <c r="E8" s="29"/>
      <c r="F8" s="29"/>
      <c r="G8" s="242" t="s">
        <v>241</v>
      </c>
      <c r="H8" s="29"/>
      <c r="I8" s="29"/>
      <c r="S8" s="131" t="str">
        <f>IF(COUNTBLANK($G8),"Check","Ok")</f>
        <v>Ok</v>
      </c>
    </row>
    <row r="9" spans="1:47">
      <c r="C9" s="29" t="s">
        <v>189</v>
      </c>
      <c r="D9" s="30" t="s">
        <v>67</v>
      </c>
      <c r="E9" s="29"/>
      <c r="F9" s="29"/>
      <c r="G9" s="151">
        <v>36861</v>
      </c>
      <c r="H9" s="29"/>
      <c r="I9" s="29"/>
      <c r="S9" s="131" t="str">
        <f>IF(COUNTBLANK($G9),"Check","Ok")</f>
        <v>Ok</v>
      </c>
    </row>
    <row r="10" spans="1:47">
      <c r="C10" s="29" t="s">
        <v>190</v>
      </c>
      <c r="D10" s="30" t="s">
        <v>67</v>
      </c>
      <c r="E10" s="29"/>
      <c r="F10" s="29"/>
      <c r="G10" s="151">
        <v>36678</v>
      </c>
      <c r="H10" s="29"/>
      <c r="I10" s="29"/>
      <c r="S10" s="131" t="str">
        <f>IF(COUNTBLANK($G10),"Check","Ok")</f>
        <v>Ok</v>
      </c>
    </row>
    <row r="11" spans="1:47">
      <c r="C11" s="29" t="s">
        <v>191</v>
      </c>
      <c r="D11" s="30" t="s">
        <v>67</v>
      </c>
      <c r="E11" s="29"/>
      <c r="F11" s="29"/>
      <c r="G11" s="152">
        <v>2016</v>
      </c>
      <c r="H11" s="29"/>
      <c r="I11" s="29"/>
      <c r="S11" s="131" t="str">
        <f>IF(COUNTBLANK($G11),"Check","Ok")</f>
        <v>Ok</v>
      </c>
    </row>
    <row r="12" spans="1:47">
      <c r="C12" s="29" t="s">
        <v>70</v>
      </c>
      <c r="D12" s="30" t="s">
        <v>67</v>
      </c>
      <c r="E12" s="29"/>
      <c r="F12" s="29"/>
      <c r="G12" s="152">
        <v>2019</v>
      </c>
      <c r="H12" s="29"/>
      <c r="I12" s="29"/>
      <c r="S12" s="131" t="str">
        <f t="shared" ref="S12:S16" si="0">IF(COUNTBLANK($G12),"Check","Ok")</f>
        <v>Ok</v>
      </c>
    </row>
    <row r="13" spans="1:47">
      <c r="C13" s="29" t="s">
        <v>147</v>
      </c>
      <c r="D13" s="30" t="s">
        <v>67</v>
      </c>
      <c r="E13" s="29"/>
      <c r="F13" s="29"/>
      <c r="G13" s="152">
        <v>2020</v>
      </c>
      <c r="H13" s="29"/>
      <c r="I13" s="29"/>
      <c r="S13" s="131" t="str">
        <f t="shared" si="0"/>
        <v>Ok</v>
      </c>
    </row>
    <row r="14" spans="1:47">
      <c r="C14" s="29" t="s">
        <v>192</v>
      </c>
      <c r="D14" s="30" t="s">
        <v>67</v>
      </c>
      <c r="E14" s="29"/>
      <c r="F14" s="29"/>
      <c r="G14" s="152">
        <v>2021</v>
      </c>
      <c r="H14" s="29"/>
      <c r="I14" s="29"/>
      <c r="S14" s="131" t="str">
        <f>IF(COUNTBLANK($G14),"Check","Ok")</f>
        <v>Ok</v>
      </c>
    </row>
    <row r="15" spans="1:47">
      <c r="C15" s="29" t="s">
        <v>64</v>
      </c>
      <c r="D15" s="30" t="s">
        <v>67</v>
      </c>
      <c r="E15" s="29"/>
      <c r="F15" s="29"/>
      <c r="G15" s="152">
        <v>2022</v>
      </c>
      <c r="H15" s="29"/>
      <c r="I15" s="29"/>
      <c r="S15" s="131" t="str">
        <f t="shared" si="0"/>
        <v>Ok</v>
      </c>
    </row>
    <row r="16" spans="1:47">
      <c r="C16" s="29" t="s">
        <v>65</v>
      </c>
      <c r="D16" s="30" t="s">
        <v>67</v>
      </c>
      <c r="E16" s="29"/>
      <c r="F16" s="29"/>
      <c r="G16" s="152">
        <v>2026</v>
      </c>
      <c r="H16" s="29"/>
      <c r="I16" s="29"/>
      <c r="S16" s="131" t="str">
        <f t="shared" si="0"/>
        <v>Ok</v>
      </c>
    </row>
    <row r="17" spans="1:47">
      <c r="D17" s="29"/>
      <c r="E17" s="29"/>
      <c r="F17" s="29"/>
      <c r="G17" s="29"/>
      <c r="H17" s="29"/>
      <c r="I17" s="29"/>
    </row>
    <row r="18" spans="1:47" s="103" customFormat="1" ht="12.75">
      <c r="A18" s="94"/>
      <c r="B18" s="95" t="s">
        <v>21</v>
      </c>
      <c r="C18" s="94"/>
      <c r="D18" s="94"/>
      <c r="E18" s="94"/>
      <c r="F18" s="96"/>
      <c r="G18" s="96"/>
      <c r="H18" s="96"/>
      <c r="I18" s="96"/>
      <c r="J18" s="97"/>
      <c r="K18" s="98"/>
      <c r="L18" s="97"/>
      <c r="M18" s="98"/>
      <c r="N18" s="97"/>
      <c r="O18" s="97"/>
      <c r="P18" s="97"/>
      <c r="Q18" s="97"/>
      <c r="R18" s="97"/>
      <c r="S18" s="97"/>
      <c r="T18" s="97"/>
      <c r="U18" s="97"/>
      <c r="V18" s="98"/>
      <c r="W18" s="98"/>
      <c r="X18" s="99"/>
      <c r="Y18" s="99"/>
      <c r="Z18" s="99"/>
      <c r="AA18" s="99"/>
      <c r="AB18" s="100"/>
      <c r="AC18" s="101"/>
      <c r="AD18" s="101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</row>
    <row r="19" spans="1:47" hidden="1">
      <c r="G19" s="32"/>
      <c r="H19" s="32"/>
    </row>
    <row r="20" spans="1:47" hidden="1">
      <c r="G20" s="32"/>
      <c r="H20" s="32"/>
    </row>
    <row r="21" spans="1:47" hidden="1">
      <c r="G21" s="32"/>
      <c r="H21" s="32"/>
    </row>
    <row r="22" spans="1:47" hidden="1">
      <c r="G22" s="32"/>
      <c r="H22" s="32"/>
    </row>
    <row r="23" spans="1:47" hidden="1">
      <c r="G23" s="32"/>
      <c r="H23" s="32"/>
    </row>
    <row r="24" spans="1:47" hidden="1">
      <c r="G24" s="32"/>
      <c r="H24" s="32"/>
    </row>
    <row r="25" spans="1:47" hidden="1">
      <c r="G25" s="32"/>
      <c r="H25" s="32"/>
    </row>
    <row r="26" spans="1:47" hidden="1">
      <c r="G26" s="32"/>
      <c r="H26" s="32"/>
    </row>
    <row r="27" spans="1:47" hidden="1">
      <c r="G27" s="32"/>
      <c r="H27" s="32"/>
    </row>
    <row r="28" spans="1:47" hidden="1">
      <c r="G28" s="32"/>
      <c r="H28" s="32"/>
    </row>
    <row r="29" spans="1:47" hidden="1"/>
  </sheetData>
  <dataConsolidate/>
  <conditionalFormatting sqref="W16:W17">
    <cfRule type="cellIs" dxfId="257" priority="13" operator="equal">
      <formula>"Check"</formula>
    </cfRule>
    <cfRule type="cellIs" dxfId="256" priority="14" operator="equal">
      <formula>"Ok"</formula>
    </cfRule>
  </conditionalFormatting>
  <conditionalFormatting sqref="V1">
    <cfRule type="cellIs" dxfId="255" priority="3" operator="equal">
      <formula>"Check"</formula>
    </cfRule>
    <cfRule type="cellIs" dxfId="254" priority="4" operator="equal">
      <formula>"Ok"</formula>
    </cfRule>
  </conditionalFormatting>
  <conditionalFormatting sqref="S7:S16">
    <cfRule type="cellIs" dxfId="253" priority="5" operator="equal">
      <formula>"Check"</formula>
    </cfRule>
    <cfRule type="cellIs" dxfId="252" priority="6" operator="equal">
      <formula>"Ok"</formula>
    </cfRule>
  </conditionalFormatting>
  <conditionalFormatting sqref="S1">
    <cfRule type="cellIs" dxfId="251" priority="1" operator="equal">
      <formula>"Check"</formula>
    </cfRule>
    <cfRule type="cellIs" dxfId="250" priority="2" operator="equal">
      <formula>"Ok"</formula>
    </cfRule>
  </conditionalFormatting>
  <dataValidations count="4">
    <dataValidation type="list" allowBlank="1" showInputMessage="1" showErrorMessage="1" sqref="F13:F15" xr:uid="{00000000-0002-0000-0100-000000000000}">
      <formula1>#REF!</formula1>
    </dataValidation>
    <dataValidation type="list" allowBlank="1" showInputMessage="1" showErrorMessage="1" sqref="G8" xr:uid="{00000000-0002-0000-0100-000001000000}">
      <formula1>"draft,revised proposal, final"</formula1>
    </dataValidation>
    <dataValidation type="list" allowBlank="1" showInputMessage="1" showErrorMessage="1" sqref="F16:F17" xr:uid="{00000000-0002-0000-0100-000002000000}">
      <formula1>"Real 2010,Real 2011,Real 2012,Real 2013,Real 2014,Real 2015,Nominal"</formula1>
    </dataValidation>
    <dataValidation type="list" allowBlank="1" showInputMessage="1" showErrorMessage="1" sqref="I13:I17" xr:uid="{00000000-0002-0000-0100-000003000000}">
      <formula1>#REF!</formula1>
    </dataValidation>
  </dataValidations>
  <hyperlinks>
    <hyperlink ref="J1" location="Index!A1" display="Back to Index" xr:uid="{00000000-0004-0000-0100-000000000000}"/>
    <hyperlink ref="U1" location="'Check|List'!A1" display="Overall Check:" xr:uid="{00000000-0004-0000-01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4000000}">
          <x14:formula1>
            <xm:f>'Lookup|Tables'!$G$25:$G$36</xm:f>
          </x14:formula1>
          <xm:sqref>G9:G10</xm:sqref>
        </x14:dataValidation>
        <x14:dataValidation type="list" allowBlank="1" showInputMessage="1" showErrorMessage="1" xr:uid="{00000000-0002-0000-0100-000005000000}">
          <x14:formula1>
            <xm:f>'Lookup|Tables'!$G$41:$G$60</xm:f>
          </x14:formula1>
          <xm:sqref>G11:G16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FFFF99"/>
  </sheetPr>
  <dimension ref="A1:AV102"/>
  <sheetViews>
    <sheetView showGridLines="0" workbookViewId="0">
      <selection activeCell="A39" sqref="A39"/>
    </sheetView>
  </sheetViews>
  <sheetFormatPr defaultColWidth="0" defaultRowHeight="11.25" customHeight="1" zeroHeight="1"/>
  <cols>
    <col min="1" max="2" width="1.5" style="29" customWidth="1"/>
    <col min="3" max="3" width="11.6640625" style="29" bestFit="1" customWidth="1"/>
    <col min="4" max="4" width="21.5" style="30" bestFit="1" customWidth="1"/>
    <col min="5" max="5" width="21.5" style="30" customWidth="1"/>
    <col min="6" max="7" width="15" style="30" customWidth="1"/>
    <col min="8" max="10" width="3.33203125" style="30" customWidth="1"/>
    <col min="11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0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Q1" s="227" t="s">
        <v>225</v>
      </c>
      <c r="S1" s="72" t="s">
        <v>81</v>
      </c>
      <c r="T1" s="76" t="str">
        <f>IF(COUNTA($T$5:$T$85)=COUNTIF($T5:$T86,"OK"),"OK","Check")</f>
        <v>OK</v>
      </c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Index!$C$7</f>
        <v>Input | General</v>
      </c>
      <c r="C2" s="78"/>
      <c r="D2" s="78"/>
      <c r="E2" s="78"/>
      <c r="F2" s="78"/>
      <c r="G2" s="79"/>
      <c r="H2" s="79"/>
      <c r="I2" s="79"/>
      <c r="J2" s="79"/>
    </row>
    <row r="3" spans="1:48" s="27" customFormat="1" ht="3" customHeight="1">
      <c r="D3" s="28"/>
      <c r="E3" s="28"/>
      <c r="F3" s="28"/>
      <c r="G3" s="28"/>
      <c r="H3" s="28"/>
      <c r="I3" s="28"/>
      <c r="J3" s="28"/>
    </row>
    <row r="4" spans="1:48" s="103" customFormat="1" ht="12.75">
      <c r="A4" s="94"/>
      <c r="B4" s="95" t="s">
        <v>92</v>
      </c>
      <c r="C4" s="94"/>
      <c r="D4" s="94"/>
      <c r="E4" s="94"/>
      <c r="F4" s="94"/>
      <c r="G4" s="96"/>
      <c r="H4" s="96"/>
      <c r="I4" s="96"/>
      <c r="J4" s="96"/>
      <c r="K4" s="97"/>
      <c r="L4" s="98"/>
      <c r="M4" s="97"/>
      <c r="N4" s="98"/>
      <c r="O4" s="97"/>
      <c r="P4" s="97"/>
      <c r="Q4" s="97"/>
      <c r="R4" s="97"/>
      <c r="S4" s="97"/>
      <c r="T4" s="97"/>
      <c r="U4" s="97"/>
      <c r="V4" s="97"/>
      <c r="W4" s="98"/>
      <c r="X4" s="98"/>
      <c r="Y4" s="99"/>
      <c r="Z4" s="99"/>
      <c r="AA4" s="99"/>
      <c r="AB4" s="99"/>
      <c r="AC4" s="100"/>
      <c r="AD4" s="101"/>
      <c r="AE4" s="101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  <c r="AV4" s="102"/>
    </row>
    <row r="5" spans="1:48" ht="11.25" customHeight="1"/>
    <row r="6" spans="1:48" ht="53.25">
      <c r="D6" s="62" t="s">
        <v>96</v>
      </c>
      <c r="E6" s="62" t="s">
        <v>131</v>
      </c>
      <c r="F6" s="62" t="s">
        <v>96</v>
      </c>
      <c r="G6" s="62" t="s">
        <v>131</v>
      </c>
      <c r="H6" s="62"/>
      <c r="I6" s="29"/>
      <c r="J6" s="29"/>
    </row>
    <row r="7" spans="1:48">
      <c r="C7" s="67" t="s">
        <v>7</v>
      </c>
      <c r="D7" s="66" t="s">
        <v>94</v>
      </c>
      <c r="E7" s="66" t="s">
        <v>30</v>
      </c>
      <c r="F7" s="66" t="s">
        <v>94</v>
      </c>
      <c r="G7" s="66" t="s">
        <v>30</v>
      </c>
      <c r="H7" s="66"/>
      <c r="I7" s="29"/>
      <c r="J7" s="29"/>
    </row>
    <row r="8" spans="1:48">
      <c r="C8" s="67" t="s">
        <v>8</v>
      </c>
      <c r="D8" s="66" t="s">
        <v>82</v>
      </c>
      <c r="E8" s="66" t="s">
        <v>16</v>
      </c>
      <c r="F8" s="66" t="s">
        <v>82</v>
      </c>
      <c r="G8" s="66" t="s">
        <v>16</v>
      </c>
      <c r="H8" s="66"/>
      <c r="I8" s="29"/>
      <c r="J8" s="29"/>
    </row>
    <row r="9" spans="1:48">
      <c r="C9" s="64">
        <v>39172</v>
      </c>
      <c r="D9" s="63">
        <v>155.6</v>
      </c>
      <c r="E9" s="29"/>
      <c r="F9" s="29"/>
      <c r="G9" s="29"/>
      <c r="H9" s="29"/>
      <c r="I9" s="29"/>
      <c r="J9" s="29"/>
      <c r="T9" s="131" t="str">
        <f>IF(C9&gt;EOMONTH(DATE('Input|General'!$G$13,MONTH('Input|General'!$G$9),1),0),"Ok",IF(ISBLANK($D9),"Check","Ok"))</f>
        <v>Ok</v>
      </c>
    </row>
    <row r="10" spans="1:48">
      <c r="C10" s="64">
        <v>39263</v>
      </c>
      <c r="D10" s="63">
        <v>157.5</v>
      </c>
      <c r="E10" s="29"/>
      <c r="F10" s="29"/>
      <c r="G10" s="29"/>
      <c r="H10" s="29"/>
      <c r="I10" s="29"/>
      <c r="J10" s="29"/>
      <c r="T10" s="131" t="str">
        <f>IF(C10&gt;EOMONTH(DATE('Input|General'!$G$13,MONTH('Input|General'!$G$9),1),0),"Ok",IF(ISBLANK($D10),"Check","Ok"))</f>
        <v>Ok</v>
      </c>
    </row>
    <row r="11" spans="1:48">
      <c r="C11" s="64">
        <v>39355</v>
      </c>
      <c r="D11" s="63">
        <v>158.6</v>
      </c>
      <c r="E11" s="29"/>
      <c r="F11" s="29"/>
      <c r="G11" s="29"/>
      <c r="H11" s="29"/>
      <c r="I11" s="29"/>
      <c r="J11" s="29"/>
      <c r="T11" s="131" t="str">
        <f>IF(C11&gt;EOMONTH(DATE('Input|General'!$G$13,MONTH('Input|General'!$G$9),1),0),"Ok",IF(ISBLANK($D11),"Check","Ok"))</f>
        <v>Ok</v>
      </c>
    </row>
    <row r="12" spans="1:48">
      <c r="C12" s="64">
        <v>39447</v>
      </c>
      <c r="D12" s="63">
        <v>160.1</v>
      </c>
      <c r="E12" s="29"/>
      <c r="F12" s="29"/>
      <c r="G12" s="65"/>
      <c r="H12" s="29"/>
      <c r="I12" s="29"/>
      <c r="J12" s="29"/>
      <c r="T12" s="131" t="str">
        <f>IF(C12&gt;EOMONTH(DATE('Input|General'!$G$13,MONTH('Input|General'!$G$9),1),0),"Ok",IF(ISBLANK($D12),"Check","Ok"))</f>
        <v>Ok</v>
      </c>
    </row>
    <row r="13" spans="1:48">
      <c r="C13" s="64">
        <v>39538</v>
      </c>
      <c r="D13" s="63">
        <v>162.19999999999999</v>
      </c>
      <c r="E13" s="117">
        <f>D13/D9-1</f>
        <v>4.2416452442159303E-2</v>
      </c>
      <c r="F13" s="29"/>
      <c r="G13" s="65"/>
      <c r="H13" s="29"/>
      <c r="I13" s="29"/>
      <c r="J13" s="29"/>
      <c r="T13" s="131" t="str">
        <f>IF(C13&gt;EOMONTH(DATE('Input|General'!$G$13,MONTH('Input|General'!$G$9),1),0),"Ok",IF(ISBLANK($D13),"Check","Ok"))</f>
        <v>Ok</v>
      </c>
    </row>
    <row r="14" spans="1:48">
      <c r="C14" s="64">
        <v>39629</v>
      </c>
      <c r="D14" s="63">
        <v>164.6</v>
      </c>
      <c r="E14" s="117">
        <f t="shared" ref="E14:E29" si="0">D14/D10-1</f>
        <v>4.5079365079365052E-2</v>
      </c>
      <c r="F14" s="29"/>
      <c r="G14" s="65"/>
      <c r="H14" s="29"/>
      <c r="I14" s="29"/>
      <c r="J14" s="29"/>
      <c r="T14" s="131" t="str">
        <f>IF(C14&gt;EOMONTH(DATE('Input|General'!$G$13,MONTH('Input|General'!$G$9),1),0),"Ok",IF(ISBLANK($D14),"Check","Ok"))</f>
        <v>Ok</v>
      </c>
    </row>
    <row r="15" spans="1:48">
      <c r="C15" s="64">
        <v>39721</v>
      </c>
      <c r="D15" s="63">
        <v>166.5</v>
      </c>
      <c r="E15" s="117">
        <f t="shared" si="0"/>
        <v>4.9810844892812067E-2</v>
      </c>
      <c r="F15" s="29"/>
      <c r="G15" s="65"/>
      <c r="H15" s="29"/>
      <c r="I15" s="29"/>
      <c r="J15" s="29"/>
      <c r="T15" s="131" t="str">
        <f>IF(C15&gt;EOMONTH(DATE('Input|General'!$G$13,MONTH('Input|General'!$G$9),1),0),"Ok",IF(ISBLANK($D15),"Check","Ok"))</f>
        <v>Ok</v>
      </c>
    </row>
    <row r="16" spans="1:48">
      <c r="C16" s="64">
        <v>39813</v>
      </c>
      <c r="D16" s="63">
        <v>166</v>
      </c>
      <c r="E16" s="117">
        <f t="shared" si="0"/>
        <v>3.6851967520299844E-2</v>
      </c>
      <c r="F16" s="29"/>
      <c r="G16" s="65"/>
      <c r="H16" s="29"/>
      <c r="I16" s="29"/>
      <c r="J16" s="29"/>
      <c r="T16" s="131" t="str">
        <f>IF(C16&gt;EOMONTH(DATE('Input|General'!$G$13,MONTH('Input|General'!$G$9),1),0),"Ok",IF(ISBLANK($D16),"Check","Ok"))</f>
        <v>Ok</v>
      </c>
    </row>
    <row r="17" spans="3:20">
      <c r="C17" s="64">
        <v>39903</v>
      </c>
      <c r="D17" s="63">
        <v>166.2</v>
      </c>
      <c r="E17" s="117">
        <f t="shared" si="0"/>
        <v>2.4660912453760897E-2</v>
      </c>
      <c r="F17" s="29"/>
      <c r="G17" s="65"/>
      <c r="H17" s="29"/>
      <c r="I17" s="29"/>
      <c r="J17" s="29"/>
      <c r="T17" s="131" t="str">
        <f>IF(C17&gt;EOMONTH(DATE('Input|General'!$G$13,MONTH('Input|General'!$G$9),1),0),"Ok",IF(ISBLANK($D17),"Check","Ok"))</f>
        <v>Ok</v>
      </c>
    </row>
    <row r="18" spans="3:20">
      <c r="C18" s="64">
        <v>39994</v>
      </c>
      <c r="D18" s="63">
        <v>167</v>
      </c>
      <c r="E18" s="117">
        <f t="shared" si="0"/>
        <v>1.4580801944106936E-2</v>
      </c>
      <c r="F18" s="29"/>
      <c r="G18" s="65"/>
      <c r="H18" s="29"/>
      <c r="I18" s="29"/>
      <c r="J18" s="29"/>
      <c r="T18" s="131" t="str">
        <f>IF(C18&gt;EOMONTH(DATE('Input|General'!$G$13,MONTH('Input|General'!$G$9),1),0),"Ok",IF(ISBLANK($D18),"Check","Ok"))</f>
        <v>Ok</v>
      </c>
    </row>
    <row r="19" spans="3:20">
      <c r="C19" s="64">
        <v>40086</v>
      </c>
      <c r="D19" s="63">
        <v>168.6</v>
      </c>
      <c r="E19" s="117">
        <f t="shared" si="0"/>
        <v>1.2612612612612484E-2</v>
      </c>
      <c r="F19" s="29"/>
      <c r="G19" s="65"/>
      <c r="H19" s="29"/>
      <c r="I19" s="29"/>
      <c r="J19" s="29"/>
      <c r="T19" s="131" t="str">
        <f>IF(C19&gt;EOMONTH(DATE('Input|General'!$G$13,MONTH('Input|General'!$G$9),1),0),"Ok",IF(ISBLANK($D19),"Check","Ok"))</f>
        <v>Ok</v>
      </c>
    </row>
    <row r="20" spans="3:20">
      <c r="C20" s="64">
        <v>40178</v>
      </c>
      <c r="D20" s="63">
        <v>169.5</v>
      </c>
      <c r="E20" s="117">
        <f t="shared" si="0"/>
        <v>2.108433734939763E-2</v>
      </c>
      <c r="F20" s="29"/>
      <c r="G20" s="65"/>
      <c r="H20" s="29"/>
      <c r="I20" s="29"/>
      <c r="J20" s="29"/>
      <c r="T20" s="131" t="str">
        <f>IF(C20&gt;EOMONTH(DATE('Input|General'!$G$13,MONTH('Input|General'!$G$9),1),0),"Ok",IF(ISBLANK($D20),"Check","Ok"))</f>
        <v>Ok</v>
      </c>
    </row>
    <row r="21" spans="3:20">
      <c r="C21" s="64">
        <v>40268</v>
      </c>
      <c r="D21" s="63">
        <v>171</v>
      </c>
      <c r="E21" s="117">
        <f t="shared" si="0"/>
        <v>2.8880866425992746E-2</v>
      </c>
      <c r="F21" s="63">
        <v>95.2</v>
      </c>
      <c r="G21" s="65"/>
      <c r="H21" s="186"/>
      <c r="I21" s="29"/>
      <c r="J21" s="29"/>
      <c r="T21" s="131" t="str">
        <f>IF(C21&gt;EOMONTH(DATE('Input|General'!$G$13,MONTH('Input|General'!$G$9),1),0),"Ok",IF(ISBLANK($F21),"Check","Ok"))</f>
        <v>Ok</v>
      </c>
    </row>
    <row r="22" spans="3:20">
      <c r="C22" s="64">
        <v>40359</v>
      </c>
      <c r="D22" s="63">
        <v>172.1</v>
      </c>
      <c r="E22" s="117">
        <f t="shared" si="0"/>
        <v>3.0538922155688653E-2</v>
      </c>
      <c r="F22" s="63">
        <v>95.8</v>
      </c>
      <c r="G22" s="65"/>
      <c r="H22" s="186"/>
      <c r="I22" s="29"/>
      <c r="J22" s="29"/>
      <c r="T22" s="131" t="str">
        <f>IF(C22&gt;EOMONTH(DATE('Input|General'!$G$13,MONTH('Input|General'!$G$9),1),0),"Ok",IF(ISBLANK($F22),"Check","Ok"))</f>
        <v>Ok</v>
      </c>
    </row>
    <row r="23" spans="3:20">
      <c r="C23" s="64">
        <v>40451</v>
      </c>
      <c r="D23" s="63">
        <v>173.3</v>
      </c>
      <c r="E23" s="117">
        <f t="shared" si="0"/>
        <v>2.7876631079478242E-2</v>
      </c>
      <c r="F23" s="63">
        <v>96.5</v>
      </c>
      <c r="G23" s="65"/>
      <c r="H23" s="186"/>
      <c r="I23" s="29"/>
      <c r="J23" s="29"/>
      <c r="T23" s="131" t="str">
        <f>IF(C23&gt;EOMONTH(DATE('Input|General'!$G$13,MONTH('Input|General'!$G$9),1),0),"Ok",IF(ISBLANK($F23),"Check","Ok"))</f>
        <v>Ok</v>
      </c>
    </row>
    <row r="24" spans="3:20">
      <c r="C24" s="64">
        <v>40543</v>
      </c>
      <c r="D24" s="63">
        <v>174</v>
      </c>
      <c r="E24" s="117">
        <f t="shared" si="0"/>
        <v>2.6548672566371723E-2</v>
      </c>
      <c r="F24" s="63">
        <v>96.9</v>
      </c>
      <c r="G24" s="65"/>
      <c r="H24" s="186"/>
      <c r="I24" s="29"/>
      <c r="J24" s="29"/>
      <c r="T24" s="131" t="str">
        <f>IF(C24&gt;EOMONTH(DATE('Input|General'!$G$13,MONTH('Input|General'!$G$9),1),0),"Ok",IF(ISBLANK($F24),"Check","Ok"))</f>
        <v>Ok</v>
      </c>
    </row>
    <row r="25" spans="3:20">
      <c r="C25" s="64">
        <v>40633</v>
      </c>
      <c r="D25" s="63">
        <v>176.7</v>
      </c>
      <c r="E25" s="117">
        <f t="shared" si="0"/>
        <v>3.3333333333333215E-2</v>
      </c>
      <c r="F25" s="63">
        <v>98.3</v>
      </c>
      <c r="G25" s="117">
        <f>IF(ISBLANK(F25),"",F25/F21-1)</f>
        <v>3.2563025210083918E-2</v>
      </c>
      <c r="H25" s="186"/>
      <c r="I25" s="29"/>
      <c r="J25" s="29"/>
      <c r="T25" s="131" t="str">
        <f>IF(C25&gt;EOMONTH(DATE('Input|General'!$G$13,MONTH('Input|General'!$G$9),1),0),"Ok",IF(ISBLANK($F25),"Check","Ok"))</f>
        <v>Ok</v>
      </c>
    </row>
    <row r="26" spans="3:20">
      <c r="C26" s="64">
        <v>40724</v>
      </c>
      <c r="D26" s="63">
        <v>178.3</v>
      </c>
      <c r="E26" s="117">
        <f t="shared" si="0"/>
        <v>3.6025566531086683E-2</v>
      </c>
      <c r="F26" s="63">
        <v>99.2</v>
      </c>
      <c r="G26" s="117">
        <f t="shared" ref="G26:G84" si="1">IF(ISBLANK(F26),"",F26/F22-1)</f>
        <v>3.5490605427975108E-2</v>
      </c>
      <c r="H26" s="186"/>
      <c r="I26" s="29"/>
      <c r="J26" s="29"/>
      <c r="T26" s="131" t="str">
        <f>IF(C26&gt;EOMONTH(DATE('Input|General'!$G$13,MONTH('Input|General'!$G$9),1),0),"Ok",IF(ISBLANK($F26),"Check","Ok"))</f>
        <v>Ok</v>
      </c>
    </row>
    <row r="27" spans="3:20">
      <c r="C27" s="64">
        <v>40816</v>
      </c>
      <c r="D27" s="63">
        <v>179.4</v>
      </c>
      <c r="E27" s="117">
        <f t="shared" si="0"/>
        <v>3.5199076745527913E-2</v>
      </c>
      <c r="F27" s="63">
        <v>99.8</v>
      </c>
      <c r="G27" s="117">
        <f t="shared" si="1"/>
        <v>3.4196891191709877E-2</v>
      </c>
      <c r="H27" s="186"/>
      <c r="I27" s="29"/>
      <c r="J27" s="29"/>
      <c r="T27" s="131" t="str">
        <f>IF(C27&gt;EOMONTH(DATE('Input|General'!$G$13,MONTH('Input|General'!$G$9),1),0),"Ok",IF(ISBLANK($F27),"Check","Ok"))</f>
        <v>Ok</v>
      </c>
    </row>
    <row r="28" spans="3:20">
      <c r="C28" s="64">
        <v>40908</v>
      </c>
      <c r="D28" s="63">
        <v>179.4</v>
      </c>
      <c r="E28" s="117">
        <f t="shared" si="0"/>
        <v>3.1034482758620641E-2</v>
      </c>
      <c r="F28" s="63">
        <v>99.8</v>
      </c>
      <c r="G28" s="117">
        <f t="shared" si="1"/>
        <v>2.9927760577915352E-2</v>
      </c>
      <c r="H28" s="186"/>
      <c r="I28" s="29"/>
      <c r="J28" s="29"/>
      <c r="T28" s="131" t="str">
        <f>IF(C28&gt;EOMONTH(DATE('Input|General'!$G$13,MONTH('Input|General'!$G$9),1),0),"Ok",IF(ISBLANK($F28),"Check","Ok"))</f>
        <v>Ok</v>
      </c>
    </row>
    <row r="29" spans="3:20">
      <c r="C29" s="64">
        <v>40999</v>
      </c>
      <c r="D29" s="63">
        <v>179.5</v>
      </c>
      <c r="E29" s="117">
        <f t="shared" si="0"/>
        <v>1.5846066779853007E-2</v>
      </c>
      <c r="F29" s="63">
        <v>99.9</v>
      </c>
      <c r="G29" s="117">
        <f t="shared" si="1"/>
        <v>1.6276703967446737E-2</v>
      </c>
      <c r="H29" s="186"/>
      <c r="I29" s="29"/>
      <c r="J29" s="29"/>
      <c r="T29" s="131" t="str">
        <f>IF(C29&gt;EOMONTH(DATE('Input|General'!$G$13,MONTH('Input|General'!$G$9),1),0),"Ok",IF(ISBLANK($F29),"Check","Ok"))</f>
        <v>Ok</v>
      </c>
    </row>
    <row r="30" spans="3:20">
      <c r="C30" s="64">
        <v>41090</v>
      </c>
      <c r="D30" s="29"/>
      <c r="E30" s="29"/>
      <c r="F30" s="63">
        <v>100.4</v>
      </c>
      <c r="G30" s="117">
        <f t="shared" si="1"/>
        <v>1.2096774193548487E-2</v>
      </c>
      <c r="H30" s="186"/>
      <c r="I30" s="29"/>
      <c r="J30" s="29"/>
      <c r="T30" s="131" t="str">
        <f>IF(C30&gt;EOMONTH(DATE('Input|General'!$G$13,MONTH('Input|General'!$G$9),1),0),"Ok",IF(ISBLANK($F30),"Check","Ok"))</f>
        <v>Ok</v>
      </c>
    </row>
    <row r="31" spans="3:20">
      <c r="C31" s="64">
        <v>41182</v>
      </c>
      <c r="D31" s="29"/>
      <c r="E31" s="29"/>
      <c r="F31" s="63">
        <v>101.8</v>
      </c>
      <c r="G31" s="117">
        <f t="shared" si="1"/>
        <v>2.0040080160320661E-2</v>
      </c>
      <c r="H31" s="186"/>
      <c r="I31" s="29"/>
      <c r="J31" s="29"/>
      <c r="T31" s="131" t="str">
        <f>IF(C31&gt;EOMONTH(DATE('Input|General'!$G$13,MONTH('Input|General'!$G$9),1),0),"Ok",IF(ISBLANK($F31),"Check","Ok"))</f>
        <v>Ok</v>
      </c>
    </row>
    <row r="32" spans="3:20">
      <c r="C32" s="64">
        <v>41274</v>
      </c>
      <c r="D32" s="29"/>
      <c r="E32" s="29"/>
      <c r="F32" s="63">
        <v>102</v>
      </c>
      <c r="G32" s="117">
        <f t="shared" si="1"/>
        <v>2.2044088176352838E-2</v>
      </c>
      <c r="H32" s="186"/>
      <c r="I32" s="29"/>
      <c r="J32" s="29"/>
      <c r="T32" s="131" t="str">
        <f>IF(C32&gt;EOMONTH(DATE('Input|General'!$G$13,MONTH('Input|General'!$G$9),1),0),"Ok",IF(ISBLANK($F32),"Check","Ok"))</f>
        <v>Ok</v>
      </c>
    </row>
    <row r="33" spans="3:20">
      <c r="C33" s="64">
        <v>41364</v>
      </c>
      <c r="D33" s="29"/>
      <c r="E33" s="29"/>
      <c r="F33" s="63">
        <v>102.4</v>
      </c>
      <c r="G33" s="117">
        <f t="shared" si="1"/>
        <v>2.5025025025025016E-2</v>
      </c>
      <c r="H33" s="186"/>
      <c r="I33" s="29"/>
      <c r="J33" s="29"/>
      <c r="T33" s="131" t="str">
        <f>IF(C33&gt;EOMONTH(DATE('Input|General'!$G$13,MONTH('Input|General'!$G$9),1),0),"Ok",IF(ISBLANK($F33),"Check","Ok"))</f>
        <v>Ok</v>
      </c>
    </row>
    <row r="34" spans="3:20">
      <c r="C34" s="64">
        <v>41455</v>
      </c>
      <c r="D34" s="29"/>
      <c r="E34" s="29"/>
      <c r="F34" s="63">
        <v>102.8</v>
      </c>
      <c r="G34" s="117">
        <f t="shared" si="1"/>
        <v>2.3904382470119501E-2</v>
      </c>
      <c r="H34" s="186"/>
      <c r="I34" s="29"/>
      <c r="J34" s="29"/>
      <c r="T34" s="131" t="str">
        <f>IF(C34&gt;EOMONTH(DATE('Input|General'!$G$13,MONTH('Input|General'!$G$9),1),0),"Ok",IF(ISBLANK($F34),"Check","Ok"))</f>
        <v>Ok</v>
      </c>
    </row>
    <row r="35" spans="3:20">
      <c r="C35" s="64">
        <v>41547</v>
      </c>
      <c r="D35" s="29"/>
      <c r="E35" s="29"/>
      <c r="F35" s="63">
        <v>104</v>
      </c>
      <c r="G35" s="117">
        <f t="shared" si="1"/>
        <v>2.16110019646365E-2</v>
      </c>
      <c r="H35" s="186"/>
      <c r="I35" s="29"/>
      <c r="J35" s="29"/>
      <c r="T35" s="131" t="str">
        <f>IF(C35&gt;EOMONTH(DATE('Input|General'!$G$13,MONTH('Input|General'!$G$9),1),0),"Ok",IF(ISBLANK($F35),"Check","Ok"))</f>
        <v>Ok</v>
      </c>
    </row>
    <row r="36" spans="3:20">
      <c r="C36" s="64">
        <v>41639</v>
      </c>
      <c r="D36" s="29"/>
      <c r="E36" s="29"/>
      <c r="F36" s="63">
        <v>104.8</v>
      </c>
      <c r="G36" s="117">
        <f t="shared" si="1"/>
        <v>2.7450980392156765E-2</v>
      </c>
      <c r="H36" s="186"/>
      <c r="I36" s="29"/>
      <c r="J36" s="29"/>
      <c r="T36" s="131" t="str">
        <f>IF(C36&gt;EOMONTH(DATE('Input|General'!$G$13,MONTH('Input|General'!$G$9),1),0),"Ok",IF(ISBLANK($F36),"Check","Ok"))</f>
        <v>Ok</v>
      </c>
    </row>
    <row r="37" spans="3:20">
      <c r="C37" s="64">
        <v>41729</v>
      </c>
      <c r="D37" s="29"/>
      <c r="E37" s="29"/>
      <c r="F37" s="63">
        <v>105.4</v>
      </c>
      <c r="G37" s="117">
        <f t="shared" si="1"/>
        <v>2.9296875E-2</v>
      </c>
      <c r="H37" s="186"/>
      <c r="I37" s="29"/>
      <c r="J37" s="29"/>
      <c r="T37" s="131" t="str">
        <f>IF(C37&gt;EOMONTH(DATE('Input|General'!$G$13,MONTH('Input|General'!$G$9),1),0),"Ok",IF(ISBLANK($F37),"Check","Ok"))</f>
        <v>Ok</v>
      </c>
    </row>
    <row r="38" spans="3:20">
      <c r="C38" s="64">
        <v>41820</v>
      </c>
      <c r="D38" s="29"/>
      <c r="E38" s="29"/>
      <c r="F38" s="63">
        <v>105.9</v>
      </c>
      <c r="G38" s="117">
        <f t="shared" si="1"/>
        <v>3.0155642023346418E-2</v>
      </c>
      <c r="H38" s="186"/>
      <c r="I38" s="29"/>
      <c r="J38" s="29"/>
      <c r="T38" s="131" t="str">
        <f>IF(C38&gt;EOMONTH(DATE('Input|General'!$G$13,MONTH('Input|General'!$G$9),1),0),"Ok",IF(ISBLANK($F38),"Check","Ok"))</f>
        <v>Ok</v>
      </c>
    </row>
    <row r="39" spans="3:20">
      <c r="C39" s="64">
        <v>41912</v>
      </c>
      <c r="D39" s="29"/>
      <c r="E39" s="29"/>
      <c r="F39" s="63">
        <v>106.4</v>
      </c>
      <c r="G39" s="117">
        <f t="shared" si="1"/>
        <v>2.3076923076923217E-2</v>
      </c>
      <c r="H39" s="186"/>
      <c r="I39" s="29"/>
      <c r="J39" s="29"/>
      <c r="T39" s="131" t="str">
        <f>IF(C39&gt;EOMONTH(DATE('Input|General'!$G$13,MONTH('Input|General'!$G$9),1),0),"Ok",IF(ISBLANK($F39),"Check","Ok"))</f>
        <v>Ok</v>
      </c>
    </row>
    <row r="40" spans="3:20">
      <c r="C40" s="64">
        <v>42004</v>
      </c>
      <c r="D40" s="29"/>
      <c r="E40" s="29"/>
      <c r="F40" s="63">
        <v>106.6</v>
      </c>
      <c r="G40" s="117">
        <f t="shared" si="1"/>
        <v>1.7175572519083859E-2</v>
      </c>
      <c r="H40" s="186"/>
      <c r="I40" s="29"/>
      <c r="J40" s="29"/>
      <c r="T40" s="131" t="str">
        <f>IF(C40&gt;EOMONTH(DATE('Input|General'!$G$13,MONTH('Input|General'!$G$9),1),0),"Ok",IF(ISBLANK($F40),"Check","Ok"))</f>
        <v>Ok</v>
      </c>
    </row>
    <row r="41" spans="3:20">
      <c r="C41" s="64">
        <v>42094</v>
      </c>
      <c r="D41" s="29"/>
      <c r="E41" s="29"/>
      <c r="F41" s="63">
        <v>106.8</v>
      </c>
      <c r="G41" s="117">
        <f t="shared" si="1"/>
        <v>1.3282732447817747E-2</v>
      </c>
      <c r="H41" s="186"/>
      <c r="I41" s="29"/>
      <c r="J41" s="29"/>
      <c r="T41" s="131" t="str">
        <f>IF(C41&gt;EOMONTH(DATE('Input|General'!$G$13,MONTH('Input|General'!$G$9),1),0),"Ok",IF(ISBLANK($F41),"Check","Ok"))</f>
        <v>Ok</v>
      </c>
    </row>
    <row r="42" spans="3:20">
      <c r="C42" s="64">
        <v>42185</v>
      </c>
      <c r="D42" s="29"/>
      <c r="E42" s="29"/>
      <c r="F42" s="63">
        <v>107.5</v>
      </c>
      <c r="G42" s="117">
        <f t="shared" si="1"/>
        <v>1.5108593012275628E-2</v>
      </c>
      <c r="H42" s="186"/>
      <c r="I42" s="29"/>
      <c r="J42" s="29"/>
      <c r="T42" s="131" t="str">
        <f>IF(C42&gt;EOMONTH(DATE('Input|General'!$G$13,MONTH('Input|General'!$G$9),1),0),"Ok",IF(ISBLANK($F42),"Check","Ok"))</f>
        <v>Ok</v>
      </c>
    </row>
    <row r="43" spans="3:20">
      <c r="C43" s="64">
        <v>42277</v>
      </c>
      <c r="D43" s="29"/>
      <c r="E43" s="29"/>
      <c r="F43" s="63">
        <v>108</v>
      </c>
      <c r="G43" s="117">
        <f t="shared" si="1"/>
        <v>1.5037593984962294E-2</v>
      </c>
      <c r="H43" s="186"/>
      <c r="I43" s="29"/>
      <c r="J43" s="29"/>
      <c r="T43" s="131" t="str">
        <f>IF(C43&gt;EOMONTH(DATE('Input|General'!$G$13,MONTH('Input|General'!$G$9),1),0),"Ok",IF(ISBLANK($F43),"Check","Ok"))</f>
        <v>Ok</v>
      </c>
    </row>
    <row r="44" spans="3:20">
      <c r="C44" s="64">
        <v>42369</v>
      </c>
      <c r="D44" s="29"/>
      <c r="E44" s="29"/>
      <c r="F44" s="63">
        <v>108.4</v>
      </c>
      <c r="G44" s="117">
        <f t="shared" si="1"/>
        <v>1.6885553470919357E-2</v>
      </c>
      <c r="H44" s="186"/>
      <c r="I44" s="29"/>
      <c r="J44" s="29"/>
      <c r="T44" s="131" t="str">
        <f>IF(C44&gt;EOMONTH(DATE('Input|General'!$G$13,MONTH('Input|General'!$G$9),1),0),"Ok",IF(ISBLANK($F44),"Check","Ok"))</f>
        <v>Ok</v>
      </c>
    </row>
    <row r="45" spans="3:20">
      <c r="C45" s="64">
        <v>42460</v>
      </c>
      <c r="D45" s="29"/>
      <c r="E45" s="29"/>
      <c r="F45" s="63">
        <v>108.2</v>
      </c>
      <c r="G45" s="117">
        <f t="shared" si="1"/>
        <v>1.3108614232209881E-2</v>
      </c>
      <c r="H45" s="186"/>
      <c r="I45" s="29"/>
      <c r="J45" s="29"/>
      <c r="T45" s="131" t="str">
        <f>IF(C45&gt;EOMONTH(DATE('Input|General'!$G$13,MONTH('Input|General'!$G$9),1),0),"Ok",IF(ISBLANK($F45),"Check","Ok"))</f>
        <v>Ok</v>
      </c>
    </row>
    <row r="46" spans="3:20">
      <c r="C46" s="64">
        <v>42551</v>
      </c>
      <c r="D46" s="29"/>
      <c r="E46" s="29"/>
      <c r="F46" s="63">
        <v>108.6</v>
      </c>
      <c r="G46" s="117">
        <f t="shared" si="1"/>
        <v>1.0232558139534831E-2</v>
      </c>
      <c r="H46" s="186"/>
      <c r="I46" s="29"/>
      <c r="J46" s="29"/>
      <c r="T46" s="131" t="str">
        <f>IF(C46&gt;EOMONTH(DATE('Input|General'!$G$13,MONTH('Input|General'!$G$9),1),0),"Ok",IF(ISBLANK($F46),"Check","Ok"))</f>
        <v>Ok</v>
      </c>
    </row>
    <row r="47" spans="3:20">
      <c r="C47" s="64">
        <v>42643</v>
      </c>
      <c r="D47" s="29"/>
      <c r="E47" s="29"/>
      <c r="F47" s="63">
        <v>109.4</v>
      </c>
      <c r="G47" s="117">
        <f t="shared" si="1"/>
        <v>1.2962962962963065E-2</v>
      </c>
      <c r="H47" s="186"/>
      <c r="I47" s="29"/>
      <c r="J47" s="29"/>
      <c r="T47" s="131" t="str">
        <f>IF(C47&gt;EOMONTH(DATE('Input|General'!$G$13,MONTH('Input|General'!$G$9),1),0),"Ok",IF(ISBLANK($F47),"Check","Ok"))</f>
        <v>Ok</v>
      </c>
    </row>
    <row r="48" spans="3:20">
      <c r="C48" s="64">
        <v>42735</v>
      </c>
      <c r="D48" s="29"/>
      <c r="E48" s="29"/>
      <c r="F48" s="63">
        <v>110</v>
      </c>
      <c r="G48" s="117">
        <f t="shared" si="1"/>
        <v>1.4760147601476037E-2</v>
      </c>
      <c r="H48" s="186"/>
      <c r="I48" s="29"/>
      <c r="J48" s="29"/>
      <c r="T48" s="131" t="str">
        <f>IF(C48&gt;EOMONTH(DATE('Input|General'!$G$13,MONTH('Input|General'!$G$9),1),0),"Ok",IF(ISBLANK($F48),"Check","Ok"))</f>
        <v>Ok</v>
      </c>
    </row>
    <row r="49" spans="3:20">
      <c r="C49" s="64">
        <v>42825</v>
      </c>
      <c r="D49" s="29"/>
      <c r="E49" s="29"/>
      <c r="F49" s="63">
        <v>110.5</v>
      </c>
      <c r="G49" s="117">
        <f t="shared" si="1"/>
        <v>2.1256931608133023E-2</v>
      </c>
      <c r="H49" s="186"/>
      <c r="I49" s="29"/>
      <c r="J49" s="29"/>
      <c r="T49" s="131" t="str">
        <f>IF(C49&gt;EOMONTH(DATE('Input|General'!$G$13,MONTH('Input|General'!$G$9),1),0),"Ok",IF(ISBLANK($F49),"Check","Ok"))</f>
        <v>Ok</v>
      </c>
    </row>
    <row r="50" spans="3:20">
      <c r="C50" s="64">
        <v>42916</v>
      </c>
      <c r="D50" s="29"/>
      <c r="E50" s="29"/>
      <c r="F50" s="63">
        <v>110.7</v>
      </c>
      <c r="G50" s="117">
        <f t="shared" si="1"/>
        <v>1.9337016574585641E-2</v>
      </c>
      <c r="H50" s="187"/>
      <c r="I50" s="29"/>
      <c r="J50" s="29"/>
      <c r="T50" s="131" t="str">
        <f>IF(C50&gt;EOMONTH(DATE('Input|General'!$G$13,MONTH('Input|General'!$G$9),1),0),"Ok",IF(ISBLANK($F50),"Check","Ok"))</f>
        <v>Ok</v>
      </c>
    </row>
    <row r="51" spans="3:20">
      <c r="C51" s="64">
        <v>43008</v>
      </c>
      <c r="D51" s="29"/>
      <c r="E51" s="29"/>
      <c r="F51" s="63">
        <v>111.4</v>
      </c>
      <c r="G51" s="117">
        <f t="shared" si="1"/>
        <v>1.8281535648994485E-2</v>
      </c>
      <c r="H51" s="186"/>
      <c r="I51" s="29"/>
      <c r="J51" s="29"/>
      <c r="T51" s="131" t="str">
        <f>IF(C51&gt;EOMONTH(DATE('Input|General'!$G$13,MONTH('Input|General'!$G$9),1),0),"Ok",IF(ISBLANK($F51),"Check","Ok"))</f>
        <v>Ok</v>
      </c>
    </row>
    <row r="52" spans="3:20">
      <c r="C52" s="64">
        <v>43100</v>
      </c>
      <c r="D52" s="29"/>
      <c r="E52" s="29"/>
      <c r="F52" s="63">
        <v>112.1</v>
      </c>
      <c r="G52" s="117">
        <f t="shared" si="1"/>
        <v>1.9090909090909047E-2</v>
      </c>
      <c r="H52" s="186"/>
      <c r="I52" s="29"/>
      <c r="J52" s="29"/>
      <c r="T52" s="131" t="str">
        <f>IF(C52&gt;EOMONTH(DATE('Input|General'!$G$13,MONTH('Input|General'!$G$9),1),0),"Ok",IF(ISBLANK($F52),"Check","Ok"))</f>
        <v>Ok</v>
      </c>
    </row>
    <row r="53" spans="3:20">
      <c r="C53" s="64">
        <v>43190</v>
      </c>
      <c r="D53" s="29"/>
      <c r="E53" s="29"/>
      <c r="F53" s="63">
        <v>112.6</v>
      </c>
      <c r="G53" s="117">
        <f t="shared" si="1"/>
        <v>1.9004524886877761E-2</v>
      </c>
      <c r="H53" s="186"/>
      <c r="I53" s="29"/>
      <c r="J53" s="29"/>
      <c r="T53" s="131" t="str">
        <f>IF(C53&gt;EOMONTH(DATE('Input|General'!$G$13,MONTH('Input|General'!$G$9),1),0),"Ok",IF(ISBLANK($F53),"Check","Ok"))</f>
        <v>Ok</v>
      </c>
    </row>
    <row r="54" spans="3:20">
      <c r="C54" s="64">
        <v>43281</v>
      </c>
      <c r="D54" s="29"/>
      <c r="E54" s="29"/>
      <c r="F54" s="63">
        <v>113</v>
      </c>
      <c r="G54" s="117">
        <f t="shared" si="1"/>
        <v>2.0776874435411097E-2</v>
      </c>
      <c r="H54" s="186"/>
      <c r="I54" s="29"/>
      <c r="J54" s="29"/>
      <c r="T54" s="131" t="str">
        <f>IF(C54&gt;EOMONTH(DATE('Input|General'!$G$13,MONTH('Input|General'!$G$9),1),0),"Ok",IF(ISBLANK($F54),"Check","Ok"))</f>
        <v>Ok</v>
      </c>
    </row>
    <row r="55" spans="3:20">
      <c r="C55" s="64">
        <v>43373</v>
      </c>
      <c r="D55" s="29"/>
      <c r="E55" s="29"/>
      <c r="F55" s="63">
        <v>113.53087500000001</v>
      </c>
      <c r="G55" s="117">
        <f t="shared" si="1"/>
        <v>1.9128141831238787E-2</v>
      </c>
      <c r="H55" s="186"/>
      <c r="I55" s="29"/>
      <c r="J55" s="29"/>
      <c r="T55" s="131" t="str">
        <f>IF(C55&gt;EOMONTH(DATE('Input|General'!$G$13,MONTH('Input|General'!$G$9),1),0),"Ok",IF(ISBLANK($F55),"Check","Ok"))</f>
        <v>Ok</v>
      </c>
    </row>
    <row r="56" spans="3:20">
      <c r="C56" s="64">
        <v>43465</v>
      </c>
      <c r="D56" s="29"/>
      <c r="E56" s="29"/>
      <c r="F56" s="63">
        <v>114.1</v>
      </c>
      <c r="G56" s="117">
        <f t="shared" si="1"/>
        <v>1.7841213202497874E-2</v>
      </c>
      <c r="H56" s="186"/>
      <c r="I56" s="29"/>
      <c r="J56" s="29"/>
      <c r="T56" s="131" t="str">
        <f>IF(C56&gt;EOMONTH(DATE('Input|General'!$G$13,MONTH('Input|General'!$G$9),1),0),"Ok",IF(ISBLANK($F56),"Check","Ok"))</f>
        <v>Ok</v>
      </c>
    </row>
    <row r="57" spans="3:20">
      <c r="C57" s="64">
        <v>43555</v>
      </c>
      <c r="D57" s="29"/>
      <c r="E57" s="29"/>
      <c r="F57" s="63">
        <v>114.1</v>
      </c>
      <c r="G57" s="117">
        <f t="shared" si="1"/>
        <v>1.3321492007104752E-2</v>
      </c>
      <c r="H57" s="186"/>
      <c r="I57" s="29"/>
      <c r="J57" s="29"/>
      <c r="T57" s="131" t="str">
        <f>IF(C57&gt;EOMONTH(DATE('Input|General'!$G$13,MONTH('Input|General'!$G$9),1),0),"Ok",IF(ISBLANK($F57),"Check","Ok"))</f>
        <v>Ok</v>
      </c>
    </row>
    <row r="58" spans="3:20">
      <c r="C58" s="64">
        <v>43646</v>
      </c>
      <c r="D58" s="29"/>
      <c r="E58" s="29"/>
      <c r="F58" s="63">
        <v>114.8</v>
      </c>
      <c r="G58" s="117">
        <f t="shared" si="1"/>
        <v>1.5929203539823078E-2</v>
      </c>
      <c r="H58" s="186"/>
      <c r="I58" s="29"/>
      <c r="J58" s="29"/>
      <c r="T58" s="131" t="str">
        <f>IF(C58&gt;EOMONTH(DATE('Input|General'!$G$13,MONTH('Input|General'!$G$9),1),0),"Ok",IF(ISBLANK($F58),"Check","Ok"))</f>
        <v>Ok</v>
      </c>
    </row>
    <row r="59" spans="3:20">
      <c r="C59" s="64">
        <v>43738</v>
      </c>
      <c r="D59" s="29"/>
      <c r="E59" s="29"/>
      <c r="F59" s="63">
        <v>115.4</v>
      </c>
      <c r="G59" s="117">
        <f t="shared" si="1"/>
        <v>1.6463583144232796E-2</v>
      </c>
      <c r="H59" s="186"/>
      <c r="I59" s="29"/>
      <c r="J59" s="29"/>
      <c r="T59" s="131" t="str">
        <f>IF(C59&gt;EOMONTH(DATE('Input|General'!$G$13,MONTH('Input|General'!$G$9),1),0),"Ok",IF(ISBLANK($F59),"Check","Ok"))</f>
        <v>Ok</v>
      </c>
    </row>
    <row r="60" spans="3:20">
      <c r="C60" s="64">
        <v>43830</v>
      </c>
      <c r="D60" s="29"/>
      <c r="E60" s="29"/>
      <c r="F60" s="63">
        <v>116.2</v>
      </c>
      <c r="G60" s="117">
        <f t="shared" si="1"/>
        <v>1.8404907975460238E-2</v>
      </c>
      <c r="H60" s="186"/>
      <c r="I60" s="29"/>
      <c r="J60" s="29"/>
      <c r="T60" s="131" t="str">
        <f>IF(C60&gt;EOMONTH(DATE('Input|General'!$G$13,MONTH('Input|General'!$G$9),1),0),"Ok",IF(ISBLANK($F60),"Check","Ok"))</f>
        <v>Ok</v>
      </c>
    </row>
    <row r="61" spans="3:20">
      <c r="C61" s="64">
        <v>43921</v>
      </c>
      <c r="D61" s="29"/>
      <c r="E61" s="29"/>
      <c r="F61" s="63">
        <v>116.6</v>
      </c>
      <c r="G61" s="117">
        <f t="shared" si="1"/>
        <v>2.1910604732690686E-2</v>
      </c>
      <c r="H61" s="186"/>
      <c r="I61" s="29"/>
      <c r="J61" s="29"/>
      <c r="T61" s="131" t="str">
        <f>IF(C61&gt;EOMONTH(DATE('Input|General'!$G$13,MONTH('Input|General'!$G$9),1),0),"Ok",IF(ISBLANK($F61),"Check","Ok"))</f>
        <v>Ok</v>
      </c>
    </row>
    <row r="62" spans="3:20">
      <c r="C62" s="64">
        <v>44012</v>
      </c>
      <c r="D62" s="29"/>
      <c r="E62" s="29"/>
      <c r="F62" s="63">
        <v>114.4</v>
      </c>
      <c r="G62" s="117">
        <f t="shared" si="1"/>
        <v>-3.4843205574912606E-3</v>
      </c>
      <c r="H62" s="186"/>
      <c r="I62" s="29"/>
      <c r="J62" s="29"/>
      <c r="T62" s="131" t="str">
        <f>IF(C62&gt;EOMONTH(DATE('Input|General'!$G$13,MONTH('Input|General'!$G$9),1),0),"Ok",IF(ISBLANK($F62),"Check","Ok"))</f>
        <v>Ok</v>
      </c>
    </row>
    <row r="63" spans="3:20">
      <c r="C63" s="64">
        <v>44104</v>
      </c>
      <c r="D63" s="29"/>
      <c r="E63" s="29"/>
      <c r="F63" s="63">
        <f>AVERAGE(F62,F64)</f>
        <v>116.02625</v>
      </c>
      <c r="G63" s="117">
        <f t="shared" si="1"/>
        <v>5.4267764298092658E-3</v>
      </c>
      <c r="H63" s="186"/>
      <c r="I63" s="29"/>
      <c r="J63" s="29"/>
      <c r="T63" s="131" t="str">
        <f>IF(C63&gt;EOMONTH(DATE('Input|General'!$G$13,MONTH('Input|General'!$G$9),1),0),"Ok",IF(ISBLANK($F63),"Check","Ok"))</f>
        <v>Ok</v>
      </c>
    </row>
    <row r="64" spans="3:20">
      <c r="C64" s="64">
        <v>44196</v>
      </c>
      <c r="D64" s="29"/>
      <c r="E64" s="29"/>
      <c r="F64" s="63">
        <f>(F60*(1+1.25%))</f>
        <v>117.6525</v>
      </c>
      <c r="G64" s="117">
        <f t="shared" si="1"/>
        <v>1.2499999999999956E-2</v>
      </c>
      <c r="H64" s="186"/>
      <c r="I64" s="29"/>
      <c r="J64" s="29"/>
      <c r="T64" s="131" t="str">
        <f>IF(C64&gt;EOMONTH(DATE('Input|General'!$G$13,MONTH('Input|General'!$G$9),1),0),"Ok",IF(ISBLANK($F64),"Check","Ok"))</f>
        <v>Ok</v>
      </c>
    </row>
    <row r="65" spans="3:20" ht="12" thickBot="1">
      <c r="C65" s="64">
        <v>44286</v>
      </c>
      <c r="D65" s="29"/>
      <c r="E65" s="29"/>
      <c r="F65" s="63">
        <f>AVERAGE(F64,F66)</f>
        <v>117.74225000000001</v>
      </c>
      <c r="G65" s="117">
        <f t="shared" si="1"/>
        <v>9.7963121783877227E-3</v>
      </c>
      <c r="H65" s="186"/>
      <c r="I65" s="29"/>
      <c r="J65" s="29"/>
      <c r="T65" s="131" t="str">
        <f>IF(C65&gt;EOMONTH(DATE('Input|General'!$G$13,MONTH('Input|General'!$G$9),1),0),"Ok",IF(ISBLANK($F65),"Check","Ok"))</f>
        <v>Ok</v>
      </c>
    </row>
    <row r="66" spans="3:20" ht="12" thickBot="1">
      <c r="C66" s="64">
        <v>44377</v>
      </c>
      <c r="D66" s="29"/>
      <c r="E66" s="29"/>
      <c r="F66" s="219">
        <f>F62*(1+3%)</f>
        <v>117.83200000000001</v>
      </c>
      <c r="G66" s="220">
        <f>IF(ISBLANK(F66),"",F66/F64-1)</f>
        <v>1.5256794373259552E-3</v>
      </c>
      <c r="H66" s="186"/>
      <c r="I66" s="29"/>
      <c r="J66" s="29"/>
      <c r="T66" s="131" t="str">
        <f>IF(C66&gt;EOMONTH(DATE('Input|General'!$G$13,MONTH('Input|General'!$G$9),1),0),"Ok",IF(ISBLANK($F66),"Check","Ok"))</f>
        <v>Ok</v>
      </c>
    </row>
    <row r="67" spans="3:20">
      <c r="C67" s="64">
        <v>44469</v>
      </c>
      <c r="D67" s="29"/>
      <c r="E67" s="29"/>
      <c r="F67" s="63">
        <f>AVERAGE(F66,F68)</f>
        <v>118.3305125</v>
      </c>
      <c r="G67" s="117">
        <f t="shared" si="1"/>
        <v>1.9859837752232767E-2</v>
      </c>
      <c r="H67" s="186"/>
      <c r="I67" s="29"/>
      <c r="J67" s="29"/>
      <c r="T67" s="131" t="str">
        <f>IF(C67&gt;EOMONTH(DATE('Input|General'!$G$13,MONTH('Input|General'!$G$9),1),0),"Ok",IF(ISBLANK($F67),"Check","Ok"))</f>
        <v>Ok</v>
      </c>
    </row>
    <row r="68" spans="3:20">
      <c r="C68" s="64">
        <v>44561</v>
      </c>
      <c r="D68" s="29"/>
      <c r="E68" s="29"/>
      <c r="F68" s="63">
        <f>F64*(1+1%)</f>
        <v>118.829025</v>
      </c>
      <c r="G68" s="117">
        <f t="shared" si="1"/>
        <v>1.0000000000000009E-2</v>
      </c>
      <c r="H68" s="186"/>
      <c r="I68" s="29"/>
      <c r="J68" s="29"/>
      <c r="T68" s="131" t="str">
        <f>IF(C68&gt;EOMONTH(DATE('Input|General'!$G$13,MONTH('Input|General'!$G$9),1),0),"Ok",IF(ISBLANK($F68),"Check","Ok"))</f>
        <v>Ok</v>
      </c>
    </row>
    <row r="69" spans="3:20">
      <c r="C69" s="64">
        <v>44651</v>
      </c>
      <c r="D69" s="29"/>
      <c r="E69" s="29"/>
      <c r="F69" s="63"/>
      <c r="G69" s="117" t="str">
        <f t="shared" si="1"/>
        <v/>
      </c>
      <c r="H69" s="186"/>
      <c r="I69" s="29"/>
      <c r="J69" s="29"/>
      <c r="T69" s="131" t="str">
        <f>IF(C69&gt;EOMONTH(DATE('Input|General'!$G$13,MONTH('Input|General'!$G$9),1),0),"Ok",IF(ISBLANK($F69),"Check","Ok"))</f>
        <v>Ok</v>
      </c>
    </row>
    <row r="70" spans="3:20">
      <c r="C70" s="64">
        <v>44742</v>
      </c>
      <c r="D70" s="29"/>
      <c r="E70" s="29"/>
      <c r="F70" s="63"/>
      <c r="G70" s="117" t="str">
        <f t="shared" si="1"/>
        <v/>
      </c>
      <c r="H70" s="186"/>
      <c r="I70" s="29"/>
      <c r="J70" s="29"/>
      <c r="T70" s="131" t="str">
        <f>IF(C70&gt;EOMONTH(DATE('Input|General'!$G$13,MONTH('Input|General'!$G$9),1),0),"Ok",IF(ISBLANK($F70),"Check","Ok"))</f>
        <v>Ok</v>
      </c>
    </row>
    <row r="71" spans="3:20">
      <c r="C71" s="64">
        <v>44834</v>
      </c>
      <c r="D71" s="29"/>
      <c r="E71" s="29"/>
      <c r="F71" s="63"/>
      <c r="G71" s="117" t="str">
        <f t="shared" si="1"/>
        <v/>
      </c>
      <c r="H71" s="186"/>
      <c r="I71" s="29"/>
      <c r="J71" s="29"/>
      <c r="T71" s="131" t="str">
        <f>IF(C71&gt;EOMONTH(DATE('Input|General'!$G$13,MONTH('Input|General'!$G$9),1),0),"Ok",IF(ISBLANK($F71),"Check","Ok"))</f>
        <v>Ok</v>
      </c>
    </row>
    <row r="72" spans="3:20">
      <c r="C72" s="64">
        <v>44926</v>
      </c>
      <c r="D72" s="29"/>
      <c r="E72" s="29"/>
      <c r="F72" s="63"/>
      <c r="G72" s="117" t="str">
        <f t="shared" si="1"/>
        <v/>
      </c>
      <c r="H72" s="186"/>
      <c r="I72" s="29"/>
      <c r="J72" s="29"/>
      <c r="T72" s="131" t="str">
        <f>IF(C72&gt;EOMONTH(DATE('Input|General'!$G$13,MONTH('Input|General'!$G$9),1),0),"Ok",IF(ISBLANK($F72),"Check","Ok"))</f>
        <v>Ok</v>
      </c>
    </row>
    <row r="73" spans="3:20">
      <c r="C73" s="64">
        <v>45016</v>
      </c>
      <c r="D73" s="29"/>
      <c r="E73" s="29"/>
      <c r="F73" s="63"/>
      <c r="G73" s="117" t="str">
        <f t="shared" si="1"/>
        <v/>
      </c>
      <c r="H73" s="186"/>
      <c r="I73" s="29"/>
      <c r="J73" s="29"/>
      <c r="T73" s="131" t="str">
        <f>IF(C73&gt;EOMONTH(DATE('Input|General'!$G$13,MONTH('Input|General'!$G$9),1),0),"Ok",IF(ISBLANK($F73),"Check","Ok"))</f>
        <v>Ok</v>
      </c>
    </row>
    <row r="74" spans="3:20">
      <c r="C74" s="64">
        <v>45107</v>
      </c>
      <c r="D74" s="29"/>
      <c r="E74" s="29"/>
      <c r="F74" s="63"/>
      <c r="G74" s="117" t="str">
        <f t="shared" si="1"/>
        <v/>
      </c>
      <c r="H74" s="186"/>
      <c r="I74" s="29"/>
      <c r="J74" s="29"/>
      <c r="T74" s="131" t="str">
        <f>IF(C74&gt;EOMONTH(DATE('Input|General'!$G$13,MONTH('Input|General'!$G$9),1),0),"Ok",IF(ISBLANK($F74),"Check","Ok"))</f>
        <v>Ok</v>
      </c>
    </row>
    <row r="75" spans="3:20">
      <c r="C75" s="64">
        <v>45199</v>
      </c>
      <c r="D75" s="29"/>
      <c r="E75" s="29"/>
      <c r="F75" s="63"/>
      <c r="G75" s="117" t="str">
        <f t="shared" si="1"/>
        <v/>
      </c>
      <c r="H75" s="186"/>
      <c r="I75" s="29"/>
      <c r="J75" s="29"/>
      <c r="T75" s="131" t="str">
        <f>IF(C75&gt;EOMONTH(DATE('Input|General'!$G$13,MONTH('Input|General'!$G$9),1),0),"Ok",IF(ISBLANK($F75),"Check","Ok"))</f>
        <v>Ok</v>
      </c>
    </row>
    <row r="76" spans="3:20">
      <c r="C76" s="64">
        <v>45291</v>
      </c>
      <c r="D76" s="29"/>
      <c r="E76" s="29"/>
      <c r="F76" s="63"/>
      <c r="G76" s="117" t="str">
        <f t="shared" si="1"/>
        <v/>
      </c>
      <c r="H76" s="186"/>
      <c r="I76" s="29"/>
      <c r="J76" s="29"/>
      <c r="T76" s="131" t="str">
        <f>IF(C76&gt;EOMONTH(DATE('Input|General'!$G$13,MONTH('Input|General'!$G$9),1),0),"Ok",IF(ISBLANK($F76),"Check","Ok"))</f>
        <v>Ok</v>
      </c>
    </row>
    <row r="77" spans="3:20">
      <c r="C77" s="64">
        <v>45382</v>
      </c>
      <c r="D77" s="29"/>
      <c r="E77" s="29"/>
      <c r="F77" s="63"/>
      <c r="G77" s="117" t="str">
        <f t="shared" si="1"/>
        <v/>
      </c>
      <c r="H77" s="186"/>
      <c r="I77" s="29"/>
      <c r="J77" s="29"/>
      <c r="T77" s="131" t="str">
        <f>IF(C77&gt;EOMONTH(DATE('Input|General'!$G$13,MONTH('Input|General'!$G$9),1),0),"Ok",IF(ISBLANK($F77),"Check","Ok"))</f>
        <v>Ok</v>
      </c>
    </row>
    <row r="78" spans="3:20">
      <c r="C78" s="64">
        <v>45473</v>
      </c>
      <c r="D78" s="29"/>
      <c r="E78" s="29"/>
      <c r="F78" s="63"/>
      <c r="G78" s="117" t="str">
        <f t="shared" si="1"/>
        <v/>
      </c>
      <c r="H78" s="186"/>
      <c r="I78" s="29"/>
      <c r="J78" s="29"/>
      <c r="T78" s="131" t="str">
        <f>IF(C78&gt;EOMONTH(DATE('Input|General'!$G$13,MONTH('Input|General'!$G$9),1),0),"Ok",IF(ISBLANK($F78),"Check","Ok"))</f>
        <v>Ok</v>
      </c>
    </row>
    <row r="79" spans="3:20">
      <c r="C79" s="64">
        <v>45565</v>
      </c>
      <c r="D79" s="29"/>
      <c r="E79" s="29"/>
      <c r="F79" s="63"/>
      <c r="G79" s="117" t="str">
        <f t="shared" si="1"/>
        <v/>
      </c>
      <c r="H79" s="186"/>
      <c r="I79" s="29"/>
      <c r="J79" s="29"/>
      <c r="T79" s="131" t="str">
        <f>IF(C79&gt;EOMONTH(DATE('Input|General'!$G$13,MONTH('Input|General'!$G$9),1),0),"Ok",IF(ISBLANK($F79),"Check","Ok"))</f>
        <v>Ok</v>
      </c>
    </row>
    <row r="80" spans="3:20">
      <c r="C80" s="64">
        <v>45657</v>
      </c>
      <c r="D80" s="29"/>
      <c r="E80" s="29"/>
      <c r="F80" s="63"/>
      <c r="G80" s="117" t="str">
        <f t="shared" si="1"/>
        <v/>
      </c>
      <c r="H80" s="186"/>
      <c r="I80" s="29"/>
      <c r="J80" s="29"/>
      <c r="T80" s="131" t="str">
        <f>IF(C80&gt;EOMONTH(DATE('Input|General'!$G$13,MONTH('Input|General'!$G$9),1),0),"Ok",IF(ISBLANK($F80),"Check","Ok"))</f>
        <v>Ok</v>
      </c>
    </row>
    <row r="81" spans="1:48">
      <c r="C81" s="64">
        <v>45747</v>
      </c>
      <c r="D81" s="29"/>
      <c r="E81" s="29"/>
      <c r="F81" s="63"/>
      <c r="G81" s="117" t="str">
        <f t="shared" si="1"/>
        <v/>
      </c>
      <c r="H81" s="186"/>
      <c r="I81" s="29"/>
      <c r="J81" s="29"/>
      <c r="T81" s="131" t="str">
        <f>IF(C81&gt;EOMONTH(DATE('Input|General'!$G$13,MONTH('Input|General'!$G$9),1),0),"Ok",IF(ISBLANK($F81),"Check","Ok"))</f>
        <v>Ok</v>
      </c>
    </row>
    <row r="82" spans="1:48">
      <c r="C82" s="64">
        <v>45838</v>
      </c>
      <c r="D82" s="29"/>
      <c r="E82" s="29"/>
      <c r="F82" s="63"/>
      <c r="G82" s="117" t="str">
        <f t="shared" si="1"/>
        <v/>
      </c>
      <c r="H82" s="186"/>
      <c r="I82" s="29"/>
      <c r="J82" s="29"/>
      <c r="T82" s="131" t="str">
        <f>IF(C82&gt;EOMONTH(DATE('Input|General'!$G$13,MONTH('Input|General'!$G$9),1),0),"Ok",IF(ISBLANK($F82),"Check","Ok"))</f>
        <v>Ok</v>
      </c>
    </row>
    <row r="83" spans="1:48">
      <c r="C83" s="64">
        <v>45930</v>
      </c>
      <c r="D83" s="29"/>
      <c r="E83" s="29"/>
      <c r="F83" s="63"/>
      <c r="G83" s="117" t="str">
        <f t="shared" si="1"/>
        <v/>
      </c>
      <c r="H83" s="186"/>
      <c r="I83" s="29"/>
      <c r="J83" s="29"/>
      <c r="T83" s="131" t="str">
        <f>IF(C83&gt;EOMONTH(DATE('Input|General'!$G$13,MONTH('Input|General'!$G$9),1),0),"Ok",IF(ISBLANK($F83),"Check","Ok"))</f>
        <v>Ok</v>
      </c>
    </row>
    <row r="84" spans="1:48">
      <c r="C84" s="64">
        <v>46022</v>
      </c>
      <c r="D84" s="29"/>
      <c r="E84" s="29"/>
      <c r="F84" s="63"/>
      <c r="G84" s="117" t="str">
        <f t="shared" si="1"/>
        <v/>
      </c>
      <c r="H84" s="186"/>
      <c r="I84" s="29"/>
      <c r="J84" s="29"/>
      <c r="T84" s="131" t="str">
        <f>IF(C84&gt;EOMONTH(DATE('Input|General'!$G$13,MONTH('Input|General'!$G$9),1),0),"Ok",IF(ISBLANK($F84),"Check","Ok"))</f>
        <v>Ok</v>
      </c>
    </row>
    <row r="85" spans="1:48">
      <c r="F85" s="29"/>
      <c r="G85" s="29"/>
      <c r="H85" s="29"/>
      <c r="I85" s="29"/>
      <c r="J85" s="29"/>
      <c r="T85" s="132"/>
    </row>
    <row r="86" spans="1:48" s="103" customFormat="1" ht="12.75">
      <c r="A86" s="94"/>
      <c r="B86" s="95" t="s">
        <v>21</v>
      </c>
      <c r="C86" s="94"/>
      <c r="D86" s="94"/>
      <c r="E86" s="94"/>
      <c r="F86" s="94"/>
      <c r="G86" s="96"/>
      <c r="H86" s="96"/>
      <c r="I86" s="96"/>
      <c r="J86" s="96"/>
      <c r="K86" s="97"/>
      <c r="L86" s="98"/>
      <c r="M86" s="97"/>
      <c r="N86" s="98"/>
      <c r="O86" s="97"/>
      <c r="P86" s="97"/>
      <c r="Q86" s="97"/>
      <c r="R86" s="97"/>
      <c r="S86" s="97"/>
      <c r="T86" s="97"/>
      <c r="U86" s="97"/>
      <c r="V86" s="97"/>
      <c r="W86" s="98"/>
      <c r="X86" s="98"/>
      <c r="Y86" s="99"/>
      <c r="Z86" s="99"/>
      <c r="AA86" s="99"/>
      <c r="AB86" s="99"/>
      <c r="AC86" s="100"/>
      <c r="AD86" s="101"/>
      <c r="AE86" s="101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  <c r="AV86" s="102"/>
    </row>
    <row r="87" spans="1:48" hidden="1">
      <c r="H87" s="32"/>
      <c r="I87" s="32"/>
    </row>
    <row r="88" spans="1:48" hidden="1">
      <c r="H88" s="32"/>
      <c r="I88" s="32"/>
    </row>
    <row r="89" spans="1:48" s="30" customFormat="1" hidden="1">
      <c r="A89" s="29"/>
      <c r="B89" s="29"/>
      <c r="C89" s="29"/>
      <c r="H89" s="32"/>
      <c r="I89" s="32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</row>
    <row r="90" spans="1:48" s="30" customFormat="1" hidden="1">
      <c r="A90" s="29"/>
      <c r="B90" s="29"/>
      <c r="C90" s="29"/>
      <c r="H90" s="32"/>
      <c r="I90" s="32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</row>
    <row r="91" spans="1:48" s="30" customFormat="1" hidden="1">
      <c r="A91" s="29"/>
      <c r="B91" s="29"/>
      <c r="C91" s="29"/>
      <c r="H91" s="32"/>
      <c r="I91" s="32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</row>
    <row r="92" spans="1:48" s="30" customFormat="1" hidden="1">
      <c r="A92" s="29"/>
      <c r="B92" s="29"/>
      <c r="C92" s="29"/>
      <c r="H92" s="32"/>
      <c r="I92" s="32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</row>
    <row r="93" spans="1:48" s="30" customFormat="1" hidden="1">
      <c r="A93" s="29"/>
      <c r="B93" s="29"/>
      <c r="C93" s="29"/>
      <c r="H93" s="32"/>
      <c r="I93" s="32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</row>
    <row r="94" spans="1:48" s="30" customFormat="1" hidden="1">
      <c r="A94" s="29"/>
      <c r="B94" s="29"/>
      <c r="C94" s="29"/>
      <c r="H94" s="32"/>
      <c r="I94" s="32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</row>
    <row r="95" spans="1:48" s="30" customFormat="1" hidden="1">
      <c r="A95" s="29"/>
      <c r="B95" s="29"/>
      <c r="C95" s="29"/>
      <c r="H95" s="32"/>
      <c r="I95" s="32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</row>
    <row r="96" spans="1:48" s="30" customFormat="1" hidden="1">
      <c r="A96" s="29"/>
      <c r="B96" s="29"/>
      <c r="C96" s="29"/>
      <c r="H96" s="32"/>
      <c r="I96" s="32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</row>
    <row r="97" ht="11.25" hidden="1" customHeight="1"/>
    <row r="98" ht="11.25" hidden="1" customHeight="1"/>
    <row r="99" ht="11.25" hidden="1" customHeight="1"/>
    <row r="100" ht="11.25" hidden="1" customHeight="1"/>
    <row r="101" ht="11.25" hidden="1" customHeight="1"/>
    <row r="102" ht="11.25" hidden="1" customHeight="1"/>
  </sheetData>
  <conditionalFormatting sqref="X14:X50 T85 X63:X85">
    <cfRule type="cellIs" dxfId="249" priority="11" operator="equal">
      <formula>"Check"</formula>
    </cfRule>
    <cfRule type="cellIs" dxfId="248" priority="12" operator="equal">
      <formula>"Ok"</formula>
    </cfRule>
  </conditionalFormatting>
  <conditionalFormatting sqref="W1">
    <cfRule type="cellIs" dxfId="247" priority="7" operator="equal">
      <formula>"Check"</formula>
    </cfRule>
    <cfRule type="cellIs" dxfId="246" priority="8" operator="equal">
      <formula>"Ok"</formula>
    </cfRule>
  </conditionalFormatting>
  <conditionalFormatting sqref="T1">
    <cfRule type="cellIs" dxfId="245" priority="5" operator="equal">
      <formula>"Check"</formula>
    </cfRule>
    <cfRule type="cellIs" dxfId="244" priority="6" operator="equal">
      <formula>"Ok"</formula>
    </cfRule>
  </conditionalFormatting>
  <conditionalFormatting sqref="X51:X57">
    <cfRule type="cellIs" dxfId="243" priority="3" operator="equal">
      <formula>"Check"</formula>
    </cfRule>
    <cfRule type="cellIs" dxfId="242" priority="4" operator="equal">
      <formula>"Ok"</formula>
    </cfRule>
  </conditionalFormatting>
  <conditionalFormatting sqref="X58:X62 T9:T84">
    <cfRule type="cellIs" dxfId="241" priority="1" operator="equal">
      <formula>"Check"</formula>
    </cfRule>
    <cfRule type="cellIs" dxfId="240" priority="2" operator="equal">
      <formula>"Ok"</formula>
    </cfRule>
  </conditionalFormatting>
  <dataValidations count="2">
    <dataValidation type="list" allowBlank="1" showInputMessage="1" showErrorMessage="1" sqref="G85" xr:uid="{00000000-0002-0000-0200-000000000000}">
      <formula1>"Real 2010,Real 2011,Real 2012,Real 2013,Real 2014,Real 2015,Nominal"</formula1>
    </dataValidation>
    <dataValidation type="list" allowBlank="1" showInputMessage="1" showErrorMessage="1" sqref="J12:J85" xr:uid="{00000000-0002-0000-0200-000001000000}">
      <formula1>#REF!</formula1>
    </dataValidation>
  </dataValidations>
  <hyperlinks>
    <hyperlink ref="K1" location="Index!A1" display="Back to Index" xr:uid="{00000000-0004-0000-0200-000000000000}"/>
    <hyperlink ref="V1" location="'Check|List'!A1" display="Overall Check:" xr:uid="{00000000-0004-0000-0200-000001000000}"/>
  </hyperlinks>
  <pageMargins left="0.7" right="0.7" top="0.75" bottom="0.75" header="0.3" footer="0.3"/>
  <pageSetup paperSize="9" orientation="portrait" verticalDpi="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3">
    <tabColor rgb="FFFFFF99"/>
  </sheetPr>
  <dimension ref="A1:X99"/>
  <sheetViews>
    <sheetView showGridLines="0" topLeftCell="A98" zoomScaleNormal="100" workbookViewId="0">
      <selection activeCell="A1048576" sqref="A1048576"/>
    </sheetView>
  </sheetViews>
  <sheetFormatPr defaultColWidth="0" defaultRowHeight="11.25" zeroHeight="1"/>
  <cols>
    <col min="1" max="2" width="1.6640625" style="103" customWidth="1"/>
    <col min="3" max="3" width="49.83203125" style="103" bestFit="1" customWidth="1"/>
    <col min="4" max="6" width="13.33203125" style="103" customWidth="1"/>
    <col min="7" max="7" width="3" style="103" customWidth="1"/>
    <col min="8" max="8" width="4.83203125" style="103" customWidth="1"/>
    <col min="9" max="9" width="14" style="103" customWidth="1"/>
    <col min="10" max="23" width="10.83203125" style="103" customWidth="1"/>
    <col min="24" max="24" width="0" style="103" hidden="1" customWidth="1"/>
    <col min="25" max="16384" width="9.33203125" style="103" hidden="1"/>
  </cols>
  <sheetData>
    <row r="1" spans="1:23" ht="15.75">
      <c r="A1" s="69"/>
      <c r="B1" s="70"/>
      <c r="C1" s="70" t="str">
        <f>Index!$B$1</f>
        <v>AER opex model v1.9</v>
      </c>
      <c r="D1" s="70"/>
      <c r="E1" s="70"/>
      <c r="F1" s="71"/>
      <c r="G1" s="71"/>
      <c r="H1" s="71"/>
      <c r="I1" s="71"/>
      <c r="J1" s="215" t="s">
        <v>2</v>
      </c>
      <c r="K1" s="69"/>
      <c r="L1" s="72" t="s">
        <v>3</v>
      </c>
      <c r="M1" s="73" t="s">
        <v>4</v>
      </c>
      <c r="N1" s="74" t="s">
        <v>5</v>
      </c>
      <c r="O1" s="75" t="s">
        <v>6</v>
      </c>
      <c r="P1" s="227" t="s">
        <v>225</v>
      </c>
      <c r="Q1" s="69"/>
      <c r="R1" s="72" t="s">
        <v>81</v>
      </c>
      <c r="S1" s="76" t="str">
        <f>IF(COUNTA($W$29:$W$291)=COUNTIF($W$29:$W$291,"OK"),"OK","Check")</f>
        <v>OK</v>
      </c>
      <c r="T1" s="76"/>
      <c r="U1" s="185" t="s">
        <v>24</v>
      </c>
      <c r="V1" s="76" t="str">
        <f>'Check|List'!$S$1</f>
        <v>Check</v>
      </c>
      <c r="W1" s="69"/>
    </row>
    <row r="2" spans="1:23" ht="13.5" thickBot="1">
      <c r="A2" s="77"/>
      <c r="B2" s="78"/>
      <c r="C2" s="78" t="str">
        <f>Index!$C$9</f>
        <v>Input | Reported opex</v>
      </c>
      <c r="D2" s="78"/>
      <c r="E2" s="78"/>
      <c r="F2" s="79"/>
      <c r="G2" s="79"/>
      <c r="H2" s="79"/>
      <c r="I2" s="79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</row>
    <row r="3" spans="1:23">
      <c r="A3" s="133"/>
      <c r="B3" s="133"/>
      <c r="C3" s="134"/>
      <c r="D3" s="135"/>
      <c r="E3" s="135"/>
      <c r="F3" s="135"/>
      <c r="G3" s="135"/>
      <c r="H3" s="135"/>
      <c r="I3" s="135"/>
      <c r="J3" s="155" t="s">
        <v>117</v>
      </c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36"/>
      <c r="V3" s="136"/>
      <c r="W3" s="136"/>
    </row>
    <row r="4" spans="1:23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8"/>
      <c r="W4" s="88"/>
    </row>
    <row r="5" spans="1:23" ht="5.25" customHeight="1">
      <c r="A5" s="27"/>
      <c r="B5" s="27"/>
      <c r="C5" s="27"/>
      <c r="D5" s="28"/>
      <c r="E5" s="28"/>
      <c r="F5" s="28"/>
      <c r="G5" s="28"/>
      <c r="H5" s="28"/>
      <c r="I5" s="28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</row>
    <row r="6" spans="1:23" ht="6.75" customHeight="1">
      <c r="A6" s="27"/>
      <c r="B6" s="27"/>
      <c r="C6" s="27"/>
      <c r="D6" s="28"/>
      <c r="E6" s="28"/>
      <c r="F6" s="28"/>
      <c r="G6" s="28"/>
      <c r="H6" s="28"/>
      <c r="I6" s="28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</row>
    <row r="7" spans="1:23" ht="5.25" customHeight="1">
      <c r="A7" s="27"/>
      <c r="B7" s="27"/>
      <c r="C7" s="27"/>
      <c r="D7" s="28"/>
      <c r="E7" s="28"/>
      <c r="F7" s="28"/>
      <c r="G7" s="28"/>
      <c r="H7" s="28"/>
      <c r="I7" s="28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</row>
    <row r="8" spans="1:23" ht="12.75">
      <c r="A8" s="94"/>
      <c r="B8" s="95" t="s">
        <v>199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</row>
    <row r="9" spans="1:23">
      <c r="A9" s="29"/>
      <c r="B9" s="29"/>
      <c r="C9" s="29"/>
      <c r="D9" s="30"/>
      <c r="E9" s="30"/>
      <c r="F9" s="30"/>
      <c r="G9" s="32"/>
      <c r="H9" s="32"/>
      <c r="I9" s="30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</row>
    <row r="10" spans="1:23">
      <c r="A10" s="29"/>
      <c r="B10" s="29"/>
      <c r="C10" s="67" t="s">
        <v>75</v>
      </c>
      <c r="D10" s="32" t="s">
        <v>7</v>
      </c>
      <c r="E10" s="32" t="s">
        <v>8</v>
      </c>
      <c r="F10" s="32" t="s">
        <v>22</v>
      </c>
      <c r="G10" s="32"/>
      <c r="H10" s="32"/>
      <c r="I10" s="30"/>
      <c r="J10" s="156">
        <f t="shared" ref="J10:T10" si="0">IF(YEAR(J$4)&lt;=PPLastYear,J$4,"")</f>
        <v>42705</v>
      </c>
      <c r="K10" s="156">
        <f t="shared" si="0"/>
        <v>43070</v>
      </c>
      <c r="L10" s="156">
        <f t="shared" si="0"/>
        <v>43435</v>
      </c>
      <c r="M10" s="156">
        <f t="shared" si="0"/>
        <v>43800</v>
      </c>
      <c r="N10" s="156">
        <f t="shared" si="0"/>
        <v>44166</v>
      </c>
      <c r="O10" s="156" t="str">
        <f t="shared" si="0"/>
        <v/>
      </c>
      <c r="P10" s="156" t="str">
        <f t="shared" si="0"/>
        <v/>
      </c>
      <c r="Q10" s="156" t="str">
        <f t="shared" si="0"/>
        <v/>
      </c>
      <c r="R10" s="156" t="str">
        <f t="shared" si="0"/>
        <v/>
      </c>
      <c r="S10" s="156" t="str">
        <f t="shared" si="0"/>
        <v/>
      </c>
      <c r="T10" s="156" t="str">
        <f t="shared" si="0"/>
        <v/>
      </c>
      <c r="U10" s="138"/>
      <c r="V10" s="138"/>
      <c r="W10" s="29"/>
    </row>
    <row r="11" spans="1:23">
      <c r="A11" s="29"/>
      <c r="B11" s="29"/>
      <c r="C11" s="111"/>
      <c r="D11" s="30"/>
      <c r="E11" s="30"/>
      <c r="F11" s="30"/>
      <c r="G11" s="32"/>
      <c r="H11" s="32"/>
      <c r="I11" s="30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</row>
    <row r="12" spans="1:23">
      <c r="A12" s="29"/>
      <c r="B12" s="29"/>
      <c r="C12" s="111"/>
      <c r="D12" s="30"/>
      <c r="E12" s="110"/>
      <c r="F12" s="30"/>
      <c r="G12" s="32"/>
      <c r="H12" s="32"/>
      <c r="I12" s="30"/>
      <c r="J12" s="23"/>
      <c r="K12" s="23"/>
      <c r="L12" s="23"/>
      <c r="M12" s="23"/>
      <c r="N12" s="23"/>
      <c r="O12" s="150"/>
      <c r="P12" s="29"/>
      <c r="Q12" s="29"/>
      <c r="R12" s="29"/>
      <c r="S12" s="29"/>
      <c r="T12" s="29"/>
      <c r="U12" s="29"/>
      <c r="V12" s="29"/>
      <c r="W12" s="29"/>
    </row>
    <row r="13" spans="1:23">
      <c r="A13" s="29"/>
      <c r="B13" s="29"/>
      <c r="C13" s="61" t="s">
        <v>72</v>
      </c>
      <c r="D13" s="30" t="s">
        <v>68</v>
      </c>
      <c r="E13" s="169" t="s">
        <v>15</v>
      </c>
      <c r="F13" s="169">
        <v>42339</v>
      </c>
      <c r="G13" s="32"/>
      <c r="H13" s="32"/>
      <c r="I13" s="30"/>
      <c r="J13" s="228">
        <v>227.20857397562551</v>
      </c>
      <c r="K13" s="228">
        <v>233.16231007995322</v>
      </c>
      <c r="L13" s="228">
        <v>243.09902232346829</v>
      </c>
      <c r="M13" s="228">
        <v>245.72964969332111</v>
      </c>
      <c r="N13" s="228">
        <v>251.19971114109896</v>
      </c>
      <c r="O13" s="150"/>
      <c r="P13" s="150"/>
      <c r="Q13" s="150"/>
      <c r="R13" s="150"/>
      <c r="S13" s="150"/>
      <c r="T13" s="150"/>
      <c r="U13" s="29"/>
      <c r="V13" s="29"/>
      <c r="W13" s="29"/>
    </row>
    <row r="14" spans="1:23">
      <c r="A14" s="29"/>
      <c r="B14" s="29"/>
      <c r="C14" s="111"/>
      <c r="D14" s="30"/>
      <c r="E14" s="30"/>
      <c r="F14" s="30"/>
      <c r="G14" s="32"/>
      <c r="H14" s="32"/>
      <c r="I14" s="30"/>
      <c r="J14" s="23"/>
      <c r="K14" s="23"/>
      <c r="L14" s="23"/>
      <c r="M14" s="23"/>
      <c r="N14" s="23"/>
      <c r="O14" s="29"/>
      <c r="P14" s="29"/>
      <c r="Q14" s="29"/>
      <c r="R14" s="29"/>
      <c r="S14" s="29"/>
      <c r="T14" s="29"/>
      <c r="U14" s="29"/>
      <c r="V14" s="29"/>
      <c r="W14" s="29"/>
    </row>
    <row r="15" spans="1:23">
      <c r="A15" s="29"/>
      <c r="B15" s="29"/>
      <c r="C15" s="139" t="s">
        <v>72</v>
      </c>
      <c r="D15" s="140" t="str">
        <f>D13</f>
        <v>AER</v>
      </c>
      <c r="E15" s="201" t="str">
        <f>E13</f>
        <v>$millions</v>
      </c>
      <c r="F15" s="201">
        <f>F13</f>
        <v>42339</v>
      </c>
      <c r="G15" s="32"/>
      <c r="H15" s="32"/>
      <c r="I15" s="30"/>
      <c r="J15" s="129">
        <f>J13</f>
        <v>227.20857397562551</v>
      </c>
      <c r="K15" s="129">
        <f t="shared" ref="K15:T15" si="1">K13</f>
        <v>233.16231007995322</v>
      </c>
      <c r="L15" s="129">
        <f t="shared" si="1"/>
        <v>243.09902232346829</v>
      </c>
      <c r="M15" s="129">
        <f t="shared" si="1"/>
        <v>245.72964969332111</v>
      </c>
      <c r="N15" s="129">
        <f t="shared" si="1"/>
        <v>251.19971114109896</v>
      </c>
      <c r="O15" s="129">
        <f t="shared" si="1"/>
        <v>0</v>
      </c>
      <c r="P15" s="129">
        <f t="shared" si="1"/>
        <v>0</v>
      </c>
      <c r="Q15" s="129">
        <f t="shared" si="1"/>
        <v>0</v>
      </c>
      <c r="R15" s="129">
        <f t="shared" si="1"/>
        <v>0</v>
      </c>
      <c r="S15" s="129">
        <f t="shared" si="1"/>
        <v>0</v>
      </c>
      <c r="T15" s="129">
        <f t="shared" si="1"/>
        <v>0</v>
      </c>
      <c r="U15" s="29"/>
      <c r="V15" s="29"/>
      <c r="W15" s="29"/>
    </row>
    <row r="16" spans="1:23">
      <c r="A16" s="29"/>
      <c r="B16" s="29"/>
      <c r="C16" s="111"/>
      <c r="D16" s="30"/>
      <c r="E16" s="30"/>
      <c r="F16" s="30"/>
      <c r="G16" s="32"/>
      <c r="H16" s="32"/>
      <c r="I16" s="30"/>
      <c r="J16" s="23"/>
      <c r="K16" s="23"/>
      <c r="L16" s="23"/>
      <c r="M16" s="23"/>
      <c r="N16" s="23"/>
      <c r="O16" s="29"/>
      <c r="P16" s="29"/>
      <c r="Q16" s="29"/>
      <c r="R16" s="29"/>
      <c r="S16" s="29"/>
      <c r="T16" s="29"/>
      <c r="U16" s="29"/>
      <c r="V16" s="29"/>
      <c r="W16" s="29"/>
    </row>
    <row r="17" spans="1:23">
      <c r="A17" s="29"/>
      <c r="B17" s="29"/>
      <c r="C17" s="67" t="s">
        <v>156</v>
      </c>
      <c r="D17" s="30"/>
      <c r="E17" s="30"/>
      <c r="F17" s="30"/>
      <c r="G17" s="32"/>
      <c r="H17" s="32"/>
      <c r="I17" s="30"/>
      <c r="J17" s="23"/>
      <c r="K17" s="23"/>
      <c r="L17" s="23"/>
      <c r="M17" s="23"/>
      <c r="N17" s="23"/>
      <c r="O17" s="29"/>
      <c r="P17" s="29"/>
      <c r="Q17" s="29"/>
      <c r="R17" s="29"/>
      <c r="S17" s="29"/>
      <c r="T17" s="29"/>
      <c r="U17" s="29"/>
      <c r="V17" s="29"/>
      <c r="W17" s="29"/>
    </row>
    <row r="18" spans="1:23">
      <c r="A18" s="29"/>
      <c r="B18" s="29"/>
      <c r="C18" s="111"/>
      <c r="D18" s="30"/>
      <c r="E18" s="30"/>
      <c r="F18" s="30"/>
      <c r="G18" s="32"/>
      <c r="H18" s="32"/>
      <c r="I18" s="30"/>
      <c r="J18" s="23"/>
      <c r="K18" s="23"/>
      <c r="L18" s="23"/>
      <c r="M18" s="23"/>
      <c r="N18" s="23"/>
      <c r="O18" s="29"/>
      <c r="P18" s="29"/>
      <c r="Q18" s="29"/>
      <c r="R18" s="29"/>
      <c r="S18" s="29"/>
      <c r="T18" s="29"/>
      <c r="U18" s="29"/>
      <c r="V18" s="29"/>
      <c r="W18" s="29"/>
    </row>
    <row r="19" spans="1:23">
      <c r="A19" s="29"/>
      <c r="B19" s="29"/>
      <c r="C19" s="61" t="s">
        <v>39</v>
      </c>
      <c r="D19" s="30" t="s">
        <v>68</v>
      </c>
      <c r="E19" s="30" t="str">
        <f>$E$29</f>
        <v>$millions</v>
      </c>
      <c r="F19" s="158">
        <f t="shared" ref="F19:F27" si="2">$F$15</f>
        <v>42339</v>
      </c>
      <c r="G19" s="32"/>
      <c r="H19" s="32"/>
      <c r="I19" s="30"/>
      <c r="J19" s="161">
        <v>1.6620102906657084</v>
      </c>
      <c r="K19" s="161">
        <v>1.7490670445742109</v>
      </c>
      <c r="L19" s="161">
        <v>1.8565094484111484</v>
      </c>
      <c r="M19" s="161">
        <v>1.9712092113177384</v>
      </c>
      <c r="N19" s="161">
        <v>2.0619088757803503</v>
      </c>
      <c r="O19" s="150"/>
      <c r="P19" s="150"/>
      <c r="Q19" s="150"/>
      <c r="R19" s="150"/>
      <c r="S19" s="150"/>
      <c r="T19" s="150"/>
      <c r="U19" s="29"/>
      <c r="V19" s="29"/>
      <c r="W19" s="29"/>
    </row>
    <row r="20" spans="1:23">
      <c r="A20" s="29"/>
      <c r="B20" s="29"/>
      <c r="C20" s="61" t="s">
        <v>185</v>
      </c>
      <c r="D20" s="30" t="s">
        <v>68</v>
      </c>
      <c r="E20" s="30" t="str">
        <f t="shared" ref="E20:E27" si="3">$E$15</f>
        <v>$millions</v>
      </c>
      <c r="F20" s="158">
        <f t="shared" si="2"/>
        <v>42339</v>
      </c>
      <c r="G20" s="32"/>
      <c r="H20" s="32"/>
      <c r="I20" s="30"/>
      <c r="J20" s="161">
        <v>3.0996437859920776</v>
      </c>
      <c r="K20" s="161">
        <v>3.0996437859920776</v>
      </c>
      <c r="L20" s="161">
        <v>3.0996437859920776</v>
      </c>
      <c r="M20" s="161">
        <v>3.0996437859920776</v>
      </c>
      <c r="N20" s="161">
        <v>3.0996437859920776</v>
      </c>
      <c r="O20" s="150"/>
      <c r="P20" s="150"/>
      <c r="Q20" s="150"/>
      <c r="R20" s="150"/>
      <c r="S20" s="150"/>
      <c r="T20" s="150"/>
      <c r="U20" s="29"/>
      <c r="V20" s="29"/>
      <c r="W20" s="29"/>
    </row>
    <row r="21" spans="1:23">
      <c r="A21" s="29"/>
      <c r="B21" s="29"/>
      <c r="C21" s="61"/>
      <c r="D21" s="30" t="s">
        <v>68</v>
      </c>
      <c r="E21" s="30" t="str">
        <f t="shared" si="3"/>
        <v>$millions</v>
      </c>
      <c r="F21" s="158">
        <f t="shared" si="2"/>
        <v>42339</v>
      </c>
      <c r="G21" s="32"/>
      <c r="H21" s="32"/>
      <c r="I21" s="30"/>
      <c r="J21" s="161"/>
      <c r="K21" s="161"/>
      <c r="L21" s="161"/>
      <c r="M21" s="161"/>
      <c r="N21" s="161"/>
      <c r="O21" s="150"/>
      <c r="P21" s="150"/>
      <c r="Q21" s="150"/>
      <c r="R21" s="150"/>
      <c r="S21" s="150"/>
      <c r="T21" s="150"/>
      <c r="U21" s="29"/>
      <c r="V21" s="29"/>
      <c r="W21" s="29"/>
    </row>
    <row r="22" spans="1:23">
      <c r="A22" s="29"/>
      <c r="B22" s="29"/>
      <c r="C22" s="61"/>
      <c r="D22" s="30" t="s">
        <v>68</v>
      </c>
      <c r="E22" s="30" t="str">
        <f t="shared" si="3"/>
        <v>$millions</v>
      </c>
      <c r="F22" s="158">
        <f t="shared" si="2"/>
        <v>42339</v>
      </c>
      <c r="G22" s="32"/>
      <c r="H22" s="32"/>
      <c r="I22" s="30"/>
      <c r="J22" s="161"/>
      <c r="K22" s="161"/>
      <c r="L22" s="161"/>
      <c r="M22" s="161"/>
      <c r="N22" s="161"/>
      <c r="O22" s="150"/>
      <c r="P22" s="150"/>
      <c r="Q22" s="150"/>
      <c r="R22" s="150"/>
      <c r="S22" s="150"/>
      <c r="T22" s="150"/>
      <c r="U22" s="29"/>
      <c r="V22" s="29"/>
      <c r="W22" s="29"/>
    </row>
    <row r="23" spans="1:23">
      <c r="A23" s="29"/>
      <c r="B23" s="29"/>
      <c r="C23" s="61"/>
      <c r="D23" s="30" t="s">
        <v>68</v>
      </c>
      <c r="E23" s="30" t="str">
        <f t="shared" si="3"/>
        <v>$millions</v>
      </c>
      <c r="F23" s="158">
        <f t="shared" si="2"/>
        <v>42339</v>
      </c>
      <c r="G23" s="32"/>
      <c r="H23" s="32"/>
      <c r="I23" s="30"/>
      <c r="J23" s="161"/>
      <c r="K23" s="161"/>
      <c r="L23" s="161"/>
      <c r="M23" s="161"/>
      <c r="N23" s="161"/>
      <c r="O23" s="150"/>
      <c r="P23" s="150"/>
      <c r="Q23" s="150"/>
      <c r="R23" s="150"/>
      <c r="S23" s="150"/>
      <c r="T23" s="150"/>
      <c r="U23" s="29"/>
      <c r="V23" s="29"/>
      <c r="W23" s="29"/>
    </row>
    <row r="24" spans="1:23">
      <c r="A24" s="29"/>
      <c r="B24" s="29"/>
      <c r="C24" s="61"/>
      <c r="D24" s="30" t="s">
        <v>68</v>
      </c>
      <c r="E24" s="30" t="str">
        <f t="shared" si="3"/>
        <v>$millions</v>
      </c>
      <c r="F24" s="158">
        <f t="shared" si="2"/>
        <v>42339</v>
      </c>
      <c r="G24" s="32"/>
      <c r="H24" s="32"/>
      <c r="I24" s="30"/>
      <c r="J24" s="161"/>
      <c r="K24" s="161"/>
      <c r="L24" s="161"/>
      <c r="M24" s="161"/>
      <c r="N24" s="161"/>
      <c r="O24" s="150"/>
      <c r="P24" s="150"/>
      <c r="Q24" s="150"/>
      <c r="R24" s="150"/>
      <c r="S24" s="150"/>
      <c r="T24" s="150"/>
      <c r="U24" s="29"/>
      <c r="V24" s="29"/>
      <c r="W24" s="29"/>
    </row>
    <row r="25" spans="1:23">
      <c r="A25" s="29"/>
      <c r="B25" s="29"/>
      <c r="C25" s="61"/>
      <c r="D25" s="30" t="s">
        <v>68</v>
      </c>
      <c r="E25" s="30" t="str">
        <f t="shared" si="3"/>
        <v>$millions</v>
      </c>
      <c r="F25" s="158">
        <f t="shared" si="2"/>
        <v>42339</v>
      </c>
      <c r="G25" s="32"/>
      <c r="H25" s="32"/>
      <c r="I25" s="30"/>
      <c r="J25" s="161"/>
      <c r="K25" s="161"/>
      <c r="L25" s="161"/>
      <c r="M25" s="161"/>
      <c r="N25" s="161"/>
      <c r="O25" s="150"/>
      <c r="P25" s="150"/>
      <c r="Q25" s="150"/>
      <c r="R25" s="150"/>
      <c r="S25" s="150"/>
      <c r="T25" s="150"/>
      <c r="U25" s="29"/>
      <c r="V25" s="29"/>
      <c r="W25" s="29"/>
    </row>
    <row r="26" spans="1:23">
      <c r="A26" s="29"/>
      <c r="B26" s="29"/>
      <c r="C26" s="61"/>
      <c r="D26" s="30" t="s">
        <v>68</v>
      </c>
      <c r="E26" s="30" t="str">
        <f t="shared" si="3"/>
        <v>$millions</v>
      </c>
      <c r="F26" s="158">
        <f t="shared" si="2"/>
        <v>42339</v>
      </c>
      <c r="G26" s="32"/>
      <c r="H26" s="32"/>
      <c r="I26" s="30"/>
      <c r="J26" s="161"/>
      <c r="K26" s="161"/>
      <c r="L26" s="161"/>
      <c r="M26" s="161"/>
      <c r="N26" s="161"/>
      <c r="O26" s="150"/>
      <c r="P26" s="150"/>
      <c r="Q26" s="150"/>
      <c r="R26" s="150"/>
      <c r="S26" s="150"/>
      <c r="T26" s="150"/>
      <c r="U26" s="29"/>
      <c r="V26" s="29"/>
      <c r="W26" s="29"/>
    </row>
    <row r="27" spans="1:23">
      <c r="A27" s="29"/>
      <c r="B27" s="29"/>
      <c r="C27" s="61"/>
      <c r="D27" s="30" t="s">
        <v>68</v>
      </c>
      <c r="E27" s="30" t="str">
        <f t="shared" si="3"/>
        <v>$millions</v>
      </c>
      <c r="F27" s="158">
        <f t="shared" si="2"/>
        <v>42339</v>
      </c>
      <c r="G27" s="32"/>
      <c r="H27" s="32"/>
      <c r="I27" s="30"/>
      <c r="J27" s="161"/>
      <c r="K27" s="161"/>
      <c r="L27" s="161"/>
      <c r="M27" s="161"/>
      <c r="N27" s="161"/>
      <c r="O27" s="150"/>
      <c r="P27" s="150"/>
      <c r="Q27" s="150"/>
      <c r="R27" s="150"/>
      <c r="S27" s="150"/>
      <c r="T27" s="150"/>
      <c r="U27" s="29"/>
      <c r="V27" s="29"/>
      <c r="W27" s="29"/>
    </row>
    <row r="28" spans="1:23">
      <c r="A28" s="29"/>
      <c r="B28" s="29"/>
      <c r="C28" s="111"/>
      <c r="D28" s="30"/>
      <c r="E28" s="30"/>
      <c r="F28" s="30"/>
      <c r="G28" s="32"/>
      <c r="H28" s="32"/>
      <c r="I28" s="30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9"/>
      <c r="V28" s="29"/>
      <c r="W28" s="29"/>
    </row>
    <row r="29" spans="1:23">
      <c r="A29" s="29"/>
      <c r="B29" s="29"/>
      <c r="C29" s="139" t="s">
        <v>154</v>
      </c>
      <c r="D29" s="140" t="s">
        <v>30</v>
      </c>
      <c r="E29" s="130" t="s">
        <v>15</v>
      </c>
      <c r="F29" s="159">
        <f>F27</f>
        <v>42339</v>
      </c>
      <c r="G29" s="32"/>
      <c r="H29" s="32"/>
      <c r="I29" s="30"/>
      <c r="J29" s="129">
        <f>SUM(J19:J27)</f>
        <v>4.761654076657786</v>
      </c>
      <c r="K29" s="129">
        <f t="shared" ref="K29:S29" si="4">SUM(K19:K27)</f>
        <v>4.8487108305662883</v>
      </c>
      <c r="L29" s="129">
        <f t="shared" si="4"/>
        <v>4.9561532344032262</v>
      </c>
      <c r="M29" s="129">
        <f t="shared" si="4"/>
        <v>5.0708529973098155</v>
      </c>
      <c r="N29" s="129">
        <f t="shared" si="4"/>
        <v>5.1615526617724274</v>
      </c>
      <c r="O29" s="129">
        <f t="shared" si="4"/>
        <v>0</v>
      </c>
      <c r="P29" s="129">
        <f t="shared" si="4"/>
        <v>0</v>
      </c>
      <c r="Q29" s="129">
        <f t="shared" si="4"/>
        <v>0</v>
      </c>
      <c r="R29" s="129">
        <f t="shared" si="4"/>
        <v>0</v>
      </c>
      <c r="S29" s="129">
        <f t="shared" si="4"/>
        <v>0</v>
      </c>
      <c r="T29" s="129"/>
      <c r="U29" s="29"/>
      <c r="V29" s="29"/>
      <c r="W29" s="29" t="str">
        <f>IF(COUNTIF(J19:S27,"&lt;0")&gt;0,"Check","Ok")</f>
        <v>Ok</v>
      </c>
    </row>
    <row r="30" spans="1:23">
      <c r="A30" s="29"/>
      <c r="B30" s="29"/>
      <c r="C30" s="29"/>
      <c r="D30" s="30"/>
      <c r="E30" s="30"/>
      <c r="F30" s="30"/>
      <c r="G30" s="32"/>
      <c r="H30" s="32"/>
      <c r="I30" s="30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</row>
    <row r="31" spans="1:23" ht="12.75">
      <c r="A31" s="94"/>
      <c r="B31" s="95" t="s">
        <v>200</v>
      </c>
      <c r="C31" s="94"/>
      <c r="D31" s="94"/>
      <c r="E31" s="94"/>
      <c r="F31" s="96"/>
      <c r="G31" s="96"/>
      <c r="H31" s="96"/>
      <c r="I31" s="96"/>
      <c r="J31" s="97"/>
      <c r="K31" s="98"/>
      <c r="L31" s="97"/>
      <c r="M31" s="98"/>
      <c r="N31" s="97"/>
      <c r="O31" s="97"/>
      <c r="P31" s="97"/>
      <c r="Q31" s="97"/>
      <c r="R31" s="97"/>
      <c r="S31" s="97"/>
      <c r="T31" s="97"/>
      <c r="U31" s="97"/>
      <c r="V31" s="98"/>
      <c r="W31" s="98"/>
    </row>
    <row r="32" spans="1:23">
      <c r="A32" s="29"/>
      <c r="B32" s="29"/>
      <c r="C32" s="29"/>
      <c r="D32" s="30"/>
      <c r="E32" s="30"/>
      <c r="F32" s="30"/>
      <c r="G32" s="32"/>
      <c r="H32" s="32"/>
      <c r="I32" s="30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</row>
    <row r="33" spans="1:23">
      <c r="A33" s="29"/>
      <c r="B33" s="29"/>
      <c r="C33" s="67" t="s">
        <v>75</v>
      </c>
      <c r="D33" s="32" t="s">
        <v>7</v>
      </c>
      <c r="E33" s="32" t="s">
        <v>8</v>
      </c>
      <c r="F33" s="32" t="s">
        <v>22</v>
      </c>
      <c r="G33" s="32"/>
      <c r="H33" s="32"/>
      <c r="I33" s="30"/>
      <c r="J33" s="156" t="str">
        <f t="shared" ref="J33:T33" si="5">IF(YEAR(J$4)=InterveningPeriod,J$4,"")</f>
        <v/>
      </c>
      <c r="K33" s="156" t="str">
        <f t="shared" si="5"/>
        <v/>
      </c>
      <c r="L33" s="156" t="str">
        <f t="shared" si="5"/>
        <v/>
      </c>
      <c r="M33" s="156" t="str">
        <f t="shared" si="5"/>
        <v/>
      </c>
      <c r="N33" s="156" t="str">
        <f t="shared" si="5"/>
        <v/>
      </c>
      <c r="O33" s="156">
        <f t="shared" si="5"/>
        <v>44348</v>
      </c>
      <c r="P33" s="156" t="str">
        <f t="shared" si="5"/>
        <v/>
      </c>
      <c r="Q33" s="156" t="str">
        <f t="shared" si="5"/>
        <v/>
      </c>
      <c r="R33" s="156" t="str">
        <f t="shared" si="5"/>
        <v/>
      </c>
      <c r="S33" s="156" t="str">
        <f t="shared" si="5"/>
        <v/>
      </c>
      <c r="T33" s="156" t="str">
        <f t="shared" si="5"/>
        <v/>
      </c>
      <c r="U33" s="138"/>
      <c r="V33" s="138"/>
      <c r="W33" s="29"/>
    </row>
    <row r="34" spans="1:23">
      <c r="A34" s="29"/>
      <c r="B34" s="29"/>
      <c r="C34" s="111"/>
      <c r="D34" s="30"/>
      <c r="E34" s="30"/>
      <c r="F34" s="30"/>
      <c r="G34" s="32"/>
      <c r="H34" s="32"/>
      <c r="I34" s="30"/>
      <c r="J34" s="23"/>
      <c r="K34" s="23"/>
      <c r="L34" s="23"/>
      <c r="M34" s="23"/>
      <c r="N34" s="23"/>
      <c r="O34" s="29"/>
      <c r="P34" s="29"/>
      <c r="Q34" s="29"/>
      <c r="R34" s="29"/>
      <c r="S34" s="29"/>
      <c r="T34" s="29"/>
      <c r="U34" s="29"/>
      <c r="V34" s="29"/>
      <c r="W34" s="29"/>
    </row>
    <row r="35" spans="1:23">
      <c r="A35" s="29"/>
      <c r="B35" s="29"/>
      <c r="C35" s="111"/>
      <c r="D35" s="30"/>
      <c r="E35" s="110"/>
      <c r="F35" s="30"/>
      <c r="G35" s="32"/>
      <c r="H35" s="32"/>
      <c r="I35" s="30"/>
      <c r="J35" s="23"/>
      <c r="K35" s="23"/>
      <c r="L35" s="23"/>
      <c r="M35" s="23"/>
      <c r="N35" s="23"/>
      <c r="O35" s="150"/>
      <c r="P35" s="29"/>
      <c r="Q35" s="29"/>
      <c r="R35" s="29"/>
      <c r="S35" s="29"/>
      <c r="T35" s="29"/>
      <c r="U35" s="29"/>
      <c r="V35" s="29"/>
      <c r="W35" s="29"/>
    </row>
    <row r="36" spans="1:23">
      <c r="A36" s="29"/>
      <c r="B36" s="29"/>
      <c r="C36" s="61" t="s">
        <v>72</v>
      </c>
      <c r="D36" s="30" t="s">
        <v>68</v>
      </c>
      <c r="E36" s="169" t="s">
        <v>15</v>
      </c>
      <c r="F36" s="169">
        <v>44166</v>
      </c>
      <c r="G36" s="32"/>
      <c r="H36" s="32"/>
      <c r="I36" s="30"/>
      <c r="J36" s="161"/>
      <c r="K36" s="161"/>
      <c r="L36" s="161"/>
      <c r="M36" s="161"/>
      <c r="N36" s="161"/>
      <c r="O36" s="161">
        <v>138.73097438447596</v>
      </c>
      <c r="P36" s="161"/>
      <c r="Q36" s="161"/>
      <c r="R36" s="161"/>
      <c r="S36" s="161"/>
      <c r="T36" s="161"/>
      <c r="U36" s="29"/>
      <c r="V36" s="29"/>
      <c r="W36" s="29"/>
    </row>
    <row r="37" spans="1:23">
      <c r="A37" s="29"/>
      <c r="B37" s="29"/>
      <c r="C37" s="111"/>
      <c r="D37" s="30"/>
      <c r="E37" s="30"/>
      <c r="F37" s="30"/>
      <c r="G37" s="32"/>
      <c r="H37" s="32"/>
      <c r="I37" s="30"/>
      <c r="J37" s="23"/>
      <c r="K37" s="23"/>
      <c r="L37" s="23"/>
      <c r="M37" s="23"/>
      <c r="N37" s="23"/>
      <c r="O37" s="29"/>
      <c r="P37" s="29"/>
      <c r="Q37" s="29"/>
      <c r="R37" s="29"/>
      <c r="S37" s="29"/>
      <c r="T37" s="29"/>
      <c r="U37" s="29"/>
      <c r="V37" s="29"/>
      <c r="W37" s="29"/>
    </row>
    <row r="38" spans="1:23">
      <c r="A38" s="29"/>
      <c r="B38" s="29"/>
      <c r="C38" s="139" t="s">
        <v>72</v>
      </c>
      <c r="D38" s="140" t="str">
        <f>D36</f>
        <v>AER</v>
      </c>
      <c r="E38" s="201" t="str">
        <f>E36</f>
        <v>$millions</v>
      </c>
      <c r="F38" s="201">
        <f>F36</f>
        <v>44166</v>
      </c>
      <c r="G38" s="32"/>
      <c r="H38" s="32"/>
      <c r="I38" s="30"/>
      <c r="J38" s="129">
        <f>J36</f>
        <v>0</v>
      </c>
      <c r="K38" s="129">
        <f t="shared" ref="K38:T38" si="6">K36</f>
        <v>0</v>
      </c>
      <c r="L38" s="129">
        <f t="shared" si="6"/>
        <v>0</v>
      </c>
      <c r="M38" s="129">
        <f t="shared" si="6"/>
        <v>0</v>
      </c>
      <c r="N38" s="129">
        <f t="shared" si="6"/>
        <v>0</v>
      </c>
      <c r="O38" s="129">
        <f t="shared" si="6"/>
        <v>138.73097438447596</v>
      </c>
      <c r="P38" s="129">
        <f t="shared" si="6"/>
        <v>0</v>
      </c>
      <c r="Q38" s="129">
        <f t="shared" si="6"/>
        <v>0</v>
      </c>
      <c r="R38" s="129">
        <f t="shared" si="6"/>
        <v>0</v>
      </c>
      <c r="S38" s="129">
        <f t="shared" si="6"/>
        <v>0</v>
      </c>
      <c r="T38" s="129">
        <f t="shared" si="6"/>
        <v>0</v>
      </c>
      <c r="U38" s="29"/>
      <c r="V38" s="29"/>
      <c r="W38" s="29"/>
    </row>
    <row r="39" spans="1:23">
      <c r="A39" s="29"/>
      <c r="B39" s="29"/>
      <c r="C39" s="111"/>
      <c r="D39" s="30"/>
      <c r="E39" s="30"/>
      <c r="F39" s="30"/>
      <c r="G39" s="32"/>
      <c r="H39" s="32"/>
      <c r="I39" s="30"/>
      <c r="J39" s="23"/>
      <c r="K39" s="23"/>
      <c r="L39" s="23"/>
      <c r="M39" s="23"/>
      <c r="N39" s="23"/>
      <c r="O39" s="29"/>
      <c r="P39" s="29"/>
      <c r="Q39" s="29"/>
      <c r="R39" s="29"/>
      <c r="S39" s="29"/>
      <c r="T39" s="29"/>
      <c r="U39" s="29"/>
      <c r="V39" s="29"/>
      <c r="W39" s="29"/>
    </row>
    <row r="40" spans="1:23">
      <c r="A40" s="29"/>
      <c r="B40" s="29"/>
      <c r="C40" s="67" t="s">
        <v>156</v>
      </c>
      <c r="D40" s="30"/>
      <c r="E40" s="30"/>
      <c r="F40" s="30"/>
      <c r="G40" s="32"/>
      <c r="H40" s="32"/>
      <c r="I40" s="30"/>
      <c r="J40" s="23"/>
      <c r="K40" s="23"/>
      <c r="L40" s="23"/>
      <c r="M40" s="23"/>
      <c r="N40" s="23"/>
      <c r="O40" s="29"/>
      <c r="P40" s="29"/>
      <c r="Q40" s="29"/>
      <c r="R40" s="29"/>
      <c r="S40" s="29"/>
      <c r="T40" s="29"/>
      <c r="U40" s="29"/>
      <c r="V40" s="29"/>
      <c r="W40" s="29"/>
    </row>
    <row r="41" spans="1:23">
      <c r="A41" s="29"/>
      <c r="B41" s="29"/>
      <c r="C41" s="111"/>
      <c r="D41" s="30"/>
      <c r="E41" s="30"/>
      <c r="F41" s="30"/>
      <c r="G41" s="32"/>
      <c r="H41" s="32"/>
      <c r="I41" s="30"/>
      <c r="J41" s="23"/>
      <c r="K41" s="23"/>
      <c r="L41" s="23"/>
      <c r="M41" s="23"/>
      <c r="N41" s="23"/>
      <c r="O41" s="29"/>
      <c r="P41" s="29"/>
      <c r="Q41" s="29"/>
      <c r="R41" s="29"/>
      <c r="S41" s="29"/>
      <c r="T41" s="29"/>
      <c r="U41" s="29"/>
      <c r="V41" s="29"/>
      <c r="W41" s="29"/>
    </row>
    <row r="42" spans="1:23">
      <c r="A42" s="29"/>
      <c r="B42" s="29"/>
      <c r="C42" s="61" t="s">
        <v>39</v>
      </c>
      <c r="D42" s="30" t="s">
        <v>68</v>
      </c>
      <c r="E42" s="30" t="str">
        <f>$E$52</f>
        <v>$millions</v>
      </c>
      <c r="F42" s="158">
        <f>$F$52</f>
        <v>44166</v>
      </c>
      <c r="G42" s="32"/>
      <c r="H42" s="32"/>
      <c r="I42" s="30"/>
      <c r="J42" s="161"/>
      <c r="K42" s="161"/>
      <c r="L42" s="161"/>
      <c r="M42" s="161"/>
      <c r="N42" s="161"/>
      <c r="O42" s="161">
        <v>1.0857735077898052</v>
      </c>
      <c r="P42" s="150"/>
      <c r="Q42" s="150"/>
      <c r="R42" s="150"/>
      <c r="S42" s="150"/>
      <c r="T42" s="150"/>
      <c r="U42" s="29"/>
      <c r="V42" s="29"/>
      <c r="W42" s="29"/>
    </row>
    <row r="43" spans="1:23">
      <c r="A43" s="29"/>
      <c r="B43" s="29"/>
      <c r="C43" s="61" t="s">
        <v>185</v>
      </c>
      <c r="D43" s="30" t="s">
        <v>68</v>
      </c>
      <c r="E43" s="30" t="str">
        <f t="shared" ref="E43:E50" si="7">$E$52</f>
        <v>$millions</v>
      </c>
      <c r="F43" s="158">
        <f t="shared" ref="F43:F50" si="8">$F$52</f>
        <v>44166</v>
      </c>
      <c r="G43" s="32"/>
      <c r="H43" s="32"/>
      <c r="I43" s="30"/>
      <c r="J43" s="161"/>
      <c r="K43" s="161"/>
      <c r="L43" s="161"/>
      <c r="M43" s="161"/>
      <c r="N43" s="161"/>
      <c r="O43" s="161">
        <v>1.6821071980232147</v>
      </c>
      <c r="P43" s="150"/>
      <c r="Q43" s="150"/>
      <c r="R43" s="150"/>
      <c r="S43" s="150"/>
      <c r="T43" s="150"/>
      <c r="U43" s="29"/>
      <c r="V43" s="29"/>
      <c r="W43" s="29"/>
    </row>
    <row r="44" spans="1:23">
      <c r="A44" s="29"/>
      <c r="B44" s="29"/>
      <c r="C44" s="61"/>
      <c r="D44" s="30" t="s">
        <v>68</v>
      </c>
      <c r="E44" s="30" t="str">
        <f t="shared" si="7"/>
        <v>$millions</v>
      </c>
      <c r="F44" s="158">
        <f t="shared" si="8"/>
        <v>44166</v>
      </c>
      <c r="G44" s="32"/>
      <c r="H44" s="32"/>
      <c r="I44" s="30"/>
      <c r="J44" s="161"/>
      <c r="K44" s="161"/>
      <c r="L44" s="161"/>
      <c r="M44" s="161"/>
      <c r="N44" s="161"/>
      <c r="O44" s="161"/>
      <c r="P44" s="150"/>
      <c r="Q44" s="150"/>
      <c r="R44" s="150"/>
      <c r="S44" s="150"/>
      <c r="T44" s="150"/>
      <c r="U44" s="29"/>
      <c r="V44" s="29"/>
      <c r="W44" s="29"/>
    </row>
    <row r="45" spans="1:23">
      <c r="A45" s="29"/>
      <c r="B45" s="29"/>
      <c r="C45" s="61"/>
      <c r="D45" s="30" t="s">
        <v>68</v>
      </c>
      <c r="E45" s="30" t="str">
        <f t="shared" si="7"/>
        <v>$millions</v>
      </c>
      <c r="F45" s="158">
        <f t="shared" si="8"/>
        <v>44166</v>
      </c>
      <c r="G45" s="32"/>
      <c r="H45" s="32"/>
      <c r="I45" s="30"/>
      <c r="J45" s="161"/>
      <c r="K45" s="161"/>
      <c r="L45" s="161"/>
      <c r="M45" s="161"/>
      <c r="N45" s="161"/>
      <c r="O45" s="161"/>
      <c r="P45" s="150"/>
      <c r="Q45" s="150"/>
      <c r="R45" s="150"/>
      <c r="S45" s="150"/>
      <c r="T45" s="150"/>
      <c r="U45" s="29"/>
      <c r="V45" s="29"/>
      <c r="W45" s="29"/>
    </row>
    <row r="46" spans="1:23">
      <c r="A46" s="29"/>
      <c r="B46" s="29"/>
      <c r="C46" s="61"/>
      <c r="D46" s="30" t="s">
        <v>68</v>
      </c>
      <c r="E46" s="30" t="str">
        <f t="shared" si="7"/>
        <v>$millions</v>
      </c>
      <c r="F46" s="158">
        <f t="shared" si="8"/>
        <v>44166</v>
      </c>
      <c r="G46" s="32"/>
      <c r="H46" s="32"/>
      <c r="I46" s="30"/>
      <c r="J46" s="161"/>
      <c r="K46" s="161"/>
      <c r="L46" s="161"/>
      <c r="M46" s="161"/>
      <c r="N46" s="161"/>
      <c r="O46" s="161"/>
      <c r="P46" s="150"/>
      <c r="Q46" s="150"/>
      <c r="R46" s="150"/>
      <c r="S46" s="150"/>
      <c r="T46" s="150"/>
      <c r="U46" s="29"/>
      <c r="V46" s="29"/>
      <c r="W46" s="29"/>
    </row>
    <row r="47" spans="1:23">
      <c r="A47" s="29"/>
      <c r="B47" s="29"/>
      <c r="C47" s="61"/>
      <c r="D47" s="30" t="s">
        <v>68</v>
      </c>
      <c r="E47" s="30" t="str">
        <f t="shared" si="7"/>
        <v>$millions</v>
      </c>
      <c r="F47" s="158">
        <f t="shared" si="8"/>
        <v>44166</v>
      </c>
      <c r="G47" s="32"/>
      <c r="H47" s="32"/>
      <c r="I47" s="30"/>
      <c r="J47" s="161"/>
      <c r="K47" s="161"/>
      <c r="L47" s="161"/>
      <c r="M47" s="161"/>
      <c r="N47" s="161"/>
      <c r="O47" s="161"/>
      <c r="P47" s="150"/>
      <c r="Q47" s="150"/>
      <c r="R47" s="150"/>
      <c r="S47" s="150"/>
      <c r="T47" s="150"/>
      <c r="U47" s="29"/>
      <c r="V47" s="29"/>
      <c r="W47" s="29"/>
    </row>
    <row r="48" spans="1:23">
      <c r="A48" s="29"/>
      <c r="B48" s="29"/>
      <c r="C48" s="61"/>
      <c r="D48" s="30" t="s">
        <v>68</v>
      </c>
      <c r="E48" s="30" t="str">
        <f t="shared" si="7"/>
        <v>$millions</v>
      </c>
      <c r="F48" s="158">
        <f t="shared" si="8"/>
        <v>44166</v>
      </c>
      <c r="G48" s="32"/>
      <c r="H48" s="32"/>
      <c r="I48" s="30"/>
      <c r="J48" s="161"/>
      <c r="K48" s="161"/>
      <c r="L48" s="161"/>
      <c r="M48" s="161"/>
      <c r="N48" s="161"/>
      <c r="O48" s="161"/>
      <c r="P48" s="150"/>
      <c r="Q48" s="150"/>
      <c r="R48" s="150"/>
      <c r="S48" s="150"/>
      <c r="T48" s="150"/>
      <c r="U48" s="29"/>
      <c r="V48" s="29"/>
      <c r="W48" s="29"/>
    </row>
    <row r="49" spans="1:23">
      <c r="A49" s="29"/>
      <c r="B49" s="29"/>
      <c r="C49" s="61"/>
      <c r="D49" s="30" t="s">
        <v>68</v>
      </c>
      <c r="E49" s="30" t="str">
        <f t="shared" si="7"/>
        <v>$millions</v>
      </c>
      <c r="F49" s="158">
        <f t="shared" si="8"/>
        <v>44166</v>
      </c>
      <c r="G49" s="32"/>
      <c r="H49" s="32"/>
      <c r="I49" s="30"/>
      <c r="J49" s="161"/>
      <c r="K49" s="161"/>
      <c r="L49" s="161"/>
      <c r="M49" s="161"/>
      <c r="N49" s="161"/>
      <c r="O49" s="161"/>
      <c r="P49" s="150"/>
      <c r="Q49" s="150"/>
      <c r="R49" s="150"/>
      <c r="S49" s="150"/>
      <c r="T49" s="150"/>
      <c r="U49" s="29"/>
      <c r="V49" s="29"/>
      <c r="W49" s="29"/>
    </row>
    <row r="50" spans="1:23">
      <c r="A50" s="29"/>
      <c r="B50" s="29"/>
      <c r="C50" s="61"/>
      <c r="D50" s="30" t="s">
        <v>68</v>
      </c>
      <c r="E50" s="30" t="str">
        <f t="shared" si="7"/>
        <v>$millions</v>
      </c>
      <c r="F50" s="158">
        <f t="shared" si="8"/>
        <v>44166</v>
      </c>
      <c r="G50" s="32"/>
      <c r="H50" s="32"/>
      <c r="I50" s="30"/>
      <c r="J50" s="161"/>
      <c r="K50" s="161"/>
      <c r="L50" s="161"/>
      <c r="M50" s="161"/>
      <c r="N50" s="161"/>
      <c r="O50" s="161"/>
      <c r="P50" s="150"/>
      <c r="Q50" s="150"/>
      <c r="R50" s="150"/>
      <c r="S50" s="150"/>
      <c r="T50" s="150"/>
      <c r="U50" s="29"/>
      <c r="V50" s="29"/>
      <c r="W50" s="29"/>
    </row>
    <row r="51" spans="1:23">
      <c r="A51" s="29"/>
      <c r="B51" s="29"/>
      <c r="C51" s="111"/>
      <c r="D51" s="30"/>
      <c r="E51" s="30"/>
      <c r="F51" s="30"/>
      <c r="G51" s="32"/>
      <c r="H51" s="32"/>
      <c r="I51" s="30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9"/>
      <c r="V51" s="29"/>
      <c r="W51" s="29"/>
    </row>
    <row r="52" spans="1:23">
      <c r="A52" s="29"/>
      <c r="B52" s="29"/>
      <c r="C52" s="139" t="s">
        <v>154</v>
      </c>
      <c r="D52" s="140" t="s">
        <v>30</v>
      </c>
      <c r="E52" s="130" t="s">
        <v>15</v>
      </c>
      <c r="F52" s="159">
        <v>44166</v>
      </c>
      <c r="G52" s="32"/>
      <c r="H52" s="32"/>
      <c r="I52" s="30"/>
      <c r="J52" s="129">
        <f>SUM(J42:J50)</f>
        <v>0</v>
      </c>
      <c r="K52" s="129">
        <f t="shared" ref="K52:S52" si="9">SUM(K42:K50)</f>
        <v>0</v>
      </c>
      <c r="L52" s="129">
        <f t="shared" si="9"/>
        <v>0</v>
      </c>
      <c r="M52" s="129">
        <f t="shared" si="9"/>
        <v>0</v>
      </c>
      <c r="N52" s="129">
        <f t="shared" si="9"/>
        <v>0</v>
      </c>
      <c r="O52" s="129">
        <f t="shared" si="9"/>
        <v>2.7678807058130199</v>
      </c>
      <c r="P52" s="129">
        <f t="shared" si="9"/>
        <v>0</v>
      </c>
      <c r="Q52" s="129">
        <f t="shared" si="9"/>
        <v>0</v>
      </c>
      <c r="R52" s="129">
        <f t="shared" si="9"/>
        <v>0</v>
      </c>
      <c r="S52" s="129">
        <f t="shared" si="9"/>
        <v>0</v>
      </c>
      <c r="T52" s="129"/>
      <c r="U52" s="29"/>
      <c r="V52" s="29"/>
      <c r="W52" s="29" t="str">
        <f>IF(COUNTIF(J42:S50,"&lt;0")&gt;0,"Check","Ok")</f>
        <v>Ok</v>
      </c>
    </row>
    <row r="53" spans="1:23">
      <c r="A53" s="29"/>
      <c r="B53" s="29"/>
      <c r="C53" s="29"/>
      <c r="D53" s="30"/>
      <c r="E53" s="30"/>
      <c r="F53" s="30"/>
      <c r="G53" s="32"/>
      <c r="H53" s="32"/>
      <c r="I53" s="30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</row>
    <row r="54" spans="1:23" ht="12.75">
      <c r="A54" s="94"/>
      <c r="B54" s="95" t="s">
        <v>56</v>
      </c>
      <c r="C54" s="94"/>
      <c r="D54" s="94"/>
      <c r="E54" s="94"/>
      <c r="F54" s="96"/>
      <c r="G54" s="96"/>
      <c r="H54" s="96"/>
      <c r="I54" s="96"/>
      <c r="J54" s="97"/>
      <c r="K54" s="98"/>
      <c r="L54" s="97"/>
      <c r="M54" s="98"/>
      <c r="N54" s="97"/>
      <c r="O54" s="97"/>
      <c r="P54" s="97"/>
      <c r="Q54" s="97"/>
      <c r="R54" s="97"/>
      <c r="S54" s="97"/>
      <c r="T54" s="97"/>
      <c r="U54" s="97"/>
      <c r="V54" s="98"/>
      <c r="W54" s="98"/>
    </row>
    <row r="55" spans="1:23">
      <c r="A55" s="29"/>
      <c r="B55" s="29"/>
      <c r="C55" s="29"/>
      <c r="D55" s="30"/>
      <c r="E55" s="30"/>
      <c r="F55" s="30"/>
      <c r="G55" s="30"/>
      <c r="H55" s="30"/>
      <c r="I55" s="30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</row>
    <row r="56" spans="1:23">
      <c r="A56" s="29"/>
      <c r="B56" s="29"/>
      <c r="C56" s="29"/>
      <c r="D56" s="30"/>
      <c r="E56" s="30"/>
      <c r="F56" s="30"/>
      <c r="G56" s="30"/>
      <c r="H56" s="30"/>
      <c r="I56" s="30"/>
      <c r="J56" s="161" t="s">
        <v>23</v>
      </c>
      <c r="K56" s="161" t="s">
        <v>23</v>
      </c>
      <c r="L56" s="161" t="s">
        <v>23</v>
      </c>
      <c r="M56" s="161" t="s">
        <v>23</v>
      </c>
      <c r="N56" s="161" t="s">
        <v>73</v>
      </c>
      <c r="O56" s="161" t="s">
        <v>73</v>
      </c>
      <c r="P56" s="161"/>
      <c r="Q56" s="161"/>
      <c r="R56" s="161"/>
      <c r="S56" s="161"/>
      <c r="T56" s="161"/>
      <c r="U56" s="29"/>
      <c r="V56" s="29"/>
      <c r="W56" s="29"/>
    </row>
    <row r="57" spans="1:23">
      <c r="A57" s="29"/>
      <c r="B57" s="29"/>
      <c r="C57" s="67" t="s">
        <v>75</v>
      </c>
      <c r="D57" s="32" t="s">
        <v>7</v>
      </c>
      <c r="E57" s="32" t="s">
        <v>8</v>
      </c>
      <c r="F57" s="32" t="s">
        <v>22</v>
      </c>
      <c r="G57" s="32"/>
      <c r="H57" s="32"/>
      <c r="I57" s="32"/>
      <c r="J57" s="156">
        <f>J$4</f>
        <v>42705</v>
      </c>
      <c r="K57" s="156">
        <f t="shared" ref="K57:O57" si="10">K$4</f>
        <v>43070</v>
      </c>
      <c r="L57" s="156">
        <f t="shared" si="10"/>
        <v>43435</v>
      </c>
      <c r="M57" s="156">
        <f t="shared" si="10"/>
        <v>43800</v>
      </c>
      <c r="N57" s="156">
        <f t="shared" si="10"/>
        <v>44166</v>
      </c>
      <c r="O57" s="156">
        <f t="shared" si="10"/>
        <v>44348</v>
      </c>
      <c r="P57" s="156"/>
      <c r="Q57" s="156"/>
      <c r="R57" s="156"/>
      <c r="S57" s="156"/>
      <c r="T57" s="156"/>
      <c r="U57" s="138"/>
      <c r="V57" s="138"/>
      <c r="W57" s="29"/>
    </row>
    <row r="58" spans="1:23">
      <c r="A58" s="29"/>
      <c r="B58" s="29"/>
      <c r="C58" s="111"/>
      <c r="D58" s="30"/>
      <c r="E58" s="30"/>
      <c r="F58" s="30"/>
      <c r="G58" s="32"/>
      <c r="H58" s="32"/>
      <c r="I58" s="30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</row>
    <row r="59" spans="1:23">
      <c r="A59" s="29"/>
      <c r="B59" s="29"/>
      <c r="C59" s="111"/>
      <c r="D59" s="30"/>
      <c r="E59" s="30"/>
      <c r="F59" s="30"/>
      <c r="G59" s="32"/>
      <c r="H59" s="32"/>
      <c r="I59" s="30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</row>
    <row r="60" spans="1:23">
      <c r="A60" s="29"/>
      <c r="B60" s="29"/>
      <c r="C60" s="61" t="s">
        <v>72</v>
      </c>
      <c r="D60" s="30" t="s">
        <v>74</v>
      </c>
      <c r="E60" s="213" t="str">
        <f>$E$79</f>
        <v>$millions</v>
      </c>
      <c r="F60" s="214" t="s">
        <v>99</v>
      </c>
      <c r="G60" s="32"/>
      <c r="H60" s="32"/>
      <c r="I60" s="30"/>
      <c r="J60" s="161">
        <v>197.13364757204533</v>
      </c>
      <c r="K60" s="161">
        <v>214.07976014771</v>
      </c>
      <c r="L60" s="161">
        <v>223.88679698387105</v>
      </c>
      <c r="M60" s="161">
        <v>225.69319940000003</v>
      </c>
      <c r="N60" s="161">
        <v>0</v>
      </c>
      <c r="O60" s="161">
        <v>0</v>
      </c>
      <c r="P60" s="150"/>
      <c r="Q60" s="150"/>
      <c r="R60" s="150"/>
      <c r="S60" s="150"/>
      <c r="T60" s="150"/>
      <c r="U60" s="29"/>
      <c r="V60" s="29"/>
      <c r="W60" s="29"/>
    </row>
    <row r="61" spans="1:23">
      <c r="A61" s="29"/>
      <c r="B61" s="29"/>
      <c r="C61" s="111"/>
      <c r="D61" s="30"/>
      <c r="E61" s="30"/>
      <c r="F61" s="158"/>
      <c r="G61" s="32"/>
      <c r="H61" s="32"/>
      <c r="I61" s="30"/>
      <c r="J61" s="161"/>
      <c r="K61" s="161"/>
      <c r="L61" s="161"/>
      <c r="M61" s="161"/>
      <c r="N61" s="161"/>
      <c r="O61" s="150"/>
      <c r="P61" s="150"/>
      <c r="Q61" s="150"/>
      <c r="R61" s="150"/>
      <c r="S61" s="150"/>
      <c r="T61" s="150"/>
      <c r="U61" s="29"/>
      <c r="V61" s="29"/>
      <c r="W61" s="29"/>
    </row>
    <row r="62" spans="1:23">
      <c r="A62" s="29"/>
      <c r="B62" s="29"/>
      <c r="C62" s="67" t="s">
        <v>176</v>
      </c>
      <c r="D62" s="30"/>
      <c r="E62" s="30"/>
      <c r="F62" s="158"/>
      <c r="G62" s="32"/>
      <c r="H62" s="32"/>
      <c r="I62" s="30"/>
      <c r="J62" s="161"/>
      <c r="K62" s="161"/>
      <c r="L62" s="161"/>
      <c r="M62" s="161"/>
      <c r="N62" s="161"/>
      <c r="O62" s="150"/>
      <c r="P62" s="150"/>
      <c r="Q62" s="150"/>
      <c r="R62" s="150"/>
      <c r="S62" s="150"/>
      <c r="T62" s="150"/>
      <c r="U62" s="29"/>
      <c r="V62" s="29"/>
      <c r="W62" s="29"/>
    </row>
    <row r="63" spans="1:23">
      <c r="A63" s="29"/>
      <c r="B63" s="29"/>
      <c r="C63" s="67"/>
      <c r="D63" s="30"/>
      <c r="E63" s="30"/>
      <c r="F63" s="158"/>
      <c r="G63" s="32"/>
      <c r="H63" s="32"/>
      <c r="I63" s="30"/>
      <c r="J63" s="161"/>
      <c r="K63" s="161"/>
      <c r="L63" s="161"/>
      <c r="M63" s="161"/>
      <c r="N63" s="161"/>
      <c r="O63" s="150"/>
      <c r="P63" s="150"/>
      <c r="Q63" s="150"/>
      <c r="R63" s="150"/>
      <c r="S63" s="150"/>
      <c r="T63" s="150"/>
      <c r="U63" s="29"/>
      <c r="V63" s="29"/>
      <c r="W63" s="29"/>
    </row>
    <row r="64" spans="1:23">
      <c r="A64" s="29"/>
      <c r="B64" s="29"/>
      <c r="C64" s="61" t="s">
        <v>173</v>
      </c>
      <c r="D64" s="30" t="s">
        <v>74</v>
      </c>
      <c r="E64" s="30" t="str">
        <f>$E$79</f>
        <v>$millions</v>
      </c>
      <c r="F64" s="158" t="str">
        <f>$F$60</f>
        <v>nominal</v>
      </c>
      <c r="G64" s="32"/>
      <c r="H64" s="32"/>
      <c r="I64" s="30"/>
      <c r="J64" s="161">
        <v>-8.0202334250815888</v>
      </c>
      <c r="K64" s="161">
        <v>1.7305429999999999</v>
      </c>
      <c r="L64" s="161">
        <v>5.2668002325138916</v>
      </c>
      <c r="M64" s="161">
        <v>-9.8760068599999986</v>
      </c>
      <c r="N64" s="161">
        <v>0</v>
      </c>
      <c r="O64" s="161">
        <v>0</v>
      </c>
      <c r="P64" s="150"/>
      <c r="Q64" s="150"/>
      <c r="R64" s="150"/>
      <c r="S64" s="150"/>
      <c r="T64" s="150"/>
      <c r="U64" s="29"/>
      <c r="V64" s="29"/>
      <c r="W64" s="29"/>
    </row>
    <row r="65" spans="1:23">
      <c r="A65" s="29"/>
      <c r="B65" s="29"/>
      <c r="C65" s="61" t="s">
        <v>184</v>
      </c>
      <c r="D65" s="30" t="s">
        <v>74</v>
      </c>
      <c r="E65" s="30" t="str">
        <f>$E$79</f>
        <v>$millions</v>
      </c>
      <c r="F65" s="158" t="str">
        <f t="shared" ref="F65:F68" si="11">$F$60</f>
        <v>nominal</v>
      </c>
      <c r="G65" s="32"/>
      <c r="H65" s="32"/>
      <c r="I65" s="30"/>
      <c r="J65" s="161">
        <v>0</v>
      </c>
      <c r="K65" s="161">
        <v>5.6903000000000002E-2</v>
      </c>
      <c r="L65" s="161">
        <v>0</v>
      </c>
      <c r="M65" s="161">
        <v>0</v>
      </c>
      <c r="N65" s="161">
        <v>0</v>
      </c>
      <c r="O65" s="161">
        <v>0</v>
      </c>
      <c r="P65" s="150"/>
      <c r="Q65" s="150"/>
      <c r="R65" s="150"/>
      <c r="S65" s="150"/>
      <c r="T65" s="150"/>
      <c r="U65" s="29"/>
      <c r="V65" s="29"/>
      <c r="W65" s="29"/>
    </row>
    <row r="66" spans="1:23">
      <c r="A66" s="29"/>
      <c r="B66" s="29"/>
      <c r="C66" s="61" t="s">
        <v>186</v>
      </c>
      <c r="D66" s="30" t="s">
        <v>74</v>
      </c>
      <c r="E66" s="30" t="str">
        <f>$E$79</f>
        <v>$millions</v>
      </c>
      <c r="F66" s="158" t="str">
        <f t="shared" si="11"/>
        <v>nominal</v>
      </c>
      <c r="G66" s="32"/>
      <c r="H66" s="32"/>
      <c r="I66" s="30"/>
      <c r="J66" s="161"/>
      <c r="K66" s="161"/>
      <c r="L66" s="161"/>
      <c r="M66" s="161"/>
      <c r="N66" s="161"/>
      <c r="O66" s="150"/>
      <c r="P66" s="150"/>
      <c r="Q66" s="150"/>
      <c r="R66" s="150"/>
      <c r="S66" s="150"/>
      <c r="T66" s="150"/>
      <c r="U66" s="29"/>
      <c r="V66" s="29"/>
      <c r="W66" s="29"/>
    </row>
    <row r="67" spans="1:23">
      <c r="A67" s="29"/>
      <c r="B67" s="29"/>
      <c r="C67" s="61"/>
      <c r="D67" s="30" t="s">
        <v>74</v>
      </c>
      <c r="E67" s="30" t="str">
        <f>$E$79</f>
        <v>$millions</v>
      </c>
      <c r="F67" s="158" t="str">
        <f t="shared" si="11"/>
        <v>nominal</v>
      </c>
      <c r="G67" s="32"/>
      <c r="H67" s="32"/>
      <c r="I67" s="30"/>
      <c r="J67" s="161"/>
      <c r="K67" s="161"/>
      <c r="L67" s="161"/>
      <c r="M67" s="161"/>
      <c r="N67" s="161"/>
      <c r="O67" s="150"/>
      <c r="P67" s="150"/>
      <c r="Q67" s="150"/>
      <c r="R67" s="150"/>
      <c r="S67" s="150"/>
      <c r="T67" s="150"/>
      <c r="U67" s="29"/>
      <c r="V67" s="29"/>
      <c r="W67" s="29"/>
    </row>
    <row r="68" spans="1:23">
      <c r="A68" s="29"/>
      <c r="B68" s="29"/>
      <c r="C68" s="61"/>
      <c r="D68" s="30" t="s">
        <v>74</v>
      </c>
      <c r="E68" s="30" t="str">
        <f>$E$79</f>
        <v>$millions</v>
      </c>
      <c r="F68" s="158" t="str">
        <f t="shared" si="11"/>
        <v>nominal</v>
      </c>
      <c r="G68" s="32"/>
      <c r="H68" s="32"/>
      <c r="I68" s="30"/>
      <c r="J68" s="161"/>
      <c r="K68" s="161"/>
      <c r="L68" s="161"/>
      <c r="M68" s="161"/>
      <c r="N68" s="161"/>
      <c r="O68" s="150"/>
      <c r="P68" s="150"/>
      <c r="Q68" s="150"/>
      <c r="R68" s="150"/>
      <c r="S68" s="150"/>
      <c r="T68" s="150"/>
      <c r="U68" s="29"/>
      <c r="V68" s="29"/>
      <c r="W68" s="29"/>
    </row>
    <row r="69" spans="1:23">
      <c r="A69" s="29"/>
      <c r="B69" s="29"/>
      <c r="C69" s="111"/>
      <c r="D69" s="30"/>
      <c r="E69" s="30"/>
      <c r="F69" s="30"/>
      <c r="G69" s="32"/>
      <c r="H69" s="32"/>
      <c r="I69" s="30"/>
      <c r="J69" s="29"/>
      <c r="K69" s="29"/>
      <c r="L69" s="29"/>
      <c r="M69" s="29"/>
      <c r="N69" s="141"/>
      <c r="O69" s="29"/>
      <c r="P69" s="29"/>
      <c r="Q69" s="29"/>
      <c r="R69" s="29"/>
      <c r="S69" s="29"/>
      <c r="T69" s="29"/>
      <c r="U69" s="29"/>
      <c r="V69" s="29"/>
      <c r="W69" s="29"/>
    </row>
    <row r="70" spans="1:23">
      <c r="A70" s="29"/>
      <c r="B70" s="29"/>
      <c r="C70" s="139" t="s">
        <v>174</v>
      </c>
      <c r="D70" s="140" t="s">
        <v>30</v>
      </c>
      <c r="E70" s="188" t="str">
        <f>$E$79</f>
        <v>$millions</v>
      </c>
      <c r="F70" s="189" t="str">
        <f>F60</f>
        <v>nominal</v>
      </c>
      <c r="G70" s="32"/>
      <c r="H70" s="32"/>
      <c r="I70" s="30"/>
      <c r="J70" s="129">
        <f>J60-SUM(J64:J68)</f>
        <v>205.15388099712692</v>
      </c>
      <c r="K70" s="129">
        <f t="shared" ref="K70:S70" si="12">K60-SUM(K64:K68)</f>
        <v>212.29231414771002</v>
      </c>
      <c r="L70" s="129">
        <f t="shared" si="12"/>
        <v>218.61999675135715</v>
      </c>
      <c r="M70" s="129">
        <f t="shared" si="12"/>
        <v>235.56920626000002</v>
      </c>
      <c r="N70" s="129">
        <f t="shared" si="12"/>
        <v>0</v>
      </c>
      <c r="O70" s="129">
        <f t="shared" si="12"/>
        <v>0</v>
      </c>
      <c r="P70" s="129">
        <f t="shared" si="12"/>
        <v>0</v>
      </c>
      <c r="Q70" s="129">
        <f t="shared" si="12"/>
        <v>0</v>
      </c>
      <c r="R70" s="129">
        <f t="shared" si="12"/>
        <v>0</v>
      </c>
      <c r="S70" s="129">
        <f t="shared" si="12"/>
        <v>0</v>
      </c>
      <c r="T70" s="129"/>
      <c r="U70" s="29"/>
      <c r="V70" s="29"/>
      <c r="W70" s="29"/>
    </row>
    <row r="71" spans="1:23">
      <c r="A71" s="29"/>
      <c r="B71" s="29"/>
      <c r="C71" s="29"/>
      <c r="D71" s="30"/>
      <c r="E71" s="30"/>
      <c r="F71" s="30"/>
      <c r="G71" s="30"/>
      <c r="H71" s="30"/>
      <c r="I71" s="30"/>
      <c r="J71" s="162"/>
      <c r="K71" s="162"/>
      <c r="L71" s="162"/>
      <c r="M71" s="162"/>
      <c r="N71" s="162"/>
      <c r="O71" s="29"/>
      <c r="P71" s="29"/>
      <c r="Q71" s="29"/>
      <c r="R71" s="29"/>
      <c r="S71" s="29"/>
      <c r="T71" s="29"/>
      <c r="U71" s="29"/>
      <c r="V71" s="29"/>
      <c r="W71" s="29"/>
    </row>
    <row r="72" spans="1:23">
      <c r="A72" s="29"/>
      <c r="B72" s="29"/>
      <c r="C72" s="67" t="s">
        <v>110</v>
      </c>
      <c r="D72" s="30"/>
      <c r="E72" s="30"/>
      <c r="F72" s="30"/>
      <c r="G72" s="30"/>
      <c r="H72" s="30"/>
      <c r="I72" s="30"/>
      <c r="J72" s="162"/>
      <c r="K72" s="162"/>
      <c r="L72" s="162"/>
      <c r="M72" s="162"/>
      <c r="N72" s="162"/>
      <c r="O72" s="29"/>
      <c r="P72" s="29"/>
      <c r="Q72" s="29"/>
      <c r="R72" s="29"/>
      <c r="S72" s="29"/>
      <c r="T72" s="29"/>
      <c r="U72" s="29"/>
      <c r="V72" s="29"/>
      <c r="W72" s="29"/>
    </row>
    <row r="73" spans="1:23">
      <c r="A73" s="29"/>
      <c r="B73" s="29"/>
      <c r="C73" s="29"/>
      <c r="D73" s="30"/>
      <c r="E73" s="30"/>
      <c r="F73" s="30"/>
      <c r="G73" s="30"/>
      <c r="H73" s="30"/>
      <c r="I73" s="30"/>
      <c r="J73" s="162"/>
      <c r="K73" s="162"/>
      <c r="L73" s="162"/>
      <c r="M73" s="162"/>
      <c r="N73" s="162"/>
      <c r="O73" s="29"/>
      <c r="P73" s="29"/>
      <c r="Q73" s="29"/>
      <c r="R73" s="29"/>
      <c r="S73" s="29"/>
      <c r="T73" s="29"/>
      <c r="U73" s="29"/>
      <c r="V73" s="29"/>
      <c r="W73" s="29"/>
    </row>
    <row r="74" spans="1:23">
      <c r="A74" s="29"/>
      <c r="B74" s="29"/>
      <c r="C74" s="61" t="s">
        <v>39</v>
      </c>
      <c r="D74" s="30" t="s">
        <v>74</v>
      </c>
      <c r="E74" s="30" t="str">
        <f>$E$79</f>
        <v>$millions</v>
      </c>
      <c r="F74" s="158" t="str">
        <f t="shared" ref="F74:F77" si="13">$F$79</f>
        <v>nominal</v>
      </c>
      <c r="G74" s="32"/>
      <c r="H74" s="32"/>
      <c r="I74" s="30"/>
      <c r="J74" s="161"/>
      <c r="K74" s="161"/>
      <c r="L74" s="161"/>
      <c r="M74" s="161"/>
      <c r="N74" s="161"/>
      <c r="O74" s="161"/>
      <c r="P74" s="150"/>
      <c r="Q74" s="150"/>
      <c r="R74" s="150"/>
      <c r="S74" s="150"/>
      <c r="T74" s="150"/>
      <c r="U74" s="29"/>
      <c r="V74" s="29"/>
      <c r="W74" s="29"/>
    </row>
    <row r="75" spans="1:23">
      <c r="A75" s="29"/>
      <c r="B75" s="29"/>
      <c r="C75" s="61" t="s">
        <v>185</v>
      </c>
      <c r="D75" s="30" t="s">
        <v>74</v>
      </c>
      <c r="E75" s="30" t="str">
        <f>$E$79</f>
        <v>$millions</v>
      </c>
      <c r="F75" s="158" t="str">
        <f t="shared" si="13"/>
        <v>nominal</v>
      </c>
      <c r="G75" s="32"/>
      <c r="H75" s="32"/>
      <c r="I75" s="30"/>
      <c r="J75" s="161">
        <v>3.2959469800000001</v>
      </c>
      <c r="K75" s="161">
        <v>3.0511071699999999</v>
      </c>
      <c r="L75" s="161">
        <v>2.2502399999999998</v>
      </c>
      <c r="M75" s="161">
        <v>1.412155</v>
      </c>
      <c r="N75" s="161">
        <v>0</v>
      </c>
      <c r="O75" s="161">
        <v>0</v>
      </c>
      <c r="P75" s="150"/>
      <c r="Q75" s="150"/>
      <c r="R75" s="150"/>
      <c r="S75" s="150"/>
      <c r="T75" s="150"/>
      <c r="U75" s="29"/>
      <c r="V75" s="29"/>
      <c r="W75" s="29"/>
    </row>
    <row r="76" spans="1:23">
      <c r="A76" s="29"/>
      <c r="B76" s="29"/>
      <c r="C76" s="61"/>
      <c r="D76" s="30" t="s">
        <v>74</v>
      </c>
      <c r="E76" s="30" t="str">
        <f>$E$79</f>
        <v>$millions</v>
      </c>
      <c r="F76" s="158" t="str">
        <f t="shared" si="13"/>
        <v>nominal</v>
      </c>
      <c r="G76" s="32"/>
      <c r="H76" s="32"/>
      <c r="I76" s="30"/>
      <c r="J76" s="161"/>
      <c r="K76" s="161"/>
      <c r="L76" s="161"/>
      <c r="M76" s="161"/>
      <c r="N76" s="161"/>
      <c r="O76" s="161"/>
      <c r="P76" s="150"/>
      <c r="Q76" s="150"/>
      <c r="R76" s="150"/>
      <c r="S76" s="150"/>
      <c r="T76" s="150"/>
      <c r="U76" s="29"/>
      <c r="V76" s="29"/>
      <c r="W76" s="29"/>
    </row>
    <row r="77" spans="1:23">
      <c r="A77" s="29"/>
      <c r="B77" s="29"/>
      <c r="C77" s="61"/>
      <c r="D77" s="30" t="s">
        <v>74</v>
      </c>
      <c r="E77" s="30" t="str">
        <f>$E$79</f>
        <v>$millions</v>
      </c>
      <c r="F77" s="158" t="str">
        <f t="shared" si="13"/>
        <v>nominal</v>
      </c>
      <c r="G77" s="32"/>
      <c r="H77" s="32"/>
      <c r="I77" s="30"/>
      <c r="J77" s="161"/>
      <c r="K77" s="161"/>
      <c r="L77" s="161"/>
      <c r="M77" s="161"/>
      <c r="N77" s="161"/>
      <c r="O77" s="161"/>
      <c r="P77" s="150"/>
      <c r="Q77" s="150"/>
      <c r="R77" s="150"/>
      <c r="S77" s="150"/>
      <c r="T77" s="150"/>
      <c r="U77" s="29"/>
      <c r="V77" s="29"/>
      <c r="W77" s="29"/>
    </row>
    <row r="78" spans="1:23">
      <c r="A78" s="29"/>
      <c r="B78" s="29"/>
      <c r="C78" s="111"/>
      <c r="D78" s="30"/>
      <c r="E78" s="30"/>
      <c r="F78" s="30"/>
      <c r="G78" s="32"/>
      <c r="H78" s="32"/>
      <c r="I78" s="30"/>
      <c r="J78" s="29"/>
      <c r="K78" s="29"/>
      <c r="L78" s="29"/>
      <c r="M78" s="29"/>
      <c r="N78" s="141"/>
      <c r="O78" s="29"/>
      <c r="P78" s="29"/>
      <c r="Q78" s="29"/>
      <c r="R78" s="29"/>
      <c r="S78" s="29"/>
      <c r="T78" s="29"/>
      <c r="U78" s="29"/>
      <c r="V78" s="29"/>
      <c r="W78" s="29"/>
    </row>
    <row r="79" spans="1:23">
      <c r="A79" s="29"/>
      <c r="B79" s="29"/>
      <c r="C79" s="139" t="s">
        <v>154</v>
      </c>
      <c r="D79" s="140" t="s">
        <v>30</v>
      </c>
      <c r="E79" s="130" t="s">
        <v>15</v>
      </c>
      <c r="F79" s="159" t="s">
        <v>99</v>
      </c>
      <c r="G79" s="32"/>
      <c r="H79" s="32"/>
      <c r="I79" s="30"/>
      <c r="J79" s="184">
        <f>SUM(J74:J77)</f>
        <v>3.2959469800000001</v>
      </c>
      <c r="K79" s="184">
        <f t="shared" ref="K79:S79" si="14">SUM(K74:K77)</f>
        <v>3.0511071699999999</v>
      </c>
      <c r="L79" s="184">
        <f t="shared" si="14"/>
        <v>2.2502399999999998</v>
      </c>
      <c r="M79" s="184">
        <f t="shared" si="14"/>
        <v>1.412155</v>
      </c>
      <c r="N79" s="184">
        <f t="shared" si="14"/>
        <v>0</v>
      </c>
      <c r="O79" s="184">
        <f t="shared" si="14"/>
        <v>0</v>
      </c>
      <c r="P79" s="184">
        <f t="shared" si="14"/>
        <v>0</v>
      </c>
      <c r="Q79" s="184">
        <f t="shared" si="14"/>
        <v>0</v>
      </c>
      <c r="R79" s="184">
        <f t="shared" si="14"/>
        <v>0</v>
      </c>
      <c r="S79" s="184">
        <f t="shared" si="14"/>
        <v>0</v>
      </c>
      <c r="T79" s="184"/>
      <c r="U79" s="29"/>
      <c r="V79" s="29"/>
      <c r="W79" s="29" t="str">
        <f>IF(COUNTIF(J74:S77,"&lt;0")&gt;0,"Check","Ok")</f>
        <v>Ok</v>
      </c>
    </row>
    <row r="80" spans="1:23">
      <c r="A80" s="29"/>
      <c r="B80" s="29"/>
      <c r="C80" s="29"/>
      <c r="D80" s="30"/>
      <c r="E80" s="30"/>
      <c r="F80" s="30"/>
      <c r="G80" s="32"/>
      <c r="H80" s="32"/>
      <c r="I80" s="30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</row>
    <row r="81" spans="1:23" ht="12.75">
      <c r="A81" s="94"/>
      <c r="B81" s="95" t="s">
        <v>111</v>
      </c>
      <c r="C81" s="94"/>
      <c r="D81" s="94"/>
      <c r="E81" s="94"/>
      <c r="F81" s="96"/>
      <c r="G81" s="96"/>
      <c r="H81" s="96"/>
      <c r="I81" s="96"/>
      <c r="J81" s="97"/>
      <c r="K81" s="98"/>
      <c r="L81" s="97"/>
      <c r="M81" s="98"/>
      <c r="N81" s="97"/>
      <c r="O81" s="97"/>
      <c r="P81" s="97"/>
      <c r="Q81" s="97"/>
      <c r="R81" s="97"/>
      <c r="S81" s="97"/>
      <c r="T81" s="97"/>
      <c r="U81" s="97"/>
      <c r="V81" s="98"/>
      <c r="W81" s="98"/>
    </row>
    <row r="82" spans="1:23">
      <c r="A82" s="29"/>
      <c r="B82" s="29"/>
      <c r="C82" s="29"/>
      <c r="D82" s="30"/>
      <c r="E82" s="30"/>
      <c r="F82" s="30"/>
      <c r="G82" s="30"/>
      <c r="H82" s="30"/>
      <c r="I82" s="30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</row>
    <row r="83" spans="1:23">
      <c r="A83" s="29"/>
      <c r="B83" s="29"/>
      <c r="C83" s="67" t="s">
        <v>112</v>
      </c>
      <c r="D83" s="32" t="s">
        <v>7</v>
      </c>
      <c r="E83" s="32" t="s">
        <v>8</v>
      </c>
      <c r="F83" s="32" t="s">
        <v>22</v>
      </c>
      <c r="G83" s="32"/>
      <c r="H83" s="32"/>
      <c r="I83" s="32"/>
      <c r="J83" s="156"/>
      <c r="K83" s="156"/>
      <c r="L83" s="156"/>
      <c r="M83" s="156"/>
      <c r="N83" s="156"/>
      <c r="O83" s="156">
        <f>O4</f>
        <v>44348</v>
      </c>
      <c r="P83" s="156"/>
      <c r="Q83" s="156"/>
      <c r="R83" s="156"/>
      <c r="S83" s="156"/>
      <c r="T83" s="156"/>
      <c r="U83" s="29"/>
      <c r="V83" s="29"/>
      <c r="W83" s="29"/>
    </row>
    <row r="84" spans="1:23">
      <c r="A84" s="29"/>
      <c r="B84" s="29"/>
      <c r="C84" s="234" t="s">
        <v>232</v>
      </c>
      <c r="D84" s="30" t="s">
        <v>34</v>
      </c>
      <c r="E84" s="30" t="str">
        <f>$E$79</f>
        <v>$millions</v>
      </c>
      <c r="F84" s="240" t="str">
        <f t="shared" ref="F84:F86" si="15">$F$79</f>
        <v>nominal</v>
      </c>
      <c r="G84" s="21"/>
      <c r="H84" s="231">
        <v>0.88</v>
      </c>
      <c r="I84" s="32"/>
      <c r="J84" s="161"/>
      <c r="K84" s="161"/>
      <c r="L84" s="161"/>
      <c r="M84" s="229">
        <v>1.375991</v>
      </c>
      <c r="N84" s="232"/>
      <c r="O84" s="232"/>
      <c r="P84" s="232"/>
      <c r="Q84" s="160"/>
      <c r="R84" s="160"/>
      <c r="S84" s="160"/>
      <c r="T84" s="160"/>
      <c r="U84" s="29"/>
      <c r="V84" s="29"/>
      <c r="W84" s="29"/>
    </row>
    <row r="85" spans="1:23">
      <c r="A85" s="29"/>
      <c r="B85" s="29"/>
      <c r="C85" s="234" t="s">
        <v>207</v>
      </c>
      <c r="D85" s="30" t="s">
        <v>34</v>
      </c>
      <c r="E85" s="30" t="str">
        <f>$E$79</f>
        <v>$millions</v>
      </c>
      <c r="F85" s="240" t="str">
        <f t="shared" si="15"/>
        <v>nominal</v>
      </c>
      <c r="G85" s="21"/>
      <c r="H85" s="21"/>
      <c r="I85" s="228">
        <v>2.2632949100000008</v>
      </c>
      <c r="J85" s="228">
        <v>2.8851414400000044</v>
      </c>
      <c r="K85" s="228">
        <v>2.7612718199999988</v>
      </c>
      <c r="L85" s="228">
        <v>2.1910071799999997</v>
      </c>
      <c r="M85" s="228">
        <v>3.0615161099999995</v>
      </c>
      <c r="N85" s="161"/>
      <c r="O85" s="232"/>
      <c r="P85" s="232"/>
      <c r="Q85" s="160"/>
      <c r="R85" s="160"/>
      <c r="S85" s="160"/>
      <c r="T85" s="160"/>
      <c r="U85" s="29"/>
      <c r="V85" s="29"/>
      <c r="W85" s="29"/>
    </row>
    <row r="86" spans="1:23">
      <c r="A86" s="29"/>
      <c r="B86" s="29"/>
      <c r="C86" s="234" t="s">
        <v>239</v>
      </c>
      <c r="D86" s="30" t="s">
        <v>34</v>
      </c>
      <c r="E86" s="30" t="str">
        <f>$E$79</f>
        <v>$millions</v>
      </c>
      <c r="F86" s="240" t="str">
        <f t="shared" si="15"/>
        <v>nominal</v>
      </c>
      <c r="G86" s="21"/>
      <c r="H86" s="21"/>
      <c r="I86" s="32"/>
      <c r="J86" s="161"/>
      <c r="K86" s="161"/>
      <c r="L86" s="161"/>
      <c r="M86" s="241">
        <v>2.7244090000000001</v>
      </c>
      <c r="N86" s="232"/>
      <c r="O86" s="232"/>
      <c r="P86" s="232"/>
      <c r="Q86" s="160"/>
      <c r="R86" s="160"/>
      <c r="S86" s="160"/>
      <c r="T86" s="160"/>
      <c r="U86" s="29"/>
      <c r="V86" s="29"/>
      <c r="W86" s="29"/>
    </row>
    <row r="87" spans="1:23">
      <c r="A87" s="29"/>
      <c r="B87" s="29"/>
      <c r="C87" s="29"/>
      <c r="D87" s="29"/>
      <c r="E87" s="30"/>
      <c r="F87" s="158"/>
      <c r="G87" s="158"/>
      <c r="H87" s="158"/>
      <c r="I87" s="32"/>
      <c r="J87" s="161"/>
      <c r="K87" s="161"/>
      <c r="L87" s="161"/>
      <c r="M87" s="161"/>
      <c r="N87" s="161"/>
      <c r="O87" s="232"/>
      <c r="P87" s="232"/>
      <c r="Q87" s="160"/>
      <c r="R87" s="160"/>
      <c r="S87" s="160"/>
      <c r="T87" s="160"/>
      <c r="U87" s="29"/>
      <c r="V87" s="29"/>
      <c r="W87" s="29"/>
    </row>
    <row r="88" spans="1:23">
      <c r="A88" s="29"/>
      <c r="B88" s="29"/>
      <c r="C88" s="61" t="s">
        <v>204</v>
      </c>
      <c r="D88" s="30" t="s">
        <v>34</v>
      </c>
      <c r="E88" s="30" t="str">
        <f>$E$79</f>
        <v>$millions</v>
      </c>
      <c r="F88" s="169">
        <v>44348</v>
      </c>
      <c r="G88" s="32"/>
      <c r="H88" s="32"/>
      <c r="I88" s="32"/>
      <c r="J88" s="161"/>
      <c r="K88" s="161"/>
      <c r="L88" s="161"/>
      <c r="M88" s="161"/>
      <c r="N88" s="161"/>
      <c r="O88" s="161">
        <v>0.24592608489294868</v>
      </c>
      <c r="P88" s="161"/>
      <c r="Q88" s="161"/>
      <c r="R88" s="161"/>
      <c r="S88" s="161"/>
      <c r="T88" s="161"/>
      <c r="U88" s="142"/>
      <c r="V88" s="142"/>
      <c r="W88" s="29"/>
    </row>
    <row r="89" spans="1:23">
      <c r="A89" s="29"/>
      <c r="B89" s="29"/>
      <c r="C89" s="61" t="s">
        <v>205</v>
      </c>
      <c r="D89" s="30" t="s">
        <v>34</v>
      </c>
      <c r="E89" s="30" t="str">
        <f t="shared" ref="E89:E94" si="16">$E$79</f>
        <v>$millions</v>
      </c>
      <c r="F89" s="169">
        <v>44348</v>
      </c>
      <c r="G89" s="32"/>
      <c r="H89" s="32"/>
      <c r="I89" s="32"/>
      <c r="J89" s="161"/>
      <c r="K89" s="161"/>
      <c r="L89" s="161"/>
      <c r="M89" s="228">
        <f>M84*IF($F84="nominal",LOOKUP($F89,Nominal_to_Real,'Input|Rate of change'!N$26:N$32),INDEX('Input|Rate of change'!$C$14:$P$22,MATCH('Calc|Opex forecast'!$F87,'Input|Rate of change'!$C$14:$C$22,0),MATCH('Calc|Opex forecast'!$F88,'Input|Rate of change'!$C$14:$P$14,0)))*IF($E84="$millions",1000000,IF($E84="$000",1000,1))/IF($E89="$millions",1000000,IF($E89="$000",1000,1))*$H$84</f>
        <v>1.2391264528198962</v>
      </c>
      <c r="N89" s="161"/>
      <c r="O89" s="230">
        <f>M89</f>
        <v>1.2391264528198962</v>
      </c>
      <c r="P89" s="161"/>
      <c r="Q89" s="161"/>
      <c r="R89" s="161"/>
      <c r="S89" s="161"/>
      <c r="T89" s="161"/>
      <c r="U89" s="142"/>
      <c r="V89" s="142"/>
      <c r="W89" s="29"/>
    </row>
    <row r="90" spans="1:23">
      <c r="A90" s="29"/>
      <c r="B90" s="29"/>
      <c r="C90" s="61" t="s">
        <v>206</v>
      </c>
      <c r="D90" s="30" t="s">
        <v>34</v>
      </c>
      <c r="E90" s="30" t="str">
        <f t="shared" si="16"/>
        <v>$millions</v>
      </c>
      <c r="F90" s="169">
        <v>44348</v>
      </c>
      <c r="G90" s="32"/>
      <c r="H90" s="32"/>
      <c r="I90" s="32"/>
      <c r="J90" s="161"/>
      <c r="K90" s="161"/>
      <c r="L90" s="161"/>
      <c r="M90" s="161"/>
      <c r="N90" s="161"/>
      <c r="O90" s="161">
        <v>1.190045034053195</v>
      </c>
      <c r="P90" s="161"/>
      <c r="Q90" s="161"/>
      <c r="R90" s="161"/>
      <c r="S90" s="161"/>
      <c r="T90" s="161"/>
      <c r="U90" s="142"/>
      <c r="V90" s="142"/>
      <c r="W90" s="29"/>
    </row>
    <row r="91" spans="1:23">
      <c r="A91" s="29"/>
      <c r="B91" s="29"/>
      <c r="C91" s="61" t="s">
        <v>207</v>
      </c>
      <c r="D91" s="30" t="s">
        <v>34</v>
      </c>
      <c r="E91" s="30" t="str">
        <f t="shared" si="16"/>
        <v>$millions</v>
      </c>
      <c r="F91" s="169">
        <v>44348</v>
      </c>
      <c r="G91" s="32"/>
      <c r="H91" s="32"/>
      <c r="I91" s="228">
        <f>I85*IF($F85="nominal",LOOKUP($F91,Nominal_to_Real,'Input|Rate of change'!J$26:J$32),INDEX('Input|Rate of change'!$C$14:$P$22,MATCH('Calc|Opex forecast'!$F89,'Input|Rate of change'!$C$14:$C$22,0),MATCH('Calc|Opex forecast'!$F90,'Input|Rate of change'!$C$14:$P$14,0)))*IF($E85="$millions",1000000,IF($E85="$000",1000,1))/IF($E91="$millions",1000000,IF($E91="$000",1000,1))</f>
        <v>2.4809108156852733</v>
      </c>
      <c r="J91" s="228">
        <f>J85*IF($F85="nominal",LOOKUP($F91,Nominal_to_Real,'Input|Rate of change'!K$26:K$32),INDEX('Input|Rate of change'!$C$14:$P$22,MATCH('Calc|Opex forecast'!$F89,'Input|Rate of change'!$C$14:$C$22,0),MATCH('Calc|Opex forecast'!$F90,'Input|Rate of change'!$C$14:$P$14,0)))*IF($E85="$millions",1000000,IF($E85="$000",1000,1))/IF($E91="$millions",1000000,IF($E91="$000",1000,1))</f>
        <v>3.1132885482635544</v>
      </c>
      <c r="K91" s="228">
        <f>K85*IF($F85="nominal",LOOKUP($F91,Nominal_to_Real,'Input|Rate of change'!L$26:L$32),INDEX('Input|Rate of change'!$C$14:$P$22,MATCH('Calc|Opex forecast'!$F89,'Input|Rate of change'!$C$14:$C$22,0),MATCH('Calc|Opex forecast'!$F90,'Input|Rate of change'!$C$14:$P$14,0)))*IF($E85="$millions",1000000,IF($E85="$000",1000,1))/IF($E91="$millions",1000000,IF($E91="$000",1000,1))</f>
        <v>2.9300380555622825</v>
      </c>
      <c r="L91" s="228">
        <f>L85*IF($F85="nominal",LOOKUP($F91,Nominal_to_Real,'Input|Rate of change'!M$26:M$32),INDEX('Input|Rate of change'!$C$14:$P$22,MATCH('Calc|Opex forecast'!$F89,'Input|Rate of change'!$C$14:$C$22,0),MATCH('Calc|Opex forecast'!$F90,'Input|Rate of change'!$C$14:$P$14,0)))*IF($E85="$millions",1000000,IF($E85="$000",1000,1))/IF($E91="$millions",1000000,IF($E91="$000",1000,1))</f>
        <v>2.2827661364749723</v>
      </c>
      <c r="M91" s="228">
        <f>M85*IF($F85="nominal",LOOKUP($F91,Nominal_to_Real,'Input|Rate of change'!N$26:N$32),INDEX('Input|Rate of change'!$C$14:$P$22,MATCH('Calc|Opex forecast'!$F89,'Input|Rate of change'!$C$14:$C$22,0),MATCH('Calc|Opex forecast'!$F90,'Input|Rate of change'!$C$14:$P$14,0)))*IF($E85="$millions",1000000,IF($E85="$000",1000,1))/IF($E91="$millions",1000000,IF($E91="$000",1000,1))</f>
        <v>3.1329532328759835</v>
      </c>
      <c r="N91" s="161"/>
      <c r="O91" s="230">
        <f>AVERAGE(I91:M91)</f>
        <v>2.7879913577724134</v>
      </c>
      <c r="P91" s="161"/>
      <c r="Q91" s="161"/>
      <c r="R91" s="161"/>
      <c r="S91" s="161"/>
      <c r="T91" s="161"/>
      <c r="U91" s="142"/>
      <c r="V91" s="142"/>
      <c r="W91" s="29"/>
    </row>
    <row r="92" spans="1:23">
      <c r="A92" s="29"/>
      <c r="B92" s="29"/>
      <c r="C92" s="61" t="s">
        <v>239</v>
      </c>
      <c r="D92" s="30" t="s">
        <v>34</v>
      </c>
      <c r="E92" s="30" t="str">
        <f t="shared" si="16"/>
        <v>$millions</v>
      </c>
      <c r="F92" s="169">
        <v>44348</v>
      </c>
      <c r="G92" s="32"/>
      <c r="H92" s="32"/>
      <c r="I92" s="32"/>
      <c r="J92" s="161"/>
      <c r="K92" s="161"/>
      <c r="L92" s="161"/>
      <c r="M92" s="228">
        <f>-M86*IF($F86="nominal",LOOKUP($F92,Nominal_to_Real,'Input|Rate of change'!N$26:N$32),INDEX('Input|Rate of change'!$C$14:$P$22,MATCH('Calc|Opex forecast'!$F90,'Input|Rate of change'!$C$14:$C$22,0),MATCH('Calc|Opex forecast'!$F91,'Input|Rate of change'!$C$14:$P$14,0)))*IF($E86="$millions",1000000,IF($E88="$000",1000,1))/IF($E92="$millions",1000000,IF($E92="$000",1000,1))</f>
        <v>-2.787980097947754</v>
      </c>
      <c r="N92" s="161"/>
      <c r="O92" s="230">
        <f>M92</f>
        <v>-2.787980097947754</v>
      </c>
      <c r="P92" s="161"/>
      <c r="Q92" s="161"/>
      <c r="R92" s="161"/>
      <c r="S92" s="161"/>
      <c r="T92" s="161"/>
      <c r="U92" s="142"/>
      <c r="V92" s="142"/>
      <c r="W92" s="29"/>
    </row>
    <row r="93" spans="1:23" s="102" customFormat="1">
      <c r="A93" s="195"/>
      <c r="B93" s="195"/>
      <c r="C93" s="196"/>
      <c r="D93" s="105"/>
      <c r="E93" s="105"/>
      <c r="F93" s="197"/>
      <c r="G93" s="198"/>
      <c r="H93" s="198"/>
      <c r="I93" s="198"/>
      <c r="J93" s="199"/>
      <c r="K93" s="199"/>
      <c r="L93" s="199"/>
      <c r="M93" s="199"/>
      <c r="N93" s="199"/>
      <c r="O93" s="199"/>
      <c r="P93" s="199"/>
      <c r="Q93" s="199"/>
      <c r="R93" s="199"/>
      <c r="S93" s="199"/>
      <c r="T93" s="199"/>
      <c r="U93" s="162"/>
      <c r="V93" s="162"/>
      <c r="W93" s="195"/>
    </row>
    <row r="94" spans="1:23">
      <c r="A94" s="29"/>
      <c r="B94" s="29"/>
      <c r="C94" s="61" t="s">
        <v>175</v>
      </c>
      <c r="D94" s="30" t="s">
        <v>34</v>
      </c>
      <c r="E94" s="30" t="str">
        <f t="shared" si="16"/>
        <v>$millions</v>
      </c>
      <c r="F94" s="169">
        <v>44348</v>
      </c>
      <c r="G94" s="32"/>
      <c r="H94" s="32"/>
      <c r="I94" s="32"/>
      <c r="J94" s="161"/>
      <c r="K94" s="161"/>
      <c r="L94" s="161"/>
      <c r="M94" s="161"/>
      <c r="N94" s="161"/>
      <c r="O94" s="161"/>
      <c r="P94" s="161"/>
      <c r="Q94" s="161"/>
      <c r="R94" s="161"/>
      <c r="S94" s="161"/>
      <c r="T94" s="161"/>
      <c r="U94" s="142"/>
      <c r="V94" s="142"/>
      <c r="W94" s="29"/>
    </row>
    <row r="95" spans="1:23" s="102" customFormat="1">
      <c r="A95" s="195"/>
      <c r="B95" s="195"/>
      <c r="C95" s="196"/>
      <c r="D95" s="105"/>
      <c r="E95" s="105"/>
      <c r="F95" s="197"/>
      <c r="G95" s="198"/>
      <c r="H95" s="198"/>
      <c r="I95" s="198"/>
      <c r="J95" s="199"/>
      <c r="K95" s="199"/>
      <c r="L95" s="199"/>
      <c r="M95" s="199"/>
      <c r="N95" s="199"/>
      <c r="O95" s="199"/>
      <c r="P95" s="199"/>
      <c r="Q95" s="199"/>
      <c r="R95" s="199"/>
      <c r="S95" s="199"/>
      <c r="T95" s="199"/>
      <c r="U95" s="162"/>
      <c r="V95" s="162"/>
      <c r="W95" s="195"/>
    </row>
    <row r="96" spans="1:23">
      <c r="A96" s="29"/>
      <c r="B96" s="29"/>
      <c r="C96" s="61" t="s">
        <v>88</v>
      </c>
      <c r="D96" s="30" t="s">
        <v>34</v>
      </c>
      <c r="E96" s="30" t="s">
        <v>31</v>
      </c>
      <c r="F96" s="32"/>
      <c r="G96" s="32"/>
      <c r="H96" s="32"/>
      <c r="I96" s="32"/>
      <c r="J96" s="200"/>
      <c r="K96" s="200"/>
      <c r="L96" s="200"/>
      <c r="M96" s="200"/>
      <c r="N96" s="200"/>
      <c r="O96" s="200"/>
      <c r="P96" s="200"/>
      <c r="Q96" s="200"/>
      <c r="R96" s="200"/>
      <c r="S96" s="200"/>
      <c r="T96" s="200"/>
      <c r="U96" s="142"/>
      <c r="V96" s="142"/>
      <c r="W96" s="29"/>
    </row>
    <row r="97" spans="1:23">
      <c r="A97" s="29"/>
      <c r="B97" s="29"/>
      <c r="C97" s="111"/>
      <c r="D97" s="30"/>
      <c r="E97" s="30"/>
      <c r="F97" s="30"/>
      <c r="G97" s="32"/>
      <c r="H97" s="32"/>
      <c r="I97" s="30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</row>
    <row r="98" spans="1:23" ht="12.75">
      <c r="A98" s="94"/>
      <c r="B98" s="95" t="s">
        <v>21</v>
      </c>
      <c r="C98" s="94"/>
      <c r="D98" s="94"/>
      <c r="E98" s="94"/>
      <c r="F98" s="96"/>
      <c r="G98" s="96"/>
      <c r="H98" s="96"/>
      <c r="I98" s="96"/>
      <c r="J98" s="97"/>
      <c r="K98" s="98"/>
      <c r="L98" s="97"/>
      <c r="M98" s="98"/>
      <c r="N98" s="97"/>
      <c r="O98" s="97"/>
      <c r="P98" s="97"/>
      <c r="Q98" s="97"/>
      <c r="R98" s="97"/>
      <c r="S98" s="97"/>
      <c r="T98" s="97"/>
      <c r="U98" s="97"/>
      <c r="V98" s="98"/>
      <c r="W98" s="98"/>
    </row>
    <row r="99" spans="1:23"/>
  </sheetData>
  <conditionalFormatting sqref="W60 W74:W77 W64:W68">
    <cfRule type="cellIs" dxfId="239" priority="81" operator="equal">
      <formula>"Check"</formula>
    </cfRule>
    <cfRule type="cellIs" dxfId="238" priority="82" operator="equal">
      <formula>"Ok"</formula>
    </cfRule>
  </conditionalFormatting>
  <conditionalFormatting sqref="W79">
    <cfRule type="cellIs" dxfId="237" priority="79" operator="equal">
      <formula>"Check"</formula>
    </cfRule>
    <cfRule type="cellIs" dxfId="236" priority="80" operator="equal">
      <formula>"Ok"</formula>
    </cfRule>
  </conditionalFormatting>
  <conditionalFormatting sqref="W15">
    <cfRule type="cellIs" dxfId="235" priority="77" operator="equal">
      <formula>"Check"</formula>
    </cfRule>
    <cfRule type="cellIs" dxfId="234" priority="78" operator="equal">
      <formula>"Ok"</formula>
    </cfRule>
  </conditionalFormatting>
  <conditionalFormatting sqref="V1">
    <cfRule type="cellIs" dxfId="233" priority="75" operator="equal">
      <formula>"Check"</formula>
    </cfRule>
    <cfRule type="cellIs" dxfId="232" priority="76" operator="equal">
      <formula>"Ok"</formula>
    </cfRule>
  </conditionalFormatting>
  <conditionalFormatting sqref="S1:T1">
    <cfRule type="cellIs" dxfId="231" priority="73" operator="equal">
      <formula>"Check"</formula>
    </cfRule>
    <cfRule type="cellIs" dxfId="230" priority="74" operator="equal">
      <formula>"Ok"</formula>
    </cfRule>
  </conditionalFormatting>
  <conditionalFormatting sqref="J15:T15">
    <cfRule type="cellIs" dxfId="229" priority="72" operator="equal">
      <formula>0</formula>
    </cfRule>
  </conditionalFormatting>
  <conditionalFormatting sqref="J79:S79">
    <cfRule type="cellIs" dxfId="228" priority="71" operator="equal">
      <formula>0</formula>
    </cfRule>
  </conditionalFormatting>
  <conditionalFormatting sqref="W71:W73">
    <cfRule type="cellIs" dxfId="227" priority="69" operator="equal">
      <formula>"Check"</formula>
    </cfRule>
    <cfRule type="cellIs" dxfId="226" priority="70" operator="equal">
      <formula>"Ok"</formula>
    </cfRule>
  </conditionalFormatting>
  <conditionalFormatting sqref="J56:T56 N60:T60 J64:T68 J74:S77">
    <cfRule type="expression" dxfId="225" priority="67">
      <formula>J$57=J$4</formula>
    </cfRule>
  </conditionalFormatting>
  <conditionalFormatting sqref="P13:T13 J21:T27 O19:T20">
    <cfRule type="expression" dxfId="224" priority="66">
      <formula>J$10=J$4</formula>
    </cfRule>
  </conditionalFormatting>
  <conditionalFormatting sqref="J60:O60">
    <cfRule type="expression" dxfId="223" priority="63">
      <formula>J$10=J$4</formula>
    </cfRule>
  </conditionalFormatting>
  <conditionalFormatting sqref="W70">
    <cfRule type="cellIs" dxfId="222" priority="61" operator="equal">
      <formula>"Check"</formula>
    </cfRule>
    <cfRule type="cellIs" dxfId="221" priority="62" operator="equal">
      <formula>"Ok"</formula>
    </cfRule>
  </conditionalFormatting>
  <conditionalFormatting sqref="J70:S70">
    <cfRule type="cellIs" dxfId="220" priority="59" operator="equal">
      <formula>0</formula>
    </cfRule>
  </conditionalFormatting>
  <conditionalFormatting sqref="J94:T94 J96:T96 J88:J90 K88:M88 K89:L89 K90:M90 J92:L92 P88:T92 N87:N92 N85">
    <cfRule type="expression" dxfId="219" priority="58">
      <formula>J$83=J$4</formula>
    </cfRule>
  </conditionalFormatting>
  <conditionalFormatting sqref="W29">
    <cfRule type="cellIs" dxfId="218" priority="54" operator="equal">
      <formula>"Check"</formula>
    </cfRule>
    <cfRule type="cellIs" dxfId="217" priority="55" operator="equal">
      <formula>"Ok"</formula>
    </cfRule>
  </conditionalFormatting>
  <conditionalFormatting sqref="J29:T29">
    <cfRule type="cellIs" dxfId="216" priority="53" operator="equal">
      <formula>0</formula>
    </cfRule>
  </conditionalFormatting>
  <conditionalFormatting sqref="O60">
    <cfRule type="expression" dxfId="215" priority="47">
      <formula>O$10=O$4</formula>
    </cfRule>
  </conditionalFormatting>
  <conditionalFormatting sqref="T79">
    <cfRule type="cellIs" dxfId="214" priority="46" operator="equal">
      <formula>0</formula>
    </cfRule>
  </conditionalFormatting>
  <conditionalFormatting sqref="T74:T77">
    <cfRule type="expression" dxfId="213" priority="45">
      <formula>T$57=T$4</formula>
    </cfRule>
  </conditionalFormatting>
  <conditionalFormatting sqref="T70">
    <cfRule type="cellIs" dxfId="212" priority="44" operator="equal">
      <formula>0</formula>
    </cfRule>
  </conditionalFormatting>
  <conditionalFormatting sqref="O12:O13">
    <cfRule type="expression" dxfId="211" priority="42">
      <formula>O$10=O$4</formula>
    </cfRule>
  </conditionalFormatting>
  <conditionalFormatting sqref="W38">
    <cfRule type="cellIs" dxfId="210" priority="40" operator="equal">
      <formula>"Check"</formula>
    </cfRule>
    <cfRule type="cellIs" dxfId="209" priority="41" operator="equal">
      <formula>"Ok"</formula>
    </cfRule>
  </conditionalFormatting>
  <conditionalFormatting sqref="J38:T38">
    <cfRule type="cellIs" dxfId="208" priority="39" operator="equal">
      <formula>0</formula>
    </cfRule>
  </conditionalFormatting>
  <conditionalFormatting sqref="J42:N50 P42:T50">
    <cfRule type="expression" dxfId="207" priority="38">
      <formula>J$33=J$4</formula>
    </cfRule>
  </conditionalFormatting>
  <conditionalFormatting sqref="W52">
    <cfRule type="cellIs" dxfId="206" priority="36" operator="equal">
      <formula>"Check"</formula>
    </cfRule>
    <cfRule type="cellIs" dxfId="205" priority="37" operator="equal">
      <formula>"Ok"</formula>
    </cfRule>
  </conditionalFormatting>
  <conditionalFormatting sqref="J52:T52">
    <cfRule type="cellIs" dxfId="204" priority="35" operator="equal">
      <formula>0</formula>
    </cfRule>
  </conditionalFormatting>
  <conditionalFormatting sqref="J36">
    <cfRule type="expression" dxfId="203" priority="33">
      <formula>J$33=J$4</formula>
    </cfRule>
  </conditionalFormatting>
  <conditionalFormatting sqref="O35">
    <cfRule type="expression" dxfId="202" priority="32">
      <formula>O$10=O$4</formula>
    </cfRule>
  </conditionalFormatting>
  <conditionalFormatting sqref="K36:T36">
    <cfRule type="expression" dxfId="201" priority="30">
      <formula>K$33=K$4</formula>
    </cfRule>
  </conditionalFormatting>
  <conditionalFormatting sqref="O42:O50">
    <cfRule type="expression" dxfId="200" priority="29">
      <formula>O$33=O$4</formula>
    </cfRule>
  </conditionalFormatting>
  <conditionalFormatting sqref="J19:N20">
    <cfRule type="expression" dxfId="199" priority="28">
      <formula>J$10=J$4</formula>
    </cfRule>
  </conditionalFormatting>
  <conditionalFormatting sqref="O88 O90">
    <cfRule type="expression" dxfId="198" priority="27">
      <formula>O$83=O$4</formula>
    </cfRule>
  </conditionalFormatting>
  <conditionalFormatting sqref="O89">
    <cfRule type="cellIs" dxfId="197" priority="24" operator="equal">
      <formula>0</formula>
    </cfRule>
  </conditionalFormatting>
  <conditionalFormatting sqref="O89">
    <cfRule type="cellIs" dxfId="196" priority="23" operator="equal">
      <formula>0</formula>
    </cfRule>
  </conditionalFormatting>
  <conditionalFormatting sqref="J84:L86 J87:M87">
    <cfRule type="expression" dxfId="195" priority="16">
      <formula>J$83=J$4</formula>
    </cfRule>
  </conditionalFormatting>
  <conditionalFormatting sqref="O91">
    <cfRule type="cellIs" dxfId="194" priority="6" operator="equal">
      <formula>0</formula>
    </cfRule>
  </conditionalFormatting>
  <conditionalFormatting sqref="O91">
    <cfRule type="cellIs" dxfId="193" priority="5" operator="equal">
      <formula>0</formula>
    </cfRule>
  </conditionalFormatting>
  <conditionalFormatting sqref="O92">
    <cfRule type="cellIs" dxfId="192" priority="2" operator="equal">
      <formula>0</formula>
    </cfRule>
  </conditionalFormatting>
  <conditionalFormatting sqref="O92">
    <cfRule type="cellIs" dxfId="191" priority="1" operator="equal">
      <formula>0</formula>
    </cfRule>
  </conditionalFormatting>
  <dataValidations count="1">
    <dataValidation type="list" allowBlank="1" showInputMessage="1" showErrorMessage="1" sqref="J56:T56" xr:uid="{00000000-0002-0000-0300-000000000000}">
      <formula1>"Actual,Estimate"</formula1>
    </dataValidation>
  </dataValidations>
  <hyperlinks>
    <hyperlink ref="U1" location="'Check|List'!A1" display="Overall Check:" xr:uid="{00000000-0004-0000-0300-000000000000}"/>
    <hyperlink ref="J1" location="Index!A1" display="Back to Index" xr:uid="{00000000-0004-0000-0300-000001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1000000}">
          <x14:formula1>
            <xm:f>'Lookup|Tables'!$H$41:$H$60</xm:f>
          </x14:formula1>
          <xm:sqref>F15 F29 F13 F36 F38 F52 F88:F95</xm:sqref>
        </x14:dataValidation>
        <x14:dataValidation type="list" allowBlank="1" showInputMessage="1" showErrorMessage="1" xr:uid="{00000000-0002-0000-0300-000002000000}">
          <x14:formula1>
            <xm:f>'Lookup|Tables'!$G$10:$G$12</xm:f>
          </x14:formula1>
          <xm:sqref>E13 E29 E36 E52</xm:sqref>
        </x14:dataValidation>
        <x14:dataValidation type="list" allowBlank="1" showInputMessage="1" showErrorMessage="1" xr:uid="{00000000-0002-0000-0300-000003000000}">
          <x14:formula1>
            <xm:f>'Lookup|Tables'!$H$41:$H$61</xm:f>
          </x14:formula1>
          <xm:sqref>F60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>
    <tabColor rgb="FFFFFF99"/>
  </sheetPr>
  <dimension ref="A1:AX187"/>
  <sheetViews>
    <sheetView showGridLines="0" topLeftCell="A37" workbookViewId="0">
      <selection activeCell="Q53" sqref="Q53"/>
    </sheetView>
  </sheetViews>
  <sheetFormatPr defaultColWidth="0" defaultRowHeight="11.25" zeroHeight="1" outlineLevelRow="1"/>
  <cols>
    <col min="1" max="2" width="1.5" style="29" customWidth="1"/>
    <col min="3" max="3" width="57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10" width="10.83203125" style="30" customWidth="1"/>
    <col min="11" max="23" width="10.83203125" style="29" customWidth="1"/>
    <col min="24" max="16384" width="10.5" style="29" hidden="1"/>
  </cols>
  <sheetData>
    <row r="1" spans="1:50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Q1" s="227" t="s">
        <v>225</v>
      </c>
      <c r="S1" s="72" t="s">
        <v>81</v>
      </c>
      <c r="T1" s="76" t="str">
        <f>IF(COUNTIF(W5:W110,"Check")=0,"Ok","Check")</f>
        <v>Check</v>
      </c>
      <c r="V1" s="185" t="s">
        <v>24</v>
      </c>
      <c r="W1" s="76" t="str">
        <f>'Check|List'!$S$1</f>
        <v>Check</v>
      </c>
    </row>
    <row r="2" spans="1:50" s="77" customFormat="1" ht="13.5" thickBot="1">
      <c r="B2" s="78" t="str">
        <f>Index!$C$10</f>
        <v>Input | Rate of change</v>
      </c>
      <c r="C2" s="78"/>
      <c r="D2" s="78"/>
      <c r="E2" s="78"/>
      <c r="F2" s="79"/>
      <c r="G2" s="79"/>
      <c r="H2" s="79"/>
      <c r="I2" s="79"/>
      <c r="J2" s="79"/>
    </row>
    <row r="3" spans="1:50" s="80" customFormat="1">
      <c r="C3" s="81"/>
      <c r="D3" s="180"/>
      <c r="E3" s="180"/>
      <c r="F3" s="180"/>
      <c r="G3" s="180"/>
      <c r="H3" s="180"/>
      <c r="I3" s="180"/>
      <c r="J3" s="155" t="s">
        <v>117</v>
      </c>
      <c r="K3" s="249"/>
      <c r="L3" s="249"/>
      <c r="M3" s="249"/>
      <c r="N3" s="180"/>
      <c r="O3" s="249"/>
      <c r="P3" s="249"/>
      <c r="Q3" s="249"/>
      <c r="R3" s="249"/>
      <c r="S3" s="249"/>
      <c r="T3" s="249"/>
      <c r="U3" s="82"/>
      <c r="V3" s="82"/>
      <c r="W3" s="82"/>
      <c r="X3" s="82"/>
      <c r="Y3" s="82"/>
      <c r="Z3" s="82"/>
      <c r="AA3" s="82"/>
      <c r="AB3" s="82"/>
      <c r="AC3" s="82"/>
    </row>
    <row r="4" spans="1:50" s="93" customFormat="1" ht="10.5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3">
        <f>DATE(PPFirstYear-1,MONTH('Input|General'!$G$9),1)</f>
        <v>42339</v>
      </c>
      <c r="K4" s="218">
        <f>DATE(PPFirstYear,MONTH('Input|General'!$G$9),1)</f>
        <v>42705</v>
      </c>
      <c r="L4" s="218">
        <f>DATE(PPFirstYear+1,MONTH('Input|General'!$G$9),1)</f>
        <v>43070</v>
      </c>
      <c r="M4" s="218">
        <f>DATE(PPFirstYear+2,MONTH('Input|General'!$G$9),1)</f>
        <v>43435</v>
      </c>
      <c r="N4" s="218">
        <f>DATE(PPFirstYear+3,MONTH('Input|General'!$G$9),1)</f>
        <v>43800</v>
      </c>
      <c r="O4" s="218">
        <f>DATE(PPFirstYear+4,MONTH('Input|General'!$G$9),1)</f>
        <v>44166</v>
      </c>
      <c r="P4" s="218">
        <f>DATE(PPFirstYear+5,MONTH('Input|General'!$G$10),1)</f>
        <v>44348</v>
      </c>
      <c r="Q4" s="218">
        <f>DATE(PPFirstYear+6,MONTH('Input|General'!$G$10),1)</f>
        <v>44713</v>
      </c>
      <c r="R4" s="218">
        <f>DATE(PPFirstYear+7,MONTH('Input|General'!$G$10),1)</f>
        <v>45078</v>
      </c>
      <c r="S4" s="218">
        <f>DATE(PPFirstYear+8,MONTH('Input|General'!$G$10),1)</f>
        <v>45444</v>
      </c>
      <c r="T4" s="218">
        <f>DATE(PPFirstYear+9,MONTH('Input|General'!$G$10),1)</f>
        <v>45809</v>
      </c>
      <c r="U4" s="218">
        <f>DATE(PPFirstYear+10,MONTH('Input|General'!$G$10),1)</f>
        <v>46174</v>
      </c>
      <c r="V4" s="87"/>
      <c r="W4" s="88"/>
      <c r="X4" s="89"/>
      <c r="Y4" s="89"/>
      <c r="Z4" s="89"/>
      <c r="AA4" s="89"/>
      <c r="AB4" s="89"/>
      <c r="AC4" s="89"/>
      <c r="AD4" s="89"/>
      <c r="AE4" s="90"/>
      <c r="AF4" s="91"/>
      <c r="AG4" s="91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</row>
    <row r="5" spans="1:50" s="27" customFormat="1" ht="3" customHeight="1">
      <c r="D5" s="28"/>
      <c r="E5" s="28"/>
      <c r="F5" s="28"/>
      <c r="G5" s="28"/>
      <c r="H5" s="28"/>
      <c r="I5" s="28"/>
      <c r="J5" s="28"/>
    </row>
    <row r="6" spans="1:50" s="27" customFormat="1" ht="9" customHeight="1">
      <c r="D6" s="28"/>
      <c r="E6" s="28"/>
      <c r="F6" s="28"/>
      <c r="G6" s="28"/>
      <c r="H6" s="28"/>
      <c r="I6" s="28"/>
      <c r="J6" s="28"/>
    </row>
    <row r="7" spans="1:50" s="27" customFormat="1" ht="3" customHeight="1">
      <c r="D7" s="28"/>
      <c r="E7" s="28"/>
      <c r="F7" s="28"/>
      <c r="G7" s="28"/>
      <c r="H7" s="28"/>
      <c r="I7" s="28"/>
      <c r="J7" s="28"/>
    </row>
    <row r="8" spans="1:50" s="103" customFormat="1" ht="12.75">
      <c r="A8" s="94"/>
      <c r="B8" s="95" t="s">
        <v>35</v>
      </c>
      <c r="C8" s="94"/>
      <c r="D8" s="94"/>
      <c r="E8" s="94"/>
      <c r="F8" s="96"/>
      <c r="G8" s="96"/>
      <c r="H8" s="96"/>
      <c r="I8" s="96"/>
      <c r="J8" s="96"/>
      <c r="K8" s="97"/>
      <c r="L8" s="98"/>
      <c r="M8" s="97"/>
      <c r="N8" s="98"/>
      <c r="O8" s="97"/>
      <c r="P8" s="97"/>
      <c r="Q8" s="97"/>
      <c r="R8" s="97"/>
      <c r="S8" s="97"/>
      <c r="T8" s="97"/>
      <c r="U8" s="97"/>
      <c r="V8" s="97"/>
      <c r="W8" s="98"/>
      <c r="X8" s="99"/>
      <c r="Y8" s="99"/>
      <c r="Z8" s="99"/>
      <c r="AA8" s="99"/>
      <c r="AB8" s="99"/>
      <c r="AC8" s="99"/>
      <c r="AD8" s="99"/>
      <c r="AE8" s="100"/>
      <c r="AF8" s="101"/>
      <c r="AG8" s="101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</row>
    <row r="9" spans="1:50" ht="11.25" customHeight="1" outlineLevel="1"/>
    <row r="10" spans="1:50" ht="11.25" customHeight="1" outlineLevel="1">
      <c r="C10" s="67" t="s">
        <v>33</v>
      </c>
      <c r="J10" s="156">
        <f>J4</f>
        <v>42339</v>
      </c>
      <c r="K10" s="156">
        <f t="shared" ref="K10:P10" si="0">K4</f>
        <v>42705</v>
      </c>
      <c r="L10" s="156">
        <f t="shared" si="0"/>
        <v>43070</v>
      </c>
      <c r="M10" s="156">
        <f t="shared" si="0"/>
        <v>43435</v>
      </c>
      <c r="N10" s="156">
        <f t="shared" si="0"/>
        <v>43800</v>
      </c>
      <c r="O10" s="156">
        <f t="shared" si="0"/>
        <v>44166</v>
      </c>
      <c r="P10" s="156">
        <f t="shared" si="0"/>
        <v>44348</v>
      </c>
      <c r="Q10" s="156"/>
      <c r="R10" s="156"/>
      <c r="S10" s="156"/>
      <c r="T10" s="156"/>
      <c r="U10" s="156"/>
    </row>
    <row r="11" spans="1:50" ht="11.25" customHeight="1" outlineLevel="1">
      <c r="C11" s="67"/>
      <c r="J11" s="29"/>
      <c r="P11" s="143"/>
      <c r="Q11" s="143"/>
      <c r="R11" s="143"/>
      <c r="S11" s="143"/>
      <c r="T11" s="143"/>
      <c r="U11" s="143"/>
      <c r="V11" s="120"/>
      <c r="W11" s="120"/>
    </row>
    <row r="12" spans="1:50" ht="11.25" customHeight="1" outlineLevel="1">
      <c r="C12" s="111" t="s">
        <v>33</v>
      </c>
      <c r="D12" s="144" t="s">
        <v>97</v>
      </c>
      <c r="E12" s="30" t="str">
        <f>percent</f>
        <v>Per cent</v>
      </c>
      <c r="J12" s="143">
        <f>IF(J10=J4,LOOKUP(EOMONTH(J4,0),'Input|Inflation'!$C$9:$C$84,'Input|Inflation'!$G$9:$G$84),"")</f>
        <v>1.6885553470919357E-2</v>
      </c>
      <c r="K12" s="143">
        <f>IF(K10=K4,LOOKUP(EOMONTH(K4,0),'Input|Inflation'!$C$9:$C$84,'Input|Inflation'!$G$9:$G$84),"")</f>
        <v>1.4760147601476037E-2</v>
      </c>
      <c r="L12" s="143">
        <f>IF(L10=L4,LOOKUP(EOMONTH(L4,0),'Input|Inflation'!$C$9:$C$84,'Input|Inflation'!$G$9:$G$84),"")</f>
        <v>1.9090909090909047E-2</v>
      </c>
      <c r="M12" s="143">
        <f>IF(M10=M4,LOOKUP(EOMONTH(M4,0),'Input|Inflation'!$C$9:$C$84,'Input|Inflation'!$G$9:$G$84),"")</f>
        <v>1.7841213202497874E-2</v>
      </c>
      <c r="N12" s="143">
        <f>IF(N10=N4,LOOKUP(EOMONTH(N4,0),'Input|Inflation'!$C$9:$C$84,'Input|Inflation'!$G$9:$G$84),"")</f>
        <v>1.8404907975460238E-2</v>
      </c>
      <c r="O12" s="143">
        <f>IF(O10=O4,LOOKUP(EOMONTH(O4,0),'Input|Inflation'!$C$9:$C$84,'Input|Inflation'!$G$9:$G$84),"")</f>
        <v>1.2499999999999956E-2</v>
      </c>
      <c r="P12" s="143">
        <f>IF(P10=P4,LOOKUP(EOMONTH(P4,0),'Input|Inflation'!$C$9:$C$84,'Input|Inflation'!$G$9:$G$84),"")</f>
        <v>1.5256794373259552E-3</v>
      </c>
      <c r="Q12" s="143" t="str">
        <f>IF(Q10=Q4,LOOKUP(EOMONTH(Q4,0),'Input|Inflation'!$C$9:$C$84,'Input|Inflation'!$G$9:$G$84),"")</f>
        <v/>
      </c>
      <c r="R12" s="143" t="str">
        <f>IF(R10=R4,LOOKUP(EOMONTH(R4,0),'Input|Inflation'!$C$9:$C$84,'Input|Inflation'!$G$9:$G$84),"")</f>
        <v/>
      </c>
      <c r="S12" s="143" t="str">
        <f>IF(S10=S4,LOOKUP(EOMONTH(S4,0),'Input|Inflation'!$C$9:$C$84,'Input|Inflation'!$G$9:$G$84),"")</f>
        <v/>
      </c>
      <c r="T12" s="143" t="str">
        <f>IF(T10=T4,LOOKUP(EOMONTH(T4,0),'Input|Inflation'!$C$9:$C$84,'Input|Inflation'!$G$9:$G$84),"")</f>
        <v/>
      </c>
      <c r="U12" s="143" t="str">
        <f>IF(U10=U4,LOOKUP(EOMONTH(U4,0),'Input|Inflation'!$C$9:$C$84,'Input|Inflation'!$G$9:$G$84),"")</f>
        <v/>
      </c>
    </row>
    <row r="13" spans="1:50" ht="11.25" customHeight="1" outlineLevel="1">
      <c r="D13" s="29"/>
      <c r="E13" s="29"/>
      <c r="F13" s="29"/>
      <c r="G13" s="29"/>
      <c r="H13" s="29"/>
      <c r="I13" s="29"/>
      <c r="J13" s="29"/>
    </row>
    <row r="14" spans="1:50" ht="11.25" customHeight="1" outlineLevel="1">
      <c r="C14" s="67" t="s">
        <v>98</v>
      </c>
      <c r="I14" s="29"/>
      <c r="J14" s="156">
        <f>J4</f>
        <v>42339</v>
      </c>
      <c r="K14" s="156">
        <f t="shared" ref="K14:P14" si="1">K4</f>
        <v>42705</v>
      </c>
      <c r="L14" s="156">
        <f t="shared" si="1"/>
        <v>43070</v>
      </c>
      <c r="M14" s="156">
        <f t="shared" si="1"/>
        <v>43435</v>
      </c>
      <c r="N14" s="156">
        <f t="shared" si="1"/>
        <v>43800</v>
      </c>
      <c r="O14" s="156">
        <f t="shared" si="1"/>
        <v>44166</v>
      </c>
      <c r="P14" s="156">
        <f t="shared" si="1"/>
        <v>44348</v>
      </c>
      <c r="Q14" s="156"/>
      <c r="R14" s="156"/>
      <c r="S14" s="156"/>
      <c r="T14" s="156"/>
      <c r="U14" s="156"/>
    </row>
    <row r="15" spans="1:50" ht="11.25" customHeight="1" outlineLevel="1">
      <c r="C15" s="67"/>
      <c r="I15" s="29"/>
      <c r="J15" s="120"/>
      <c r="K15" s="120"/>
      <c r="L15" s="120"/>
      <c r="M15" s="120"/>
      <c r="N15" s="120"/>
      <c r="O15" s="120"/>
      <c r="P15" s="26"/>
      <c r="Q15" s="26"/>
      <c r="R15" s="26"/>
      <c r="S15" s="26"/>
      <c r="T15" s="26"/>
      <c r="U15" s="26"/>
    </row>
    <row r="16" spans="1:50" ht="11.25" customHeight="1" outlineLevel="1">
      <c r="C16" s="163">
        <f t="array" ref="C16:C22">TRANSPOSE(J10:P10)</f>
        <v>42339</v>
      </c>
      <c r="D16" s="144" t="str">
        <f t="shared" ref="D16:D20" si="2">IF(ISNONTEXT($C16),"calculated","")</f>
        <v>calculated</v>
      </c>
      <c r="E16" s="30" t="str">
        <f>IF(ISNONTEXT($C16),"index","")</f>
        <v>index</v>
      </c>
      <c r="J16" s="22">
        <f t="shared" ref="J16:O16" si="3">IF(AND($C16&gt;J$14,ISNONTEXT($C16)),K16/(1+K$12),IF(AND($C16=J$14,J$14=J$4),1,IF(AND($C16&lt;J$14,J$14=J$4),I16*(1+J$12),0)))</f>
        <v>1</v>
      </c>
      <c r="K16" s="22">
        <f t="shared" si="3"/>
        <v>1.014760147601476</v>
      </c>
      <c r="L16" s="22">
        <f t="shared" si="3"/>
        <v>1.0341328413284132</v>
      </c>
      <c r="M16" s="22">
        <f t="shared" si="3"/>
        <v>1.0525830258302584</v>
      </c>
      <c r="N16" s="22">
        <f t="shared" si="3"/>
        <v>1.0719557195571958</v>
      </c>
      <c r="O16" s="22">
        <f t="shared" si="3"/>
        <v>1.0853551660516607</v>
      </c>
      <c r="P16" s="22">
        <f t="shared" ref="P16" si="4">IF(AND($C16&gt;P$14,ISNONTEXT($C16)),Q16/(1+P$12),IF(AND($C16=P$14,P$14=P$4),1,IF(AND($C16&lt;P$14,P$14=P$4),O16*(1+P$12),0)))</f>
        <v>1.0870110701107012</v>
      </c>
      <c r="Q16" s="206"/>
      <c r="R16" s="206"/>
      <c r="S16" s="206"/>
      <c r="T16" s="206"/>
      <c r="U16" s="206"/>
    </row>
    <row r="17" spans="3:22" ht="11.25" customHeight="1" outlineLevel="1">
      <c r="C17" s="163">
        <v>42705</v>
      </c>
      <c r="D17" s="144" t="str">
        <f t="shared" si="2"/>
        <v>calculated</v>
      </c>
      <c r="E17" s="30" t="str">
        <f t="shared" ref="E17:E22" si="5">IF(ISNONTEXT($C17),"index","")</f>
        <v>index</v>
      </c>
      <c r="I17" s="22"/>
      <c r="J17" s="22">
        <f t="shared" ref="J17:O17" si="6">IF(AND($C17&gt;J$14,ISNONTEXT($C17)),K17/(1+K$12),IF(AND($C17=J$14,J$14=J$4),1,IF(AND($C17&lt;J$14,J$14=J$4),I17*(1+J$12),0)))</f>
        <v>0.98545454545454547</v>
      </c>
      <c r="K17" s="22">
        <f t="shared" si="6"/>
        <v>1</v>
      </c>
      <c r="L17" s="22">
        <f t="shared" si="6"/>
        <v>1.019090909090909</v>
      </c>
      <c r="M17" s="22">
        <f t="shared" si="6"/>
        <v>1.0372727272727273</v>
      </c>
      <c r="N17" s="22">
        <f t="shared" si="6"/>
        <v>1.0563636363636366</v>
      </c>
      <c r="O17" s="22">
        <f t="shared" si="6"/>
        <v>1.0695681818181819</v>
      </c>
      <c r="P17" s="22">
        <f t="shared" ref="P17" si="7">IF(AND($C17&gt;P$14,ISNONTEXT($C17)),Q17/(1+P$12),IF(AND($C17=P$14,P$14=P$4),1,IF(AND($C17&lt;P$14,P$14=P$4),O17*(1+P$12),0)))</f>
        <v>1.0711999999999999</v>
      </c>
      <c r="Q17" s="206"/>
      <c r="R17" s="206"/>
      <c r="S17" s="206"/>
      <c r="T17" s="206"/>
      <c r="U17" s="206"/>
    </row>
    <row r="18" spans="3:22" ht="11.25" customHeight="1" outlineLevel="1">
      <c r="C18" s="163">
        <v>43070</v>
      </c>
      <c r="D18" s="144" t="str">
        <f t="shared" si="2"/>
        <v>calculated</v>
      </c>
      <c r="E18" s="30" t="str">
        <f t="shared" si="5"/>
        <v>index</v>
      </c>
      <c r="I18" s="22"/>
      <c r="J18" s="22">
        <f t="shared" ref="J18:O18" si="8">IF(AND($C18&gt;J$14,ISNONTEXT($C18)),K18/(1+K$12),IF(AND($C18=J$14,J$14=J$4),1,IF(AND($C18&lt;J$14,J$14=J$4),I18*(1+J$12),0)))</f>
        <v>0.96699375557537914</v>
      </c>
      <c r="K18" s="22">
        <f t="shared" si="8"/>
        <v>0.98126672613737742</v>
      </c>
      <c r="L18" s="22">
        <f t="shared" si="8"/>
        <v>1</v>
      </c>
      <c r="M18" s="22">
        <f t="shared" si="8"/>
        <v>1.0178412132024979</v>
      </c>
      <c r="N18" s="22">
        <f t="shared" si="8"/>
        <v>1.0365744870651206</v>
      </c>
      <c r="O18" s="22">
        <f t="shared" si="8"/>
        <v>1.0495316681534346</v>
      </c>
      <c r="P18" s="22">
        <f t="shared" ref="P18" si="9">IF(AND($C18&gt;P$14,ISNONTEXT($C18)),Q18/(1+P$12),IF(AND($C18=P$14,P$14=P$4),1,IF(AND($C18&lt;P$14,P$14=P$4),O18*(1+P$12),0)))</f>
        <v>1.0511329170383588</v>
      </c>
      <c r="Q18" s="206"/>
      <c r="R18" s="206"/>
      <c r="S18" s="206"/>
      <c r="T18" s="206"/>
      <c r="U18" s="206"/>
    </row>
    <row r="19" spans="3:22" ht="11.25" customHeight="1" outlineLevel="1">
      <c r="C19" s="163">
        <v>43435</v>
      </c>
      <c r="D19" s="144" t="str">
        <f t="shared" si="2"/>
        <v>calculated</v>
      </c>
      <c r="E19" s="30" t="str">
        <f t="shared" si="5"/>
        <v>index</v>
      </c>
      <c r="I19" s="22"/>
      <c r="J19" s="22">
        <f t="shared" ref="J19:O19" si="10">IF(AND($C19&gt;J$14,ISNONTEXT($C19)),K19/(1+K$12),IF(AND($C19=J$14,J$14=J$4),1,IF(AND($C19&lt;J$14,J$14=J$4),I19*(1+J$12),0)))</f>
        <v>0.95004382120946529</v>
      </c>
      <c r="K19" s="22">
        <f t="shared" si="10"/>
        <v>0.9640666082383873</v>
      </c>
      <c r="L19" s="22">
        <f t="shared" si="10"/>
        <v>0.98247151621384743</v>
      </c>
      <c r="M19" s="22">
        <f t="shared" si="10"/>
        <v>1</v>
      </c>
      <c r="N19" s="22">
        <f t="shared" si="10"/>
        <v>1.0184049079754602</v>
      </c>
      <c r="O19" s="22">
        <f t="shared" si="10"/>
        <v>1.0311349693251535</v>
      </c>
      <c r="P19" s="22">
        <f t="shared" ref="P19" si="11">IF(AND($C19&gt;P$14,ISNONTEXT($C19)),Q19/(1+P$12),IF(AND($C19=P$14,P$14=P$4),1,IF(AND($C19&lt;P$14,P$14=P$4),O19*(1+P$12),0)))</f>
        <v>1.0327081507449607</v>
      </c>
      <c r="Q19" s="206"/>
      <c r="R19" s="206"/>
      <c r="S19" s="206"/>
      <c r="T19" s="206"/>
      <c r="U19" s="206"/>
    </row>
    <row r="20" spans="3:22" ht="11.25" customHeight="1" outlineLevel="1">
      <c r="C20" s="163">
        <v>43800</v>
      </c>
      <c r="D20" s="144" t="str">
        <f t="shared" si="2"/>
        <v>calculated</v>
      </c>
      <c r="E20" s="30" t="str">
        <f t="shared" si="5"/>
        <v>index</v>
      </c>
      <c r="I20" s="22"/>
      <c r="J20" s="22">
        <f>IF(AND($C20&gt;J$14,ISNONTEXT($C20)),K20/(1+K$12),IF(AND($C20=J$14,J$14=J$4),1,IF(AND($C20&lt;J$14,J$14=J$4),I20*(1+J$12),0)))</f>
        <v>0.93287435456110135</v>
      </c>
      <c r="K20" s="22">
        <f t="shared" ref="K20:O20" si="12">IF(AND($C20&gt;K$14,ISNONTEXT($C20)),L20/(1+L$12),IF(AND($C20=K$14,K$14=K$4),1,IF(AND($C20&lt;K$14,K$14=K$4),J20*(1+K$12),0)))</f>
        <v>0.94664371772805489</v>
      </c>
      <c r="L20" s="22">
        <f t="shared" si="12"/>
        <v>0.9647160068846814</v>
      </c>
      <c r="M20" s="22">
        <f t="shared" si="12"/>
        <v>0.98192771084337338</v>
      </c>
      <c r="N20" s="22">
        <f t="shared" si="12"/>
        <v>1</v>
      </c>
      <c r="O20" s="22">
        <f t="shared" si="12"/>
        <v>1.0125</v>
      </c>
      <c r="P20" s="22">
        <f t="shared" ref="P20" si="13">IF(AND($C20&gt;P$14,ISNONTEXT($C20)),Q20/(1+P$12),IF(AND($C20=P$14,P$14=P$4),1,IF(AND($C20&lt;P$14,P$14=P$4),O20*(1+P$12),0)))</f>
        <v>1.0140447504302925</v>
      </c>
      <c r="Q20" s="206"/>
      <c r="R20" s="206"/>
      <c r="S20" s="206"/>
      <c r="T20" s="206"/>
      <c r="U20" s="206"/>
    </row>
    <row r="21" spans="3:22" ht="11.25" customHeight="1" outlineLevel="1">
      <c r="C21" s="163">
        <v>44166</v>
      </c>
      <c r="D21" s="144" t="str">
        <f>IF(ISNONTEXT($C21),"calculated","")</f>
        <v>calculated</v>
      </c>
      <c r="E21" s="30" t="str">
        <f t="shared" si="5"/>
        <v>index</v>
      </c>
      <c r="I21" s="22"/>
      <c r="J21" s="22">
        <f>IF(AND($C21&gt;J$14,ISNONTEXT($C21)),K21/(1+K$12),IF(AND($C21=J$14,J$14=J$4),1,IF(AND($C21&lt;J$14,J$14=J$4),I21*(1+J$12),0)))</f>
        <v>0.92135738722084093</v>
      </c>
      <c r="K21" s="22">
        <f t="shared" ref="K21" si="14">IF(AND($C21&gt;K$14,ISNONTEXT($C21)),L21/(1+L$12),IF(AND($C21=K$14,K$14=K$4),1,IF(AND($C21&lt;K$14,K$14=K$4),J21*(1+K$12),0)))</f>
        <v>0.93495675824993085</v>
      </c>
      <c r="L21" s="22">
        <f t="shared" ref="L21" si="15">IF(AND($C21&gt;L$14,ISNONTEXT($C21)),M21/(1+M$12),IF(AND($C21=L$14,L$14=L$4),1,IF(AND($C21&lt;L$14,L$14=L$4),K21*(1+L$12),0)))</f>
        <v>0.95280593272561132</v>
      </c>
      <c r="M21" s="22">
        <f t="shared" ref="M21" si="16">IF(AND($C21&gt;M$14,ISNONTEXT($C21)),N21/(1+N$12),IF(AND($C21=M$14,M$14=M$4),1,IF(AND($C21&lt;M$14,M$14=M$4),L21*(1+M$12),0)))</f>
        <v>0.9698051465119738</v>
      </c>
      <c r="N21" s="22">
        <f t="shared" ref="N21:O21" si="17">IF(AND($C21&gt;N$14,ISNONTEXT($C21)),O21/(1+O$12),IF(AND($C21=N$14,N$14=N$4),1,IF(AND($C21&lt;N$14,N$14=N$4),M21*(1+N$12),0)))</f>
        <v>0.98765432098765438</v>
      </c>
      <c r="O21" s="22">
        <f t="shared" si="17"/>
        <v>1</v>
      </c>
      <c r="P21" s="22">
        <f t="shared" ref="P21" si="18">IF(AND($C21&gt;P$14,ISNONTEXT($C21)),Q21/(1+P$12),IF(AND($C21=P$14,P$14=P$4),1,IF(AND($C21&lt;P$14,P$14=P$4),O21*(1+P$12),0)))</f>
        <v>1.001525679437326</v>
      </c>
      <c r="Q21" s="206"/>
      <c r="R21" s="206"/>
      <c r="S21" s="206"/>
      <c r="T21" s="206"/>
      <c r="U21" s="206"/>
    </row>
    <row r="22" spans="3:22" ht="11.25" customHeight="1" outlineLevel="1">
      <c r="C22" s="163">
        <v>44348</v>
      </c>
      <c r="D22" s="144" t="str">
        <f>IF(ISNONTEXT($C22),"calculated","")</f>
        <v>calculated</v>
      </c>
      <c r="E22" s="30" t="str">
        <f t="shared" si="5"/>
        <v>index</v>
      </c>
      <c r="I22" s="22"/>
      <c r="J22" s="22">
        <f>IF(AND($C22&gt;J$14,ISNONTEXT($C22)),K22/(1+K$12),IF(AND($C22=J$14,J$14=J$4),1,IF(AND($C22&lt;J$14,J$14=J$4),I22*(1+J$12),0)))</f>
        <v>0.91995383257519159</v>
      </c>
      <c r="K22" s="22">
        <f t="shared" ref="K22" si="19">IF(AND($C22&gt;K$14,ISNONTEXT($C22)),L22/(1+L$12),IF(AND($C22=K$14,K$14=K$4),1,IF(AND($C22&lt;K$14,K$14=K$4),J22*(1+K$12),0)))</f>
        <v>0.93353248693054502</v>
      </c>
      <c r="L22" s="22">
        <f t="shared" ref="L22" si="20">IF(AND($C22&gt;L$14,ISNONTEXT($C22)),M22/(1+M$12),IF(AND($C22=L$14,L$14=L$4),1,IF(AND($C22&lt;L$14,L$14=L$4),K22*(1+L$12),0)))</f>
        <v>0.95135447077194635</v>
      </c>
      <c r="M22" s="22">
        <f t="shared" ref="M22" si="21">IF(AND($C22&gt;M$14,ISNONTEXT($C22)),N22/(1+N$12),IF(AND($C22=M$14,M$14=M$4),1,IF(AND($C22&lt;M$14,M$14=M$4),L22*(1+M$12),0)))</f>
        <v>0.96832778871613823</v>
      </c>
      <c r="N22" s="22">
        <f t="shared" ref="N22:O22" si="22">IF(AND($C22&gt;N$14,ISNONTEXT($C22)),O22/(1+O$12),IF(AND($C22=N$14,N$14=N$4),1,IF(AND($C22&lt;N$14,N$14=N$4),M22*(1+N$12),0)))</f>
        <v>0.98614977255753966</v>
      </c>
      <c r="O22" s="22">
        <f t="shared" si="22"/>
        <v>0.99847664471450881</v>
      </c>
      <c r="P22" s="22">
        <f t="shared" ref="P22" si="23">IF(AND($C22&gt;P$14,ISNONTEXT($C22)),Q22/(1+P$12),IF(AND($C22=P$14,P$14=P$4),1,IF(AND($C22&lt;P$14,P$14=P$4),O22*(1+P$12),0)))</f>
        <v>1</v>
      </c>
      <c r="Q22" s="206"/>
      <c r="R22" s="206"/>
      <c r="S22" s="206"/>
      <c r="T22" s="206"/>
      <c r="U22" s="206"/>
    </row>
    <row r="23" spans="3:22" ht="11.25" customHeight="1" outlineLevel="1">
      <c r="C23" s="111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3:22" ht="11.25" customHeight="1" outlineLevel="1">
      <c r="C24" s="67" t="s">
        <v>46</v>
      </c>
      <c r="J24" s="156">
        <f>J4</f>
        <v>42339</v>
      </c>
      <c r="K24" s="156">
        <f t="shared" ref="K24:P24" si="24">K4</f>
        <v>42705</v>
      </c>
      <c r="L24" s="156">
        <f t="shared" si="24"/>
        <v>43070</v>
      </c>
      <c r="M24" s="156">
        <f t="shared" si="24"/>
        <v>43435</v>
      </c>
      <c r="N24" s="156">
        <f t="shared" si="24"/>
        <v>43800</v>
      </c>
      <c r="O24" s="156">
        <f t="shared" si="24"/>
        <v>44166</v>
      </c>
      <c r="P24" s="156">
        <f t="shared" si="24"/>
        <v>44348</v>
      </c>
      <c r="Q24" s="156"/>
      <c r="R24" s="156"/>
      <c r="S24" s="156"/>
      <c r="T24" s="156"/>
      <c r="U24" s="156"/>
    </row>
    <row r="25" spans="3:22" ht="11.25" customHeight="1" outlineLevel="1">
      <c r="C25" s="111"/>
      <c r="J25" s="29"/>
      <c r="P25" s="142"/>
      <c r="Q25" s="22"/>
      <c r="R25" s="22"/>
      <c r="S25" s="22"/>
      <c r="T25" s="22"/>
      <c r="U25" s="22"/>
    </row>
    <row r="26" spans="3:22" ht="11.25" customHeight="1" outlineLevel="1">
      <c r="C26" s="163">
        <f t="array" ref="C26:C32">TRANSPOSE(J10:P10)</f>
        <v>42339</v>
      </c>
      <c r="D26" s="144" t="str">
        <f t="shared" ref="D26:D32" si="25">IF(ISNONTEXT($C26),"calculated","")</f>
        <v>calculated</v>
      </c>
      <c r="E26" s="30" t="str">
        <f>IF(ISNONTEXT($C26),"index","")</f>
        <v>index</v>
      </c>
      <c r="I26" s="22"/>
      <c r="J26" s="22">
        <f>IF(AND(J$24=J$4,ISNONTEXT($C26)),1/J16*(1+J$12)^0.5,0)</f>
        <v>1.0084074342600413</v>
      </c>
      <c r="K26" s="22">
        <f t="shared" ref="K26:T26" si="26">IF(AND(K$24=K$4,ISNONTEXT($C26)),1/K16*(1+K$12)^0.5,0)</f>
        <v>0.99270063234317796</v>
      </c>
      <c r="L26" s="22">
        <f t="shared" si="26"/>
        <v>0.97618051192283029</v>
      </c>
      <c r="M26" s="22">
        <f t="shared" si="26"/>
        <v>0.95848132096172067</v>
      </c>
      <c r="N26" s="22">
        <f t="shared" si="26"/>
        <v>0.94141994695010711</v>
      </c>
      <c r="O26" s="22">
        <f t="shared" si="26"/>
        <v>0.92709798722882819</v>
      </c>
      <c r="P26" s="22">
        <f t="shared" si="26"/>
        <v>0.92065534243020464</v>
      </c>
      <c r="Q26" s="22">
        <f t="shared" si="26"/>
        <v>0</v>
      </c>
      <c r="R26" s="22">
        <f t="shared" si="26"/>
        <v>0</v>
      </c>
      <c r="S26" s="22">
        <f t="shared" si="26"/>
        <v>0</v>
      </c>
      <c r="T26" s="22">
        <f t="shared" si="26"/>
        <v>0</v>
      </c>
      <c r="U26" s="22"/>
      <c r="V26" s="145"/>
    </row>
    <row r="27" spans="3:22" ht="11.25" customHeight="1" outlineLevel="1">
      <c r="C27" s="163">
        <v>42705</v>
      </c>
      <c r="D27" s="144" t="str">
        <f t="shared" si="25"/>
        <v>calculated</v>
      </c>
      <c r="E27" s="30" t="str">
        <f t="shared" ref="E27:E32" si="27">IF(ISNONTEXT($C27),"index","")</f>
        <v>index</v>
      </c>
      <c r="I27" s="22"/>
      <c r="J27" s="22">
        <f t="shared" ref="J27:T27" si="28">IF(AND(J$24=J$4,ISNONTEXT($C27)),1/J17*(1+J$12)^0.5,0)</f>
        <v>1.0232916768321452</v>
      </c>
      <c r="K27" s="22">
        <f t="shared" si="28"/>
        <v>1.0073530402006419</v>
      </c>
      <c r="L27" s="22">
        <f t="shared" si="28"/>
        <v>0.99058908036449578</v>
      </c>
      <c r="M27" s="22">
        <f t="shared" si="28"/>
        <v>0.97262864673237348</v>
      </c>
      <c r="N27" s="22">
        <f t="shared" si="28"/>
        <v>0.95531544432206439</v>
      </c>
      <c r="O27" s="22">
        <f t="shared" si="28"/>
        <v>0.94078209036135718</v>
      </c>
      <c r="P27" s="22">
        <f t="shared" si="28"/>
        <v>0.93424435117456206</v>
      </c>
      <c r="Q27" s="22">
        <f t="shared" si="28"/>
        <v>0</v>
      </c>
      <c r="R27" s="22">
        <f t="shared" si="28"/>
        <v>0</v>
      </c>
      <c r="S27" s="22">
        <f t="shared" si="28"/>
        <v>0</v>
      </c>
      <c r="T27" s="22">
        <f t="shared" si="28"/>
        <v>0</v>
      </c>
      <c r="U27" s="22"/>
      <c r="V27" s="145"/>
    </row>
    <row r="28" spans="3:22" ht="11.25" customHeight="1" outlineLevel="1">
      <c r="C28" s="163">
        <v>43070</v>
      </c>
      <c r="D28" s="144" t="str">
        <f t="shared" si="25"/>
        <v>calculated</v>
      </c>
      <c r="E28" s="30" t="str">
        <f t="shared" si="27"/>
        <v>index</v>
      </c>
      <c r="I28" s="22"/>
      <c r="J28" s="22">
        <f t="shared" ref="J28:T28" si="29">IF(AND(J$24=J$4,ISNONTEXT($C28)),1/J18*(1+J$12)^0.5,0)</f>
        <v>1.0428272452080316</v>
      </c>
      <c r="K28" s="22">
        <f t="shared" si="29"/>
        <v>1.0265843255135632</v>
      </c>
      <c r="L28" s="22">
        <f t="shared" si="29"/>
        <v>1.0095003264441815</v>
      </c>
      <c r="M28" s="22">
        <f t="shared" si="29"/>
        <v>0.99119701180635511</v>
      </c>
      <c r="N28" s="22">
        <f t="shared" si="29"/>
        <v>0.97355328462275847</v>
      </c>
      <c r="O28" s="22">
        <f t="shared" si="29"/>
        <v>0.95874247572280125</v>
      </c>
      <c r="P28" s="22">
        <f t="shared" si="29"/>
        <v>0.95207992515153073</v>
      </c>
      <c r="Q28" s="22">
        <f t="shared" si="29"/>
        <v>0</v>
      </c>
      <c r="R28" s="22">
        <f t="shared" si="29"/>
        <v>0</v>
      </c>
      <c r="S28" s="22">
        <f t="shared" si="29"/>
        <v>0</v>
      </c>
      <c r="T28" s="22">
        <f t="shared" si="29"/>
        <v>0</v>
      </c>
      <c r="U28" s="22"/>
      <c r="V28" s="145"/>
    </row>
    <row r="29" spans="3:22" ht="11.25" customHeight="1" outlineLevel="1">
      <c r="C29" s="163">
        <v>43435</v>
      </c>
      <c r="D29" s="144" t="str">
        <f t="shared" si="25"/>
        <v>calculated</v>
      </c>
      <c r="E29" s="30" t="str">
        <f t="shared" si="27"/>
        <v>index</v>
      </c>
      <c r="I29" s="22"/>
      <c r="J29" s="22">
        <f t="shared" ref="J29:T29" si="30">IF(AND(J$24=J$4,ISNONTEXT($C29)),1/J19*(1+J$12)^0.5,0)</f>
        <v>1.0614325484231617</v>
      </c>
      <c r="K29" s="22">
        <f t="shared" si="30"/>
        <v>1.0448998353353931</v>
      </c>
      <c r="L29" s="22">
        <f t="shared" si="30"/>
        <v>1.0275110369962634</v>
      </c>
      <c r="M29" s="22">
        <f t="shared" si="30"/>
        <v>1.0088811690196711</v>
      </c>
      <c r="N29" s="22">
        <f t="shared" si="30"/>
        <v>0.99092265633770504</v>
      </c>
      <c r="O29" s="22">
        <f t="shared" si="30"/>
        <v>0.97584760463846232</v>
      </c>
      <c r="P29" s="22">
        <f t="shared" si="30"/>
        <v>0.96906618608197737</v>
      </c>
      <c r="Q29" s="22">
        <f t="shared" si="30"/>
        <v>0</v>
      </c>
      <c r="R29" s="22">
        <f t="shared" si="30"/>
        <v>0</v>
      </c>
      <c r="S29" s="22">
        <f t="shared" si="30"/>
        <v>0</v>
      </c>
      <c r="T29" s="22">
        <f t="shared" si="30"/>
        <v>0</v>
      </c>
      <c r="U29" s="22"/>
      <c r="V29" s="145"/>
    </row>
    <row r="30" spans="3:22" ht="11.25" customHeight="1" outlineLevel="1">
      <c r="C30" s="163">
        <v>43800</v>
      </c>
      <c r="D30" s="144" t="str">
        <f t="shared" si="25"/>
        <v>calculated</v>
      </c>
      <c r="E30" s="30" t="str">
        <f t="shared" si="27"/>
        <v>index</v>
      </c>
      <c r="I30" s="22"/>
      <c r="J30" s="22">
        <f t="shared" ref="J30:T30" si="31">IF(AND(J$24=J$4,ISNONTEXT($C30)),1/J20*(1+J$12)^0.5,0)</f>
        <v>1.0809681167990481</v>
      </c>
      <c r="K30" s="22">
        <f t="shared" si="31"/>
        <v>1.0641311206483146</v>
      </c>
      <c r="L30" s="22">
        <f t="shared" si="31"/>
        <v>1.0464222830759493</v>
      </c>
      <c r="M30" s="22">
        <f t="shared" si="31"/>
        <v>1.0274495340936529</v>
      </c>
      <c r="N30" s="22">
        <f t="shared" si="31"/>
        <v>1.0091604966383991</v>
      </c>
      <c r="O30" s="22">
        <f t="shared" si="31"/>
        <v>0.99380798999990649</v>
      </c>
      <c r="P30" s="22">
        <f t="shared" si="31"/>
        <v>0.98690176005894659</v>
      </c>
      <c r="Q30" s="22">
        <f t="shared" si="31"/>
        <v>0</v>
      </c>
      <c r="R30" s="22">
        <f t="shared" si="31"/>
        <v>0</v>
      </c>
      <c r="S30" s="22">
        <f t="shared" si="31"/>
        <v>0</v>
      </c>
      <c r="T30" s="22">
        <f t="shared" si="31"/>
        <v>0</v>
      </c>
      <c r="U30" s="22"/>
      <c r="V30" s="145"/>
    </row>
    <row r="31" spans="3:22" ht="11.25" customHeight="1" outlineLevel="1">
      <c r="C31" s="163">
        <v>44166</v>
      </c>
      <c r="D31" s="144" t="str">
        <f t="shared" si="25"/>
        <v>calculated</v>
      </c>
      <c r="E31" s="30" t="str">
        <f t="shared" si="27"/>
        <v>index</v>
      </c>
      <c r="I31" s="22"/>
      <c r="J31" s="22">
        <f t="shared" ref="J31:T32" si="32">IF(AND(J$24=J$4,ISNONTEXT($C31)),1/J21*(1+J$12)^0.5,0)</f>
        <v>1.0944802182590363</v>
      </c>
      <c r="K31" s="22">
        <f t="shared" si="32"/>
        <v>1.0774327596564184</v>
      </c>
      <c r="L31" s="22">
        <f t="shared" si="32"/>
        <v>1.0595025616143987</v>
      </c>
      <c r="M31" s="22">
        <f t="shared" si="32"/>
        <v>1.0402926532698236</v>
      </c>
      <c r="N31" s="22">
        <f t="shared" si="32"/>
        <v>1.021775002846379</v>
      </c>
      <c r="O31" s="22">
        <f t="shared" si="32"/>
        <v>1.0062305898749053</v>
      </c>
      <c r="P31" s="22">
        <f t="shared" si="32"/>
        <v>0.99923803205968331</v>
      </c>
      <c r="Q31" s="22">
        <f t="shared" si="32"/>
        <v>0</v>
      </c>
      <c r="R31" s="22">
        <f t="shared" si="32"/>
        <v>0</v>
      </c>
      <c r="S31" s="22">
        <f t="shared" si="32"/>
        <v>0</v>
      </c>
      <c r="T31" s="22">
        <f t="shared" si="32"/>
        <v>0</v>
      </c>
      <c r="U31" s="22"/>
      <c r="V31" s="145"/>
    </row>
    <row r="32" spans="3:22" ht="11.25" customHeight="1" outlineLevel="1">
      <c r="C32" s="163">
        <v>44348</v>
      </c>
      <c r="D32" s="144" t="str">
        <f t="shared" si="25"/>
        <v>calculated</v>
      </c>
      <c r="E32" s="30" t="str">
        <f t="shared" si="27"/>
        <v>index</v>
      </c>
      <c r="I32" s="22"/>
      <c r="J32" s="22">
        <f t="shared" si="32"/>
        <v>1.0961500442225942</v>
      </c>
      <c r="K32" s="22">
        <f t="shared" si="32"/>
        <v>1.0790765766629278</v>
      </c>
      <c r="L32" s="22">
        <f t="shared" si="32"/>
        <v>1.061119022886448</v>
      </c>
      <c r="M32" s="22">
        <f t="shared" si="32"/>
        <v>1.0418798063797183</v>
      </c>
      <c r="N32" s="22">
        <f t="shared" si="32"/>
        <v>1.0233339039577956</v>
      </c>
      <c r="O32" s="22">
        <f t="shared" si="32"/>
        <v>1.0077657751950859</v>
      </c>
      <c r="P32" s="22">
        <f t="shared" si="32"/>
        <v>1.0007625489781908</v>
      </c>
      <c r="Q32" s="22"/>
      <c r="R32" s="22"/>
      <c r="S32" s="22"/>
      <c r="T32" s="22"/>
      <c r="U32" s="22"/>
      <c r="V32" s="145"/>
    </row>
    <row r="33" spans="1:50">
      <c r="C33" s="111"/>
      <c r="K33" s="22"/>
      <c r="L33" s="22"/>
      <c r="M33" s="22"/>
      <c r="N33" s="22"/>
      <c r="O33" s="22"/>
      <c r="P33" s="26"/>
      <c r="Q33" s="22"/>
      <c r="R33" s="22"/>
      <c r="S33" s="22"/>
      <c r="T33" s="22"/>
      <c r="U33" s="22"/>
    </row>
    <row r="34" spans="1:50" s="103" customFormat="1" ht="12.75">
      <c r="A34" s="94"/>
      <c r="B34" s="95" t="s">
        <v>76</v>
      </c>
      <c r="C34" s="94"/>
      <c r="D34" s="94"/>
      <c r="E34" s="94"/>
      <c r="F34" s="96"/>
      <c r="G34" s="96"/>
      <c r="H34" s="96"/>
      <c r="I34" s="96"/>
      <c r="J34" s="96"/>
      <c r="K34" s="97"/>
      <c r="L34" s="98"/>
      <c r="M34" s="97"/>
      <c r="N34" s="98"/>
      <c r="O34" s="97"/>
      <c r="P34" s="97"/>
      <c r="Q34" s="97"/>
      <c r="R34" s="97"/>
      <c r="S34" s="97"/>
      <c r="T34" s="97"/>
      <c r="U34" s="97"/>
      <c r="V34" s="97"/>
      <c r="W34" s="98"/>
      <c r="X34" s="99"/>
      <c r="Y34" s="99"/>
      <c r="Z34" s="99"/>
      <c r="AA34" s="99"/>
      <c r="AB34" s="99"/>
      <c r="AC34" s="99"/>
      <c r="AD34" s="99"/>
      <c r="AE34" s="100"/>
      <c r="AF34" s="101"/>
      <c r="AG34" s="101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</row>
    <row r="35" spans="1:50" ht="11.25" customHeight="1" outlineLevel="1">
      <c r="K35" s="30"/>
      <c r="L35" s="30"/>
      <c r="M35" s="30"/>
      <c r="N35" s="30"/>
      <c r="O35" s="30"/>
      <c r="P35" s="30"/>
      <c r="Q35" s="30"/>
      <c r="R35" s="30"/>
      <c r="S35" s="30"/>
      <c r="T35" s="30"/>
    </row>
    <row r="36" spans="1:50" ht="11.25" customHeight="1" outlineLevel="1">
      <c r="C36" s="67" t="s">
        <v>79</v>
      </c>
      <c r="D36" s="32" t="s">
        <v>7</v>
      </c>
      <c r="E36" s="32" t="s">
        <v>8</v>
      </c>
      <c r="J36" s="160"/>
      <c r="K36" s="160"/>
      <c r="L36" s="160"/>
      <c r="M36" s="160"/>
      <c r="N36" s="160"/>
      <c r="O36" s="160"/>
      <c r="P36" s="160"/>
      <c r="Q36" s="160">
        <f>Q4</f>
        <v>44713</v>
      </c>
      <c r="R36" s="160">
        <f t="shared" ref="R36:U36" si="33">R4</f>
        <v>45078</v>
      </c>
      <c r="S36" s="160">
        <f t="shared" si="33"/>
        <v>45444</v>
      </c>
      <c r="T36" s="160">
        <f t="shared" si="33"/>
        <v>45809</v>
      </c>
      <c r="U36" s="160">
        <f t="shared" si="33"/>
        <v>46174</v>
      </c>
    </row>
    <row r="37" spans="1:50" ht="11.25" customHeight="1" outlineLevel="1">
      <c r="J37" s="110"/>
      <c r="K37" s="142"/>
      <c r="L37" s="142"/>
      <c r="M37" s="142"/>
      <c r="N37" s="142"/>
      <c r="O37" s="142"/>
      <c r="P37" s="142"/>
      <c r="Q37" s="142"/>
      <c r="R37" s="142"/>
      <c r="S37" s="142"/>
      <c r="T37" s="142"/>
    </row>
    <row r="38" spans="1:50" ht="11.25" customHeight="1" outlineLevel="1">
      <c r="C38" s="61" t="s">
        <v>116</v>
      </c>
      <c r="D38" s="30" t="s">
        <v>100</v>
      </c>
      <c r="E38" s="30" t="str">
        <f t="shared" ref="E38:E45" si="34">percent</f>
        <v>Per cent</v>
      </c>
      <c r="J38" s="202"/>
      <c r="K38" s="150"/>
      <c r="L38" s="150"/>
      <c r="M38" s="150"/>
      <c r="N38" s="150"/>
      <c r="O38" s="150"/>
      <c r="P38" s="150"/>
      <c r="Q38" s="165">
        <v>2.3867759115823129E-3</v>
      </c>
      <c r="R38" s="165">
        <v>-2.4977364300287118E-3</v>
      </c>
      <c r="S38" s="165">
        <v>-7.2630656307249176E-4</v>
      </c>
      <c r="T38" s="165">
        <v>3.67274824937613E-3</v>
      </c>
      <c r="U38" s="165">
        <v>9.9659336093870197E-3</v>
      </c>
    </row>
    <row r="39" spans="1:50" ht="11.25" customHeight="1" outlineLevel="1">
      <c r="C39" s="234" t="s">
        <v>240</v>
      </c>
      <c r="D39" s="30" t="s">
        <v>100</v>
      </c>
      <c r="E39" s="30" t="str">
        <f t="shared" si="34"/>
        <v>Per cent</v>
      </c>
      <c r="J39" s="202"/>
      <c r="K39" s="150"/>
      <c r="L39" s="150"/>
      <c r="M39" s="150"/>
      <c r="N39" s="150"/>
      <c r="O39" s="150"/>
      <c r="P39" s="150"/>
      <c r="Q39" s="233">
        <v>1.3137498473678212E-2</v>
      </c>
      <c r="R39" s="233">
        <v>1.2419523308236181E-2</v>
      </c>
      <c r="S39" s="233">
        <v>1.3751461961990695E-2</v>
      </c>
      <c r="T39" s="233">
        <v>1.6196532715190247E-2</v>
      </c>
      <c r="U39" s="233">
        <v>1.6184913955027823E-2</v>
      </c>
    </row>
    <row r="40" spans="1:50" ht="11.25" customHeight="1" outlineLevel="1">
      <c r="C40" s="234" t="s">
        <v>224</v>
      </c>
      <c r="D40" s="30" t="s">
        <v>100</v>
      </c>
      <c r="E40" s="30" t="str">
        <f t="shared" si="34"/>
        <v>Per cent</v>
      </c>
      <c r="J40" s="202"/>
      <c r="K40" s="150"/>
      <c r="L40" s="150"/>
      <c r="M40" s="150"/>
      <c r="N40" s="150"/>
      <c r="O40" s="150"/>
      <c r="P40" s="150"/>
      <c r="Q40" s="233">
        <f>AVERAGE(Q38:Q39)</f>
        <v>7.762137192630263E-3</v>
      </c>
      <c r="R40" s="233">
        <f t="shared" ref="R40:U40" si="35">AVERAGE(R38:R39)</f>
        <v>4.9608934391037352E-3</v>
      </c>
      <c r="S40" s="233">
        <f t="shared" si="35"/>
        <v>6.512577699459102E-3</v>
      </c>
      <c r="T40" s="233">
        <f t="shared" si="35"/>
        <v>9.9346404822831889E-3</v>
      </c>
      <c r="U40" s="233">
        <f t="shared" si="35"/>
        <v>1.3075423782207421E-2</v>
      </c>
    </row>
    <row r="41" spans="1:50" ht="11.25" customHeight="1" outlineLevel="1">
      <c r="C41" s="61"/>
      <c r="D41" s="30" t="s">
        <v>100</v>
      </c>
      <c r="E41" s="30" t="str">
        <f t="shared" si="34"/>
        <v>Per cent</v>
      </c>
      <c r="J41" s="202"/>
      <c r="K41" s="150"/>
      <c r="L41" s="150"/>
      <c r="M41" s="150"/>
      <c r="N41" s="150"/>
      <c r="O41" s="150"/>
      <c r="P41" s="150"/>
      <c r="Q41" s="60"/>
      <c r="R41" s="60"/>
      <c r="S41" s="60"/>
      <c r="T41" s="207"/>
      <c r="U41" s="60"/>
    </row>
    <row r="42" spans="1:50" ht="11.25" customHeight="1" outlineLevel="1">
      <c r="C42" s="61"/>
      <c r="D42" s="30" t="s">
        <v>100</v>
      </c>
      <c r="E42" s="30" t="str">
        <f t="shared" si="34"/>
        <v>Per cent</v>
      </c>
      <c r="J42" s="202"/>
      <c r="K42" s="150"/>
      <c r="L42" s="150"/>
      <c r="M42" s="150"/>
      <c r="N42" s="150"/>
      <c r="O42" s="150"/>
      <c r="P42" s="150"/>
      <c r="Q42" s="60"/>
      <c r="R42" s="60"/>
      <c r="S42" s="60"/>
      <c r="T42" s="207"/>
      <c r="U42" s="60"/>
    </row>
    <row r="43" spans="1:50" ht="11.25" customHeight="1" outlineLevel="1">
      <c r="C43" s="61"/>
      <c r="D43" s="30" t="s">
        <v>100</v>
      </c>
      <c r="E43" s="30" t="str">
        <f t="shared" si="34"/>
        <v>Per cent</v>
      </c>
      <c r="J43" s="202"/>
      <c r="K43" s="150"/>
      <c r="L43" s="150"/>
      <c r="M43" s="150"/>
      <c r="N43" s="150"/>
      <c r="O43" s="150"/>
      <c r="P43" s="150"/>
      <c r="Q43" s="60"/>
      <c r="R43" s="60"/>
      <c r="S43" s="60"/>
      <c r="T43" s="207"/>
      <c r="U43" s="60"/>
    </row>
    <row r="44" spans="1:50" ht="11.25" customHeight="1" outlineLevel="1">
      <c r="C44" s="61"/>
      <c r="D44" s="30" t="s">
        <v>100</v>
      </c>
      <c r="E44" s="30" t="str">
        <f t="shared" si="34"/>
        <v>Per cent</v>
      </c>
      <c r="J44" s="202"/>
      <c r="K44" s="150"/>
      <c r="L44" s="150"/>
      <c r="M44" s="150"/>
      <c r="N44" s="150"/>
      <c r="O44" s="150"/>
      <c r="P44" s="150"/>
      <c r="Q44" s="60"/>
      <c r="R44" s="60"/>
      <c r="S44" s="60"/>
      <c r="T44" s="207"/>
      <c r="U44" s="60"/>
    </row>
    <row r="45" spans="1:50" ht="11.25" customHeight="1" outlineLevel="1">
      <c r="C45" s="61" t="s">
        <v>80</v>
      </c>
      <c r="D45" s="30" t="s">
        <v>100</v>
      </c>
      <c r="E45" s="30" t="str">
        <f t="shared" si="34"/>
        <v>Per cent</v>
      </c>
      <c r="J45" s="202"/>
      <c r="K45" s="150"/>
      <c r="L45" s="150"/>
      <c r="M45" s="150"/>
      <c r="N45" s="150"/>
      <c r="O45" s="150"/>
      <c r="P45" s="150"/>
      <c r="Q45" s="60">
        <v>0</v>
      </c>
      <c r="R45" s="60">
        <v>0</v>
      </c>
      <c r="S45" s="60">
        <v>0</v>
      </c>
      <c r="T45" s="207">
        <v>0</v>
      </c>
      <c r="U45" s="60">
        <v>0</v>
      </c>
    </row>
    <row r="46" spans="1:50" ht="11.25" customHeight="1" outlineLevel="1"/>
    <row r="47" spans="1:50" ht="11.25" customHeight="1" outlineLevel="1">
      <c r="C47" s="29" t="s">
        <v>40</v>
      </c>
      <c r="D47" s="30" t="s">
        <v>97</v>
      </c>
      <c r="E47" s="30" t="s">
        <v>28</v>
      </c>
      <c r="F47" s="30" t="s">
        <v>36</v>
      </c>
      <c r="J47" s="132" t="str">
        <f t="shared" ref="J47:S47" si="36">IF(J36=J4,IF(COUNTA($C38:$C45)=COUNT(J38:J45),"Ok","Check"),"")</f>
        <v/>
      </c>
      <c r="K47" s="132" t="str">
        <f t="shared" si="36"/>
        <v/>
      </c>
      <c r="L47" s="132" t="str">
        <f t="shared" si="36"/>
        <v/>
      </c>
      <c r="M47" s="132" t="str">
        <f t="shared" si="36"/>
        <v/>
      </c>
      <c r="N47" s="132" t="str">
        <f t="shared" si="36"/>
        <v/>
      </c>
      <c r="O47" s="132" t="str">
        <f t="shared" si="36"/>
        <v/>
      </c>
      <c r="P47" s="132" t="str">
        <f t="shared" si="36"/>
        <v/>
      </c>
      <c r="Q47" s="132" t="str">
        <f t="shared" si="36"/>
        <v>Ok</v>
      </c>
      <c r="R47" s="132" t="str">
        <f t="shared" si="36"/>
        <v>Ok</v>
      </c>
      <c r="S47" s="132" t="str">
        <f t="shared" si="36"/>
        <v>Ok</v>
      </c>
      <c r="T47" s="132" t="str">
        <f>IF(T36=T4,IF(COUNTA($C38:$C45)=COUNT(T38:T45),"Ok","Check"),"")</f>
        <v>Ok</v>
      </c>
      <c r="U47" s="132" t="str">
        <f>IF(U36=U4,IF(COUNTA($C38:$C45)=COUNT(U38:U45),"Ok","Check"),"")</f>
        <v>Ok</v>
      </c>
      <c r="W47" s="131" t="str">
        <f>IF(COUNTIF(J47:T47,"Check")=0,"Ok","Check")</f>
        <v>Ok</v>
      </c>
    </row>
    <row r="48" spans="1:50" ht="11.25" customHeight="1" outlineLevel="1"/>
    <row r="49" spans="1:50" ht="11.25" customHeight="1" outlineLevel="1">
      <c r="C49" s="67" t="s">
        <v>43</v>
      </c>
      <c r="D49" s="32" t="s">
        <v>7</v>
      </c>
      <c r="E49" s="32" t="s">
        <v>8</v>
      </c>
      <c r="J49" s="160"/>
      <c r="K49" s="160"/>
      <c r="L49" s="160"/>
      <c r="M49" s="160"/>
      <c r="N49" s="160"/>
      <c r="O49" s="160"/>
      <c r="P49" s="160"/>
      <c r="Q49" s="160">
        <f>Q4</f>
        <v>44713</v>
      </c>
      <c r="R49" s="160">
        <f t="shared" ref="R49:U49" si="37">R4</f>
        <v>45078</v>
      </c>
      <c r="S49" s="160">
        <f t="shared" si="37"/>
        <v>45444</v>
      </c>
      <c r="T49" s="160">
        <f t="shared" si="37"/>
        <v>45809</v>
      </c>
      <c r="U49" s="160">
        <f t="shared" si="37"/>
        <v>46174</v>
      </c>
    </row>
    <row r="50" spans="1:50" ht="11.25" customHeight="1" outlineLevel="1"/>
    <row r="51" spans="1:50" ht="11.25" customHeight="1" outlineLevel="1">
      <c r="C51" s="146"/>
      <c r="D51" s="30" t="s">
        <v>100</v>
      </c>
      <c r="E51" s="30" t="str">
        <f t="shared" ref="E51:E58" si="38">percent</f>
        <v>Per cent</v>
      </c>
      <c r="J51" s="202"/>
      <c r="K51" s="150"/>
      <c r="L51" s="150"/>
      <c r="M51" s="150"/>
      <c r="N51" s="150"/>
      <c r="O51" s="150"/>
      <c r="P51" s="150"/>
      <c r="Q51" s="60"/>
      <c r="R51" s="60"/>
      <c r="S51" s="60"/>
      <c r="T51" s="60"/>
      <c r="U51" s="60"/>
    </row>
    <row r="52" spans="1:50" ht="11.25" customHeight="1" outlineLevel="1">
      <c r="C52" s="146"/>
      <c r="D52" s="30" t="s">
        <v>100</v>
      </c>
      <c r="E52" s="30" t="str">
        <f t="shared" si="38"/>
        <v>Per cent</v>
      </c>
      <c r="J52" s="202"/>
      <c r="K52" s="150"/>
      <c r="L52" s="150"/>
      <c r="M52" s="150"/>
      <c r="N52" s="150"/>
      <c r="O52" s="150"/>
      <c r="P52" s="150"/>
      <c r="Q52" s="60"/>
      <c r="R52" s="60"/>
      <c r="S52" s="60"/>
      <c r="T52" s="60"/>
      <c r="U52" s="60"/>
    </row>
    <row r="53" spans="1:50" ht="11.25" customHeight="1" outlineLevel="1">
      <c r="C53" s="235" t="str">
        <f t="shared" ref="C53:C58" si="39">C40</f>
        <v>Average of DAE and BIS Oxford</v>
      </c>
      <c r="D53" s="30" t="s">
        <v>100</v>
      </c>
      <c r="E53" s="30" t="str">
        <f t="shared" si="38"/>
        <v>Per cent</v>
      </c>
      <c r="J53" s="202"/>
      <c r="K53" s="150"/>
      <c r="L53" s="150"/>
      <c r="M53" s="150"/>
      <c r="N53" s="150"/>
      <c r="O53" s="150"/>
      <c r="P53" s="150"/>
      <c r="Q53" s="233">
        <v>0.59199999999999997</v>
      </c>
      <c r="R53" s="233">
        <v>0.59199999999999997</v>
      </c>
      <c r="S53" s="233">
        <v>0.59199999999999997</v>
      </c>
      <c r="T53" s="233">
        <v>0.59199999999999997</v>
      </c>
      <c r="U53" s="233">
        <v>0.59199999999999997</v>
      </c>
    </row>
    <row r="54" spans="1:50" ht="11.25" customHeight="1" outlineLevel="1">
      <c r="C54" s="146">
        <f t="shared" si="39"/>
        <v>0</v>
      </c>
      <c r="D54" s="30" t="s">
        <v>100</v>
      </c>
      <c r="E54" s="30" t="str">
        <f t="shared" si="38"/>
        <v>Per cent</v>
      </c>
      <c r="J54" s="202"/>
      <c r="K54" s="150"/>
      <c r="L54" s="150"/>
      <c r="M54" s="150"/>
      <c r="N54" s="150"/>
      <c r="O54" s="150"/>
      <c r="P54" s="150"/>
      <c r="Q54" s="60"/>
      <c r="R54" s="60"/>
      <c r="S54" s="60"/>
      <c r="T54" s="60"/>
      <c r="U54" s="60"/>
    </row>
    <row r="55" spans="1:50" ht="11.25" customHeight="1" outlineLevel="1">
      <c r="C55" s="146">
        <f t="shared" si="39"/>
        <v>0</v>
      </c>
      <c r="D55" s="30" t="s">
        <v>100</v>
      </c>
      <c r="E55" s="30" t="str">
        <f t="shared" si="38"/>
        <v>Per cent</v>
      </c>
      <c r="J55" s="202"/>
      <c r="K55" s="150"/>
      <c r="L55" s="150"/>
      <c r="M55" s="150"/>
      <c r="N55" s="150"/>
      <c r="O55" s="150"/>
      <c r="P55" s="150"/>
      <c r="Q55" s="60"/>
      <c r="R55" s="60"/>
      <c r="S55" s="60"/>
      <c r="T55" s="60"/>
      <c r="U55" s="60"/>
    </row>
    <row r="56" spans="1:50" ht="11.25" customHeight="1" outlineLevel="1">
      <c r="C56" s="146">
        <f t="shared" si="39"/>
        <v>0</v>
      </c>
      <c r="D56" s="30" t="s">
        <v>100</v>
      </c>
      <c r="E56" s="30" t="str">
        <f t="shared" si="38"/>
        <v>Per cent</v>
      </c>
      <c r="J56" s="202"/>
      <c r="K56" s="150"/>
      <c r="L56" s="150"/>
      <c r="M56" s="150"/>
      <c r="N56" s="150"/>
      <c r="O56" s="150"/>
      <c r="P56" s="150"/>
      <c r="Q56" s="60"/>
      <c r="R56" s="60"/>
      <c r="S56" s="60"/>
      <c r="T56" s="60"/>
      <c r="U56" s="60"/>
    </row>
    <row r="57" spans="1:50" ht="11.25" customHeight="1" outlineLevel="1">
      <c r="C57" s="146">
        <f t="shared" si="39"/>
        <v>0</v>
      </c>
      <c r="D57" s="30" t="s">
        <v>100</v>
      </c>
      <c r="E57" s="30" t="str">
        <f t="shared" si="38"/>
        <v>Per cent</v>
      </c>
      <c r="J57" s="202"/>
      <c r="K57" s="150"/>
      <c r="L57" s="150"/>
      <c r="M57" s="150"/>
      <c r="N57" s="150"/>
      <c r="O57" s="150"/>
      <c r="P57" s="150"/>
      <c r="Q57" s="60"/>
      <c r="R57" s="60"/>
      <c r="S57" s="60"/>
      <c r="T57" s="60"/>
      <c r="U57" s="60"/>
    </row>
    <row r="58" spans="1:50" ht="11.25" customHeight="1" outlineLevel="1">
      <c r="C58" s="146" t="str">
        <f t="shared" si="39"/>
        <v>CPI</v>
      </c>
      <c r="D58" s="30" t="s">
        <v>100</v>
      </c>
      <c r="E58" s="30" t="str">
        <f t="shared" si="38"/>
        <v>Per cent</v>
      </c>
      <c r="J58" s="202"/>
      <c r="K58" s="150"/>
      <c r="L58" s="150"/>
      <c r="M58" s="150"/>
      <c r="N58" s="150"/>
      <c r="O58" s="150"/>
      <c r="P58" s="150"/>
      <c r="Q58" s="60">
        <v>0.40800000000000003</v>
      </c>
      <c r="R58" s="60">
        <v>0.40800000000000003</v>
      </c>
      <c r="S58" s="60">
        <v>0.40800000000000003</v>
      </c>
      <c r="T58" s="60">
        <v>0.40800000000000003</v>
      </c>
      <c r="U58" s="60">
        <v>0.40800000000000003</v>
      </c>
    </row>
    <row r="59" spans="1:50" ht="11.25" customHeight="1" outlineLevel="1"/>
    <row r="60" spans="1:50" outlineLevel="1">
      <c r="C60" s="29" t="s">
        <v>40</v>
      </c>
      <c r="D60" s="30" t="s">
        <v>97</v>
      </c>
      <c r="E60" s="30" t="s">
        <v>28</v>
      </c>
      <c r="F60" s="30" t="s">
        <v>36</v>
      </c>
      <c r="J60" s="132"/>
      <c r="K60" s="132"/>
      <c r="L60" s="132"/>
      <c r="M60" s="132"/>
      <c r="N60" s="132"/>
      <c r="O60" s="132"/>
      <c r="P60" s="132"/>
      <c r="Q60" s="132" t="str">
        <f t="shared" ref="Q60:S60" si="40">IF(Q49=Q$4,IF(SUM(Q51:Q58)=1,"Ok","Check"),"")</f>
        <v>Ok</v>
      </c>
      <c r="R60" s="132" t="str">
        <f t="shared" si="40"/>
        <v>Ok</v>
      </c>
      <c r="S60" s="132" t="str">
        <f t="shared" si="40"/>
        <v>Ok</v>
      </c>
      <c r="T60" s="132" t="str">
        <f>IF(T49=T$4,IF(SUM(T51:T58)=1,"Ok","Check"),"")</f>
        <v>Ok</v>
      </c>
      <c r="U60" s="132" t="str">
        <f>IF(U49=U$4,IF(SUM(U51:U58)=1,"Ok","Check"),"")</f>
        <v>Ok</v>
      </c>
      <c r="W60" s="131" t="str">
        <f>IF(COUNTIF(J60:T60,"Check")=0,"Ok","Check")</f>
        <v>Ok</v>
      </c>
    </row>
    <row r="61" spans="1:50"/>
    <row r="62" spans="1:50" s="103" customFormat="1" ht="12.75">
      <c r="A62" s="94"/>
      <c r="B62" s="95" t="s">
        <v>83</v>
      </c>
      <c r="C62" s="94"/>
      <c r="D62" s="94"/>
      <c r="E62" s="94"/>
      <c r="F62" s="96"/>
      <c r="G62" s="96"/>
      <c r="H62" s="96"/>
      <c r="I62" s="96"/>
      <c r="J62" s="96"/>
      <c r="K62" s="97"/>
      <c r="L62" s="98"/>
      <c r="M62" s="97"/>
      <c r="N62" s="98"/>
      <c r="O62" s="97"/>
      <c r="P62" s="97"/>
      <c r="Q62" s="97"/>
      <c r="R62" s="97"/>
      <c r="S62" s="97"/>
      <c r="T62" s="97"/>
      <c r="U62" s="97"/>
      <c r="V62" s="97"/>
      <c r="W62" s="98"/>
      <c r="X62" s="99"/>
      <c r="Y62" s="99"/>
      <c r="Z62" s="99"/>
      <c r="AA62" s="99"/>
      <c r="AB62" s="99"/>
      <c r="AC62" s="99"/>
      <c r="AD62" s="99"/>
      <c r="AE62" s="100"/>
      <c r="AF62" s="101"/>
      <c r="AG62" s="101"/>
      <c r="AH62" s="102"/>
      <c r="AI62" s="102"/>
      <c r="AJ62" s="102"/>
      <c r="AK62" s="102"/>
      <c r="AL62" s="102"/>
      <c r="AM62" s="102"/>
      <c r="AN62" s="102"/>
      <c r="AO62" s="102"/>
      <c r="AP62" s="102"/>
      <c r="AQ62" s="102"/>
      <c r="AR62" s="102"/>
      <c r="AS62" s="102"/>
      <c r="AT62" s="102"/>
      <c r="AU62" s="102"/>
      <c r="AV62" s="102"/>
      <c r="AW62" s="102"/>
      <c r="AX62" s="102"/>
    </row>
    <row r="63" spans="1:50" outlineLevel="1">
      <c r="G63" s="32"/>
      <c r="H63" s="32"/>
    </row>
    <row r="64" spans="1:50" outlineLevel="1">
      <c r="C64" s="67" t="s">
        <v>84</v>
      </c>
      <c r="D64" s="32" t="s">
        <v>7</v>
      </c>
      <c r="E64" s="32" t="s">
        <v>8</v>
      </c>
      <c r="F64" s="32" t="s">
        <v>22</v>
      </c>
      <c r="G64" s="32"/>
      <c r="H64" s="32"/>
      <c r="J64" s="160"/>
      <c r="K64" s="160"/>
      <c r="L64" s="160"/>
      <c r="M64" s="160"/>
      <c r="N64" s="160"/>
      <c r="O64" s="160"/>
      <c r="P64" s="160">
        <f>P4</f>
        <v>44348</v>
      </c>
      <c r="Q64" s="160">
        <f t="shared" ref="Q64:U64" si="41">Q4</f>
        <v>44713</v>
      </c>
      <c r="R64" s="160">
        <f t="shared" si="41"/>
        <v>45078</v>
      </c>
      <c r="S64" s="160">
        <f t="shared" si="41"/>
        <v>45444</v>
      </c>
      <c r="T64" s="160">
        <f t="shared" si="41"/>
        <v>45809</v>
      </c>
      <c r="U64" s="160">
        <f t="shared" si="41"/>
        <v>46174</v>
      </c>
    </row>
    <row r="65" spans="3:23" outlineLevel="1">
      <c r="C65" s="111"/>
      <c r="G65" s="32"/>
      <c r="H65" s="32"/>
      <c r="K65" s="23"/>
      <c r="L65" s="23"/>
      <c r="M65" s="23"/>
      <c r="N65" s="23"/>
      <c r="O65" s="23"/>
    </row>
    <row r="66" spans="3:23" outlineLevel="1">
      <c r="C66" s="61" t="s">
        <v>163</v>
      </c>
      <c r="D66" s="30" t="s">
        <v>100</v>
      </c>
      <c r="E66" s="30" t="s">
        <v>18</v>
      </c>
      <c r="F66" s="30" t="s">
        <v>36</v>
      </c>
      <c r="G66" s="32"/>
      <c r="H66" s="32"/>
      <c r="J66" s="202"/>
      <c r="K66" s="193"/>
      <c r="L66" s="193"/>
      <c r="M66" s="193"/>
      <c r="N66" s="193"/>
      <c r="O66" s="194"/>
      <c r="P66" s="194">
        <v>880121.6032931275</v>
      </c>
      <c r="Q66" s="194">
        <v>888396.4607707836</v>
      </c>
      <c r="R66" s="194">
        <v>903125.34191961354</v>
      </c>
      <c r="S66" s="194">
        <v>922089.92647309322</v>
      </c>
      <c r="T66" s="194">
        <v>940970.4853925365</v>
      </c>
      <c r="U66" s="194">
        <v>959726.23127424764</v>
      </c>
    </row>
    <row r="67" spans="3:23" outlineLevel="1">
      <c r="C67" s="61" t="s">
        <v>164</v>
      </c>
      <c r="D67" s="30" t="s">
        <v>100</v>
      </c>
      <c r="E67" s="30" t="s">
        <v>18</v>
      </c>
      <c r="F67" s="30" t="s">
        <v>36</v>
      </c>
      <c r="G67" s="32"/>
      <c r="H67" s="32"/>
      <c r="J67" s="202"/>
      <c r="K67" s="193"/>
      <c r="L67" s="193"/>
      <c r="M67" s="193"/>
      <c r="N67" s="193"/>
      <c r="O67" s="194"/>
      <c r="P67" s="194">
        <v>76525.406826970167</v>
      </c>
      <c r="Q67" s="194">
        <v>76850.785588484214</v>
      </c>
      <c r="R67" s="194">
        <v>77312.313295204527</v>
      </c>
      <c r="S67" s="194">
        <v>77803.185152502541</v>
      </c>
      <c r="T67" s="194">
        <v>78325.154892489067</v>
      </c>
      <c r="U67" s="194">
        <v>78880.081102392229</v>
      </c>
    </row>
    <row r="68" spans="3:23" outlineLevel="1">
      <c r="C68" s="61" t="s">
        <v>165</v>
      </c>
      <c r="D68" s="30" t="s">
        <v>100</v>
      </c>
      <c r="E68" s="30" t="s">
        <v>18</v>
      </c>
      <c r="F68" s="30" t="s">
        <v>36</v>
      </c>
      <c r="G68" s="32"/>
      <c r="H68" s="32"/>
      <c r="J68" s="202"/>
      <c r="K68" s="193"/>
      <c r="L68" s="193"/>
      <c r="M68" s="193"/>
      <c r="N68" s="193"/>
      <c r="O68" s="194"/>
      <c r="P68" s="194">
        <v>2574.01467</v>
      </c>
      <c r="Q68" s="194">
        <v>2574.01467</v>
      </c>
      <c r="R68" s="194">
        <v>2579.5769587330001</v>
      </c>
      <c r="S68" s="194">
        <v>2579.5769587330001</v>
      </c>
      <c r="T68" s="194">
        <v>2579.5769587330001</v>
      </c>
      <c r="U68" s="194">
        <v>2579.5769587330001</v>
      </c>
    </row>
    <row r="69" spans="3:23" outlineLevel="1">
      <c r="C69" s="61" t="s">
        <v>166</v>
      </c>
      <c r="D69" s="30" t="s">
        <v>100</v>
      </c>
      <c r="E69" s="30" t="s">
        <v>18</v>
      </c>
      <c r="F69" s="30" t="s">
        <v>36</v>
      </c>
      <c r="G69" s="32"/>
      <c r="H69" s="32"/>
      <c r="J69" s="202"/>
      <c r="K69" s="193"/>
      <c r="L69" s="193"/>
      <c r="M69" s="193"/>
      <c r="N69" s="193"/>
      <c r="O69" s="194"/>
      <c r="P69" s="194">
        <v>10892.98057585585</v>
      </c>
      <c r="Q69" s="194">
        <v>10929.385066208704</v>
      </c>
      <c r="R69" s="194">
        <v>10978.140919997155</v>
      </c>
      <c r="S69" s="194">
        <v>11027.11427305608</v>
      </c>
      <c r="T69" s="194">
        <v>11076.30609564708</v>
      </c>
      <c r="U69" s="194">
        <v>11125.717362360077</v>
      </c>
    </row>
    <row r="70" spans="3:23" outlineLevel="1">
      <c r="C70" s="61"/>
      <c r="D70" s="30" t="s">
        <v>100</v>
      </c>
      <c r="E70" s="30" t="s">
        <v>18</v>
      </c>
      <c r="F70" s="30" t="s">
        <v>36</v>
      </c>
      <c r="G70" s="32"/>
      <c r="H70" s="32"/>
      <c r="J70" s="202"/>
      <c r="K70" s="193"/>
      <c r="L70" s="193"/>
      <c r="M70" s="193"/>
      <c r="N70" s="193"/>
      <c r="O70" s="194"/>
      <c r="P70" s="194"/>
      <c r="Q70" s="194"/>
      <c r="R70" s="194"/>
      <c r="S70" s="194"/>
      <c r="T70" s="194"/>
      <c r="U70" s="194"/>
    </row>
    <row r="71" spans="3:23" outlineLevel="1">
      <c r="C71" s="61"/>
      <c r="D71" s="30" t="s">
        <v>100</v>
      </c>
      <c r="E71" s="30" t="s">
        <v>18</v>
      </c>
      <c r="F71" s="30" t="s">
        <v>36</v>
      </c>
      <c r="G71" s="32"/>
      <c r="H71" s="32"/>
      <c r="J71" s="202"/>
      <c r="K71" s="193"/>
      <c r="L71" s="193"/>
      <c r="M71" s="193"/>
      <c r="N71" s="193"/>
      <c r="O71" s="194"/>
      <c r="P71" s="194"/>
      <c r="Q71" s="194"/>
      <c r="R71" s="194"/>
      <c r="S71" s="194"/>
      <c r="T71" s="194"/>
      <c r="U71" s="194"/>
    </row>
    <row r="72" spans="3:23" outlineLevel="1">
      <c r="C72" s="111"/>
      <c r="G72" s="32"/>
      <c r="H72" s="32"/>
      <c r="K72" s="23"/>
      <c r="L72" s="23"/>
      <c r="M72" s="23"/>
      <c r="N72" s="23"/>
      <c r="O72" s="23"/>
    </row>
    <row r="73" spans="3:23" outlineLevel="1">
      <c r="C73" s="29" t="s">
        <v>40</v>
      </c>
      <c r="D73" s="30" t="s">
        <v>97</v>
      </c>
      <c r="E73" s="30" t="s">
        <v>28</v>
      </c>
      <c r="F73" s="30" t="s">
        <v>36</v>
      </c>
      <c r="J73" s="132" t="str">
        <f t="shared" ref="J73:S73" si="42">IF(J64=J$4,IF(COUNTA($C66:$C71)=COUNT(J66:J71),"Ok","Check"),"")</f>
        <v/>
      </c>
      <c r="K73" s="132" t="str">
        <f t="shared" si="42"/>
        <v/>
      </c>
      <c r="L73" s="132" t="str">
        <f t="shared" si="42"/>
        <v/>
      </c>
      <c r="M73" s="132" t="str">
        <f t="shared" si="42"/>
        <v/>
      </c>
      <c r="N73" s="132" t="str">
        <f t="shared" si="42"/>
        <v/>
      </c>
      <c r="O73" s="132"/>
      <c r="P73" s="132" t="str">
        <f t="shared" si="42"/>
        <v>Ok</v>
      </c>
      <c r="Q73" s="132" t="str">
        <f t="shared" si="42"/>
        <v>Ok</v>
      </c>
      <c r="R73" s="132" t="str">
        <f t="shared" si="42"/>
        <v>Ok</v>
      </c>
      <c r="S73" s="132" t="str">
        <f t="shared" si="42"/>
        <v>Ok</v>
      </c>
      <c r="T73" s="132" t="str">
        <f>IF(T64=T$4,IF(COUNTA($C66:$C71)=COUNT(T66:T71),"Ok","Check"),"")</f>
        <v>Ok</v>
      </c>
      <c r="U73" s="132" t="str">
        <f>IF(U64=U$4,IF(COUNTA($C66:$C71)=COUNT(U66:U71),"Ok","Check"),"")</f>
        <v>Ok</v>
      </c>
      <c r="W73" s="131" t="str">
        <f>IF(COUNTIF(J73:T73,"Check")=0,"Ok","Check")</f>
        <v>Ok</v>
      </c>
    </row>
    <row r="74" spans="3:23" outlineLevel="1">
      <c r="C74" s="111"/>
      <c r="G74" s="32"/>
      <c r="H74" s="32"/>
      <c r="K74" s="23"/>
      <c r="L74" s="23"/>
      <c r="M74" s="23"/>
      <c r="N74" s="23"/>
      <c r="O74" s="23"/>
    </row>
    <row r="75" spans="3:23" outlineLevel="1">
      <c r="C75" s="67" t="s">
        <v>87</v>
      </c>
      <c r="D75" s="32" t="s">
        <v>7</v>
      </c>
      <c r="E75" s="32" t="s">
        <v>8</v>
      </c>
      <c r="F75" s="32" t="s">
        <v>22</v>
      </c>
      <c r="G75" s="32"/>
      <c r="H75" s="32"/>
      <c r="J75" s="160"/>
      <c r="K75" s="160"/>
      <c r="L75" s="160"/>
      <c r="M75" s="160"/>
      <c r="N75" s="160"/>
      <c r="O75" s="160"/>
      <c r="P75" s="160"/>
      <c r="Q75" s="160">
        <f>Q4</f>
        <v>44713</v>
      </c>
      <c r="R75" s="160">
        <f t="shared" ref="R75:U75" si="43">R4</f>
        <v>45078</v>
      </c>
      <c r="S75" s="160">
        <f t="shared" si="43"/>
        <v>45444</v>
      </c>
      <c r="T75" s="160">
        <f t="shared" si="43"/>
        <v>45809</v>
      </c>
      <c r="U75" s="160">
        <f t="shared" si="43"/>
        <v>46174</v>
      </c>
    </row>
    <row r="76" spans="3:23" outlineLevel="1">
      <c r="C76" s="111"/>
      <c r="G76" s="32"/>
      <c r="H76" s="32"/>
      <c r="K76" s="23"/>
      <c r="L76" s="23"/>
      <c r="M76" s="23"/>
      <c r="N76" s="23"/>
      <c r="O76" s="23"/>
    </row>
    <row r="77" spans="3:23" outlineLevel="1">
      <c r="C77" s="146" t="str">
        <f>C66</f>
        <v>Customer numbers (#)</v>
      </c>
      <c r="D77" s="30" t="s">
        <v>97</v>
      </c>
      <c r="E77" s="30" t="s">
        <v>18</v>
      </c>
      <c r="F77" s="30" t="s">
        <v>36</v>
      </c>
      <c r="G77" s="32"/>
      <c r="H77" s="32"/>
      <c r="J77" s="117" t="str">
        <f t="shared" ref="J77:M77" si="44">IF(ISBLANK(I66),"",IF(ISBLANK(J66),"",LN(J66)-LN(I66)))</f>
        <v/>
      </c>
      <c r="K77" s="117" t="str">
        <f t="shared" si="44"/>
        <v/>
      </c>
      <c r="L77" s="117" t="str">
        <f t="shared" si="44"/>
        <v/>
      </c>
      <c r="M77" s="117" t="str">
        <f t="shared" si="44"/>
        <v/>
      </c>
      <c r="N77" s="117" t="str">
        <f>IF(ISBLANK(M66),"",IF(ISBLANK(N66),"",LN(N66)-LN(M66)))</f>
        <v/>
      </c>
      <c r="O77" s="117" t="str">
        <f t="shared" ref="O77:U77" si="45">IF(ISBLANK(N66),"",IF(ISBLANK(O66),"",LN(O66)-LN(N66)))</f>
        <v/>
      </c>
      <c r="P77" s="117" t="str">
        <f t="shared" si="45"/>
        <v/>
      </c>
      <c r="Q77" s="117">
        <f t="shared" si="45"/>
        <v>9.3580247024860341E-3</v>
      </c>
      <c r="R77" s="117">
        <f t="shared" si="45"/>
        <v>1.6443241708470779E-2</v>
      </c>
      <c r="S77" s="117">
        <f t="shared" si="45"/>
        <v>2.0781403039288548E-2</v>
      </c>
      <c r="T77" s="117">
        <f t="shared" si="45"/>
        <v>2.0269021005962173E-2</v>
      </c>
      <c r="U77" s="117">
        <f t="shared" si="45"/>
        <v>1.9736294093464224E-2</v>
      </c>
    </row>
    <row r="78" spans="3:23" outlineLevel="1">
      <c r="C78" s="146" t="str">
        <f t="shared" ref="C78:C82" si="46">C67</f>
        <v>Circuit Length (km)</v>
      </c>
      <c r="D78" s="30" t="s">
        <v>97</v>
      </c>
      <c r="E78" s="30" t="s">
        <v>18</v>
      </c>
      <c r="F78" s="30" t="s">
        <v>36</v>
      </c>
      <c r="G78" s="32"/>
      <c r="H78" s="32"/>
      <c r="J78" s="117" t="str">
        <f t="shared" ref="J78:U78" si="47">IF(ISBLANK(I67),"",IF(ISBLANK(J67),"",LN(J67)-LN(I67)))</f>
        <v/>
      </c>
      <c r="K78" s="117" t="str">
        <f t="shared" si="47"/>
        <v/>
      </c>
      <c r="L78" s="117" t="str">
        <f t="shared" si="47"/>
        <v/>
      </c>
      <c r="M78" s="117" t="str">
        <f t="shared" si="47"/>
        <v/>
      </c>
      <c r="N78" s="117" t="str">
        <f t="shared" si="47"/>
        <v/>
      </c>
      <c r="O78" s="117" t="str">
        <f t="shared" si="47"/>
        <v/>
      </c>
      <c r="P78" s="117" t="str">
        <f t="shared" si="47"/>
        <v/>
      </c>
      <c r="Q78" s="117">
        <f t="shared" si="47"/>
        <v>4.2428912142806752E-3</v>
      </c>
      <c r="R78" s="117">
        <f t="shared" si="47"/>
        <v>5.9875429191720286E-3</v>
      </c>
      <c r="S78" s="117">
        <f t="shared" si="47"/>
        <v>6.3291353967773745E-3</v>
      </c>
      <c r="T78" s="117">
        <f t="shared" si="47"/>
        <v>6.6864437877587335E-3</v>
      </c>
      <c r="U78" s="117">
        <f t="shared" si="47"/>
        <v>7.059924070592416E-3</v>
      </c>
    </row>
    <row r="79" spans="3:23" outlineLevel="1">
      <c r="C79" s="146" t="str">
        <f t="shared" si="46"/>
        <v>Ratcheted Maximum Demand (MW)</v>
      </c>
      <c r="D79" s="30" t="s">
        <v>97</v>
      </c>
      <c r="E79" s="30" t="s">
        <v>18</v>
      </c>
      <c r="F79" s="30" t="s">
        <v>36</v>
      </c>
      <c r="G79" s="32"/>
      <c r="H79" s="32"/>
      <c r="J79" s="117" t="str">
        <f t="shared" ref="J79:U79" si="48">IF(ISBLANK(I68),"",IF(ISBLANK(J68),"",LN(J68)-LN(I68)))</f>
        <v/>
      </c>
      <c r="K79" s="117" t="str">
        <f t="shared" si="48"/>
        <v/>
      </c>
      <c r="L79" s="117" t="str">
        <f t="shared" si="48"/>
        <v/>
      </c>
      <c r="M79" s="117" t="str">
        <f t="shared" si="48"/>
        <v/>
      </c>
      <c r="N79" s="117" t="str">
        <f t="shared" si="48"/>
        <v/>
      </c>
      <c r="O79" s="117" t="str">
        <f t="shared" si="48"/>
        <v/>
      </c>
      <c r="P79" s="117" t="str">
        <f t="shared" si="48"/>
        <v/>
      </c>
      <c r="Q79" s="117">
        <f t="shared" si="48"/>
        <v>0</v>
      </c>
      <c r="R79" s="117">
        <f t="shared" si="48"/>
        <v>2.1586075473347677E-3</v>
      </c>
      <c r="S79" s="117">
        <f t="shared" si="48"/>
        <v>0</v>
      </c>
      <c r="T79" s="117">
        <f t="shared" si="48"/>
        <v>0</v>
      </c>
      <c r="U79" s="117">
        <f t="shared" si="48"/>
        <v>0</v>
      </c>
    </row>
    <row r="80" spans="3:23" outlineLevel="1">
      <c r="C80" s="146" t="str">
        <f t="shared" si="46"/>
        <v>Energy throughput (GWh)</v>
      </c>
      <c r="D80" s="30" t="s">
        <v>97</v>
      </c>
      <c r="E80" s="30" t="s">
        <v>18</v>
      </c>
      <c r="F80" s="30" t="s">
        <v>36</v>
      </c>
      <c r="G80" s="32"/>
      <c r="H80" s="32"/>
      <c r="J80" s="117" t="str">
        <f t="shared" ref="J80:U80" si="49">IF(ISBLANK(I69),"",IF(ISBLANK(J69),"",LN(J69)-LN(I69)))</f>
        <v/>
      </c>
      <c r="K80" s="117" t="str">
        <f t="shared" si="49"/>
        <v/>
      </c>
      <c r="L80" s="117" t="str">
        <f t="shared" si="49"/>
        <v/>
      </c>
      <c r="M80" s="117" t="str">
        <f t="shared" si="49"/>
        <v/>
      </c>
      <c r="N80" s="117" t="str">
        <f t="shared" si="49"/>
        <v/>
      </c>
      <c r="O80" s="117" t="str">
        <f t="shared" si="49"/>
        <v/>
      </c>
      <c r="P80" s="117" t="str">
        <f t="shared" si="49"/>
        <v/>
      </c>
      <c r="Q80" s="117">
        <f t="shared" si="49"/>
        <v>3.3364415866472541E-3</v>
      </c>
      <c r="R80" s="117">
        <f t="shared" si="49"/>
        <v>4.4510671186728246E-3</v>
      </c>
      <c r="S80" s="117">
        <f t="shared" si="49"/>
        <v>4.4510671186728246E-3</v>
      </c>
      <c r="T80" s="117">
        <f t="shared" si="49"/>
        <v>4.4510671186710482E-3</v>
      </c>
      <c r="U80" s="117">
        <f t="shared" si="49"/>
        <v>4.4510671186728246E-3</v>
      </c>
    </row>
    <row r="81" spans="3:23" outlineLevel="1">
      <c r="C81" s="146">
        <f t="shared" si="46"/>
        <v>0</v>
      </c>
      <c r="D81" s="30" t="s">
        <v>97</v>
      </c>
      <c r="E81" s="30" t="s">
        <v>18</v>
      </c>
      <c r="F81" s="30" t="s">
        <v>36</v>
      </c>
      <c r="G81" s="32"/>
      <c r="H81" s="32"/>
      <c r="J81" s="117" t="str">
        <f t="shared" ref="J81:U81" si="50">IF(ISBLANK(I70),"",IF(ISBLANK(J70),"",LN(J70)-LN(I70)))</f>
        <v/>
      </c>
      <c r="K81" s="117" t="str">
        <f t="shared" si="50"/>
        <v/>
      </c>
      <c r="L81" s="117" t="str">
        <f t="shared" si="50"/>
        <v/>
      </c>
      <c r="M81" s="117" t="str">
        <f t="shared" si="50"/>
        <v/>
      </c>
      <c r="N81" s="117" t="str">
        <f t="shared" si="50"/>
        <v/>
      </c>
      <c r="O81" s="117" t="str">
        <f t="shared" si="50"/>
        <v/>
      </c>
      <c r="P81" s="117" t="str">
        <f t="shared" si="50"/>
        <v/>
      </c>
      <c r="Q81" s="117" t="str">
        <f t="shared" si="50"/>
        <v/>
      </c>
      <c r="R81" s="117" t="str">
        <f t="shared" si="50"/>
        <v/>
      </c>
      <c r="S81" s="117" t="str">
        <f t="shared" si="50"/>
        <v/>
      </c>
      <c r="T81" s="117" t="str">
        <f t="shared" si="50"/>
        <v/>
      </c>
      <c r="U81" s="117" t="str">
        <f t="shared" si="50"/>
        <v/>
      </c>
    </row>
    <row r="82" spans="3:23" outlineLevel="1">
      <c r="C82" s="146">
        <f t="shared" si="46"/>
        <v>0</v>
      </c>
      <c r="D82" s="30" t="s">
        <v>97</v>
      </c>
      <c r="E82" s="30" t="s">
        <v>18</v>
      </c>
      <c r="F82" s="30" t="s">
        <v>36</v>
      </c>
      <c r="G82" s="32"/>
      <c r="H82" s="32"/>
      <c r="J82" s="117" t="str">
        <f t="shared" ref="J82:U82" si="51">IF(ISBLANK(I71),"",IF(ISBLANK(J71),"",LN(J71)-LN(I71)))</f>
        <v/>
      </c>
      <c r="K82" s="117" t="str">
        <f t="shared" si="51"/>
        <v/>
      </c>
      <c r="L82" s="117" t="str">
        <f t="shared" si="51"/>
        <v/>
      </c>
      <c r="M82" s="117" t="str">
        <f t="shared" si="51"/>
        <v/>
      </c>
      <c r="N82" s="117" t="str">
        <f t="shared" si="51"/>
        <v/>
      </c>
      <c r="O82" s="117" t="str">
        <f t="shared" si="51"/>
        <v/>
      </c>
      <c r="P82" s="117" t="str">
        <f t="shared" si="51"/>
        <v/>
      </c>
      <c r="Q82" s="117" t="str">
        <f t="shared" si="51"/>
        <v/>
      </c>
      <c r="R82" s="117" t="str">
        <f t="shared" si="51"/>
        <v/>
      </c>
      <c r="S82" s="117" t="str">
        <f t="shared" si="51"/>
        <v/>
      </c>
      <c r="T82" s="117" t="str">
        <f t="shared" si="51"/>
        <v/>
      </c>
      <c r="U82" s="117" t="str">
        <f t="shared" si="51"/>
        <v/>
      </c>
    </row>
    <row r="83" spans="3:23" outlineLevel="1">
      <c r="C83" s="111"/>
      <c r="G83" s="32"/>
      <c r="H83" s="32"/>
      <c r="K83" s="23"/>
      <c r="L83" s="23"/>
      <c r="M83" s="23"/>
      <c r="N83" s="23"/>
      <c r="O83" s="23"/>
    </row>
    <row r="84" spans="3:23" outlineLevel="1">
      <c r="C84" s="67" t="s">
        <v>167</v>
      </c>
      <c r="D84" s="32" t="s">
        <v>7</v>
      </c>
      <c r="E84" s="32" t="s">
        <v>8</v>
      </c>
      <c r="F84" s="32" t="s">
        <v>22</v>
      </c>
      <c r="G84" s="32"/>
      <c r="H84" s="126"/>
      <c r="I84" s="110"/>
      <c r="J84" s="209" t="s">
        <v>168</v>
      </c>
      <c r="K84" s="209" t="s">
        <v>169</v>
      </c>
      <c r="L84" s="209" t="s">
        <v>170</v>
      </c>
      <c r="M84" s="209" t="s">
        <v>196</v>
      </c>
      <c r="N84" s="209" t="s">
        <v>171</v>
      </c>
      <c r="O84" s="160"/>
      <c r="P84" s="160"/>
      <c r="Q84" s="160"/>
      <c r="R84" s="160"/>
      <c r="S84" s="160"/>
      <c r="T84" s="160"/>
    </row>
    <row r="85" spans="3:23" outlineLevel="1">
      <c r="C85" s="111"/>
      <c r="G85" s="32"/>
      <c r="H85" s="32"/>
      <c r="K85" s="23"/>
      <c r="L85" s="23"/>
      <c r="M85" s="23"/>
      <c r="N85" s="30"/>
      <c r="O85" s="107"/>
      <c r="P85" s="107"/>
      <c r="Q85" s="107"/>
      <c r="R85" s="107"/>
      <c r="S85" s="107"/>
      <c r="T85" s="107"/>
    </row>
    <row r="86" spans="3:23" outlineLevel="1">
      <c r="C86" s="146" t="str">
        <f>C66</f>
        <v>Customer numbers (#)</v>
      </c>
      <c r="D86" s="30" t="s">
        <v>100</v>
      </c>
      <c r="E86" s="30" t="s">
        <v>18</v>
      </c>
      <c r="F86" s="30" t="s">
        <v>36</v>
      </c>
      <c r="G86" s="32"/>
      <c r="H86" s="32"/>
      <c r="J86" s="216">
        <v>0.67430000000000001</v>
      </c>
      <c r="K86" s="216">
        <v>0.6895</v>
      </c>
      <c r="L86" s="216">
        <v>0.3795</v>
      </c>
      <c r="M86" s="216">
        <v>0.69730000000000003</v>
      </c>
      <c r="N86" s="216">
        <v>0.1852</v>
      </c>
      <c r="O86" s="191"/>
      <c r="P86" s="191"/>
      <c r="Q86" s="191"/>
      <c r="R86" s="191"/>
      <c r="S86" s="191"/>
      <c r="T86" s="191"/>
    </row>
    <row r="87" spans="3:23" outlineLevel="1">
      <c r="C87" s="146" t="str">
        <f t="shared" ref="C87:C91" si="52">C67</f>
        <v>Circuit Length (km)</v>
      </c>
      <c r="D87" s="30" t="s">
        <v>100</v>
      </c>
      <c r="E87" s="30" t="s">
        <v>18</v>
      </c>
      <c r="F87" s="30" t="s">
        <v>36</v>
      </c>
      <c r="G87" s="32"/>
      <c r="H87" s="32"/>
      <c r="J87" s="216">
        <v>0.15079999999999999</v>
      </c>
      <c r="K87" s="216">
        <v>0.15559999999999999</v>
      </c>
      <c r="L87" s="216">
        <v>0.21160000000000001</v>
      </c>
      <c r="M87" s="216">
        <v>0.1237</v>
      </c>
      <c r="N87" s="216">
        <v>0.39140000000000003</v>
      </c>
      <c r="O87" s="191"/>
      <c r="P87" s="191"/>
      <c r="Q87" s="191"/>
      <c r="R87" s="191"/>
      <c r="S87" s="191"/>
      <c r="T87" s="191"/>
    </row>
    <row r="88" spans="3:23" outlineLevel="1">
      <c r="C88" s="146" t="str">
        <f t="shared" si="52"/>
        <v>Ratcheted Maximum Demand (MW)</v>
      </c>
      <c r="D88" s="30" t="s">
        <v>100</v>
      </c>
      <c r="E88" s="30" t="s">
        <v>18</v>
      </c>
      <c r="F88" s="30" t="s">
        <v>36</v>
      </c>
      <c r="G88" s="32"/>
      <c r="H88" s="32"/>
      <c r="J88" s="216">
        <v>0.17499999999999999</v>
      </c>
      <c r="K88" s="216">
        <v>0.15479999999999999</v>
      </c>
      <c r="L88" s="216">
        <v>0.40889999999999999</v>
      </c>
      <c r="M88" s="216">
        <v>0.17899999999999999</v>
      </c>
      <c r="N88" s="216">
        <v>0.33760000000000001</v>
      </c>
      <c r="O88" s="191"/>
      <c r="P88" s="191"/>
      <c r="Q88" s="191"/>
      <c r="R88" s="191"/>
      <c r="S88" s="191"/>
      <c r="T88" s="191"/>
    </row>
    <row r="89" spans="3:23" outlineLevel="1">
      <c r="C89" s="146" t="str">
        <f t="shared" si="52"/>
        <v>Energy throughput (GWh)</v>
      </c>
      <c r="D89" s="30" t="s">
        <v>100</v>
      </c>
      <c r="E89" s="30" t="s">
        <v>18</v>
      </c>
      <c r="F89" s="30" t="s">
        <v>36</v>
      </c>
      <c r="G89" s="32"/>
      <c r="H89" s="32"/>
      <c r="J89" s="216">
        <v>0</v>
      </c>
      <c r="K89" s="216">
        <v>0</v>
      </c>
      <c r="L89" s="216">
        <v>0</v>
      </c>
      <c r="M89" s="216">
        <v>0</v>
      </c>
      <c r="N89" s="216">
        <v>8.5800000000000001E-2</v>
      </c>
      <c r="O89" s="191"/>
      <c r="P89" s="191"/>
      <c r="Q89" s="191"/>
      <c r="R89" s="191"/>
      <c r="S89" s="191"/>
      <c r="T89" s="191"/>
    </row>
    <row r="90" spans="3:23" outlineLevel="1">
      <c r="C90" s="146">
        <f t="shared" si="52"/>
        <v>0</v>
      </c>
      <c r="D90" s="30" t="s">
        <v>100</v>
      </c>
      <c r="E90" s="30" t="s">
        <v>18</v>
      </c>
      <c r="F90" s="30" t="s">
        <v>36</v>
      </c>
      <c r="G90" s="32"/>
      <c r="H90" s="32"/>
      <c r="J90" s="61"/>
      <c r="K90" s="61"/>
      <c r="L90" s="61"/>
      <c r="M90" s="61"/>
      <c r="N90" s="61"/>
      <c r="O90" s="191"/>
      <c r="P90" s="191"/>
      <c r="Q90" s="191"/>
      <c r="R90" s="191"/>
      <c r="S90" s="191"/>
      <c r="T90" s="191"/>
    </row>
    <row r="91" spans="3:23" outlineLevel="1">
      <c r="C91" s="146">
        <f t="shared" si="52"/>
        <v>0</v>
      </c>
      <c r="D91" s="30" t="s">
        <v>100</v>
      </c>
      <c r="E91" s="30" t="s">
        <v>18</v>
      </c>
      <c r="F91" s="30" t="s">
        <v>36</v>
      </c>
      <c r="G91" s="32"/>
      <c r="H91" s="32"/>
      <c r="J91" s="61"/>
      <c r="K91" s="61"/>
      <c r="L91" s="61"/>
      <c r="M91" s="61"/>
      <c r="N91" s="61"/>
      <c r="O91" s="191"/>
      <c r="P91" s="191"/>
      <c r="Q91" s="191"/>
      <c r="R91" s="191"/>
      <c r="S91" s="191"/>
      <c r="T91" s="191"/>
    </row>
    <row r="92" spans="3:23" outlineLevel="1">
      <c r="G92" s="32"/>
      <c r="H92" s="32"/>
      <c r="N92" s="30"/>
    </row>
    <row r="93" spans="3:23" outlineLevel="1">
      <c r="C93" s="29" t="s">
        <v>40</v>
      </c>
      <c r="D93" s="30" t="s">
        <v>97</v>
      </c>
      <c r="E93" s="30" t="s">
        <v>28</v>
      </c>
      <c r="F93" s="30" t="s">
        <v>36</v>
      </c>
      <c r="J93" s="132" t="str">
        <f t="array" ref="J93">IF(ISBLANK(J84),IF(ISBLANK(J86:J91),"Ok","Check"),IF(SUM(J86:J91)=1,"Ok","Check"))</f>
        <v>Check</v>
      </c>
      <c r="K93" s="132" t="str">
        <f t="array" ref="K93">IF(ISBLANK(K84),IF(ISBLANK(K86:K91),"Ok","Check"),IF(SUM(K86:K91)=1,"Ok","Check"))</f>
        <v>Check</v>
      </c>
      <c r="L93" s="132" t="str">
        <f t="array" ref="L93">IF(ISBLANK(L84),IF(ISBLANK(L86:L91),"Ok","Check"),IF(SUM(L86:L91)=1,"Ok","Check"))</f>
        <v>Ok</v>
      </c>
      <c r="M93" s="132" t="str">
        <f t="array" ref="M93">IF(ISBLANK(M84),IF(ISBLANK(M86:M91),"Ok","Check"),IF(SUM(M86:M91)=1,"Ok","Check"))</f>
        <v>Ok</v>
      </c>
      <c r="N93" s="132" t="str">
        <f t="array" ref="N93">IF(ISBLANK(N86:N91),"",IF(SUM(N86:N91)=1,"Ok","Check"))</f>
        <v>Ok</v>
      </c>
      <c r="O93" s="132" t="str">
        <f t="array" ref="O93">IF(ISBLANK(O86:O91),"",IF(SUM(O86:O91)=1,"Ok","Check"))</f>
        <v/>
      </c>
      <c r="P93" s="132" t="str">
        <f t="array" ref="P93">IF(ISBLANK(P86:P91),"",IF(SUM(P86:P91)=1,"Ok","Check"))</f>
        <v/>
      </c>
      <c r="Q93" s="132" t="str">
        <f t="array" ref="Q93">IF(ISBLANK(Q86:Q91),"",IF(SUM(Q86:Q91)=1,"Ok","Check"))</f>
        <v/>
      </c>
      <c r="R93" s="132" t="str">
        <f t="array" ref="R93">IF(ISBLANK(R86:R91),"",IF(SUM(R86:R91)=1,"Ok","Check"))</f>
        <v/>
      </c>
      <c r="S93" s="132" t="str">
        <f t="array" ref="S93">IF(ISBLANK(S86:S91),"",IF(SUM(S86:S91)=1,"Ok","Check"))</f>
        <v/>
      </c>
      <c r="T93" s="132" t="str">
        <f t="array" ref="T93">IF(ISBLANK(T86:T91),"",IF(SUM(T86:T91)=1,"Ok","Check"))</f>
        <v/>
      </c>
      <c r="U93" s="24"/>
      <c r="W93" s="131" t="str">
        <f>IF(COUNTIF(K93:T93,"Check")=0,"Ok","Check")</f>
        <v>Check</v>
      </c>
    </row>
    <row r="94" spans="3:23" outlineLevel="1">
      <c r="J94" s="132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24"/>
      <c r="W94" s="132"/>
    </row>
    <row r="95" spans="3:23" outlineLevel="1">
      <c r="C95" s="67" t="s">
        <v>172</v>
      </c>
      <c r="D95" s="32" t="s">
        <v>7</v>
      </c>
      <c r="E95" s="32" t="s">
        <v>8</v>
      </c>
      <c r="F95" s="32" t="s">
        <v>22</v>
      </c>
      <c r="J95" s="160"/>
      <c r="K95" s="160"/>
      <c r="L95" s="160"/>
      <c r="M95" s="160"/>
      <c r="N95" s="160"/>
      <c r="O95" s="160"/>
      <c r="P95" s="160"/>
      <c r="Q95" s="160">
        <f>Q4</f>
        <v>44713</v>
      </c>
      <c r="R95" s="160">
        <f t="shared" ref="R95:U95" si="53">R4</f>
        <v>45078</v>
      </c>
      <c r="S95" s="160">
        <f t="shared" si="53"/>
        <v>45444</v>
      </c>
      <c r="T95" s="160">
        <f t="shared" si="53"/>
        <v>45809</v>
      </c>
      <c r="U95" s="160">
        <f t="shared" si="53"/>
        <v>46174</v>
      </c>
      <c r="W95" s="132"/>
    </row>
    <row r="96" spans="3:23" outlineLevel="1">
      <c r="J96" s="132"/>
      <c r="K96" s="132"/>
      <c r="L96" s="132"/>
      <c r="M96" s="132"/>
      <c r="N96" s="132"/>
      <c r="O96" s="132"/>
      <c r="P96" s="132"/>
      <c r="Q96" s="132"/>
      <c r="R96" s="132"/>
      <c r="S96" s="132"/>
      <c r="T96" s="132"/>
      <c r="U96" s="24"/>
      <c r="W96" s="132"/>
    </row>
    <row r="97" spans="1:50" outlineLevel="1">
      <c r="C97" s="146" t="str">
        <f t="array" ref="C97:C101">TRANSPOSE(J84:N84)</f>
        <v>SFA CD</v>
      </c>
      <c r="D97" s="30" t="s">
        <v>97</v>
      </c>
      <c r="E97" s="30" t="s">
        <v>18</v>
      </c>
      <c r="F97" s="30" t="s">
        <v>36</v>
      </c>
      <c r="J97" s="117" t="str">
        <f t="shared" ref="J97:S97" si="54">IF(J$95=J$4,SUMPRODUCT(J$77:J$82,$J$86:$J$91),"")</f>
        <v/>
      </c>
      <c r="K97" s="117" t="str">
        <f t="shared" si="54"/>
        <v/>
      </c>
      <c r="L97" s="117" t="str">
        <f t="shared" si="54"/>
        <v/>
      </c>
      <c r="M97" s="117" t="str">
        <f t="shared" si="54"/>
        <v/>
      </c>
      <c r="N97" s="117" t="str">
        <f t="shared" si="54"/>
        <v/>
      </c>
      <c r="O97" s="117" t="str">
        <f t="shared" si="54"/>
        <v/>
      </c>
      <c r="P97" s="117" t="str">
        <f t="shared" si="54"/>
        <v/>
      </c>
      <c r="Q97" s="117">
        <f t="shared" si="54"/>
        <v>6.9499440519998588E-3</v>
      </c>
      <c r="R97" s="117">
        <f t="shared" si="54"/>
        <v>1.2368355677016572E-2</v>
      </c>
      <c r="S97" s="117">
        <f t="shared" si="54"/>
        <v>1.4967333687226296E-2</v>
      </c>
      <c r="T97" s="117">
        <f>IF(T$95=T$4,SUMPRODUCT(T$77:T$82,$J$86:$J$91),"")</f>
        <v>1.467571658751431E-2</v>
      </c>
      <c r="U97" s="117">
        <f>IF(U$95=U$4,SUMPRODUCT(U$77:U$82,$J$86:$J$91),"")</f>
        <v>1.4372819657068263E-2</v>
      </c>
      <c r="W97" s="132"/>
    </row>
    <row r="98" spans="1:50" outlineLevel="1">
      <c r="C98" s="146" t="str">
        <v>LSE CD</v>
      </c>
      <c r="D98" s="30" t="s">
        <v>97</v>
      </c>
      <c r="E98" s="30" t="s">
        <v>18</v>
      </c>
      <c r="F98" s="30" t="s">
        <v>36</v>
      </c>
      <c r="J98" s="117" t="str">
        <f t="shared" ref="J98:S98" si="55">IF(J$95=J$4,SUMPRODUCT(J$77:J$82,$K$86:$K$91),"")</f>
        <v/>
      </c>
      <c r="K98" s="117" t="str">
        <f t="shared" si="55"/>
        <v/>
      </c>
      <c r="L98" s="117" t="str">
        <f t="shared" si="55"/>
        <v/>
      </c>
      <c r="M98" s="117" t="str">
        <f t="shared" si="55"/>
        <v/>
      </c>
      <c r="N98" s="117" t="str">
        <f t="shared" si="55"/>
        <v/>
      </c>
      <c r="O98" s="117" t="str">
        <f t="shared" si="55"/>
        <v/>
      </c>
      <c r="P98" s="117" t="str">
        <f t="shared" si="55"/>
        <v/>
      </c>
      <c r="Q98" s="117">
        <f t="shared" si="55"/>
        <v>7.1125519053061928E-3</v>
      </c>
      <c r="R98" s="117">
        <f t="shared" si="55"/>
        <v>1.2603429284541192E-2</v>
      </c>
      <c r="S98" s="117">
        <f t="shared" si="55"/>
        <v>1.5313590863328013E-2</v>
      </c>
      <c r="T98" s="117">
        <f>IF(T$95=T$4,SUMPRODUCT(T$77:T$82,$K$86:$K$91),"")</f>
        <v>1.5015900636986178E-2</v>
      </c>
      <c r="U98" s="117">
        <f>IF(U$95=U$4,SUMPRODUCT(U$77:U$82,$K$86:$K$91),"")</f>
        <v>1.4706698962827763E-2</v>
      </c>
      <c r="W98" s="132"/>
    </row>
    <row r="99" spans="1:50" outlineLevel="1">
      <c r="C99" s="146" t="str">
        <v>LSE TLG</v>
      </c>
      <c r="D99" s="30" t="s">
        <v>97</v>
      </c>
      <c r="E99" s="30" t="s">
        <v>18</v>
      </c>
      <c r="F99" s="30" t="s">
        <v>36</v>
      </c>
      <c r="J99" s="117" t="str">
        <f t="shared" ref="J99:S99" si="56">IF(J$95=J$4,SUMPRODUCT(J$77:J$82,$L$86:$L$91),"")</f>
        <v/>
      </c>
      <c r="K99" s="117" t="str">
        <f t="shared" si="56"/>
        <v/>
      </c>
      <c r="L99" s="117" t="str">
        <f t="shared" si="56"/>
        <v/>
      </c>
      <c r="M99" s="117" t="str">
        <f t="shared" si="56"/>
        <v/>
      </c>
      <c r="N99" s="117" t="str">
        <f t="shared" si="56"/>
        <v/>
      </c>
      <c r="O99" s="117" t="str">
        <f t="shared" si="56"/>
        <v/>
      </c>
      <c r="P99" s="117" t="str">
        <f t="shared" si="56"/>
        <v/>
      </c>
      <c r="Q99" s="117">
        <f t="shared" si="56"/>
        <v>4.449166155535241E-3</v>
      </c>
      <c r="R99" s="117">
        <f t="shared" si="56"/>
        <v>8.3898289361666479E-3</v>
      </c>
      <c r="S99" s="117">
        <f t="shared" si="56"/>
        <v>9.2257875033680964E-3</v>
      </c>
      <c r="T99" s="117">
        <f>IF(T$95=T$4,SUMPRODUCT(T$77:T$82,$L$86:$L$91),"")</f>
        <v>9.1069449772523924E-3</v>
      </c>
      <c r="U99" s="117">
        <f>IF(U$95=U$4,SUMPRODUCT(U$77:U$82,$L$86:$L$91),"")</f>
        <v>8.9838035418070283E-3</v>
      </c>
      <c r="W99" s="132"/>
    </row>
    <row r="100" spans="1:50" outlineLevel="1">
      <c r="C100" s="146" t="str">
        <v>SFA TLG</v>
      </c>
      <c r="D100" s="30" t="s">
        <v>97</v>
      </c>
      <c r="E100" s="30" t="s">
        <v>18</v>
      </c>
      <c r="F100" s="30" t="s">
        <v>36</v>
      </c>
      <c r="J100" s="117" t="str">
        <f t="shared" ref="J100:S100" si="57">IF(J$95=J$4,SUMPRODUCT(J$77:J$82,$M$86:$M$91),"")</f>
        <v/>
      </c>
      <c r="K100" s="117" t="str">
        <f t="shared" si="57"/>
        <v/>
      </c>
      <c r="L100" s="117" t="str">
        <f t="shared" si="57"/>
        <v/>
      </c>
      <c r="M100" s="117" t="str">
        <f t="shared" si="57"/>
        <v/>
      </c>
      <c r="N100" s="117" t="str">
        <f t="shared" si="57"/>
        <v/>
      </c>
      <c r="O100" s="117" t="str">
        <f t="shared" si="57"/>
        <v/>
      </c>
      <c r="P100" s="117" t="str">
        <f t="shared" si="57"/>
        <v/>
      </c>
      <c r="Q100" s="117">
        <f t="shared" si="57"/>
        <v>7.0501962682500315E-3</v>
      </c>
      <c r="R100" s="117">
        <f t="shared" si="57"/>
        <v>1.2592922253391179E-2</v>
      </c>
      <c r="S100" s="117">
        <f t="shared" si="57"/>
        <v>1.5273786387877268E-2</v>
      </c>
      <c r="T100" s="117">
        <f>IF(T$95=T$4,SUMPRODUCT(T$77:T$82,$M$86:$M$91),"")</f>
        <v>1.496070144400318E-2</v>
      </c>
      <c r="U100" s="117">
        <f>IF(U$95=U$4,SUMPRODUCT(U$77:U$82,$M$86:$M$91),"")</f>
        <v>1.4635430478904886E-2</v>
      </c>
      <c r="W100" s="132"/>
    </row>
    <row r="101" spans="1:50" outlineLevel="1">
      <c r="C101" s="221" t="str">
        <v>MPFP</v>
      </c>
      <c r="D101" s="30" t="s">
        <v>97</v>
      </c>
      <c r="E101" s="30" t="s">
        <v>18</v>
      </c>
      <c r="F101" s="30" t="s">
        <v>36</v>
      </c>
      <c r="J101" s="117"/>
      <c r="K101" s="117"/>
      <c r="L101" s="117"/>
      <c r="M101" s="117"/>
      <c r="N101" s="117"/>
      <c r="O101" s="117"/>
      <c r="P101" s="117"/>
      <c r="Q101" s="117">
        <f>IF(Q$95=Q$4,SUMPRODUCT(Q$77:Q$82,$N$86:$N$91),"")</f>
        <v>3.6800404843042043E-3</v>
      </c>
      <c r="R101" s="117">
        <f t="shared" ref="R101:U101" si="58">IF(R$95=R$4,SUMPRODUCT(R$77:R$82,$N$86:$N$91),"")</f>
        <v>6.4994601297350667E-3</v>
      </c>
      <c r="S101" s="117">
        <f t="shared" si="58"/>
        <v>6.7078409959570326E-3</v>
      </c>
      <c r="T101" s="117">
        <f t="shared" si="58"/>
        <v>6.7527983476149394E-3</v>
      </c>
      <c r="U101" s="117">
        <f t="shared" si="58"/>
        <v>6.8003175061215754E-3</v>
      </c>
      <c r="W101" s="132"/>
    </row>
    <row r="102" spans="1:50" outlineLevel="1">
      <c r="C102" s="111"/>
      <c r="G102" s="32"/>
      <c r="H102" s="32"/>
      <c r="K102" s="23"/>
      <c r="L102" s="23"/>
      <c r="M102" s="23"/>
      <c r="N102" s="23"/>
      <c r="O102" s="23"/>
    </row>
    <row r="103" spans="1:50" s="103" customFormat="1" ht="12.75">
      <c r="A103" s="94"/>
      <c r="B103" s="95" t="s">
        <v>77</v>
      </c>
      <c r="C103" s="94"/>
      <c r="D103" s="94"/>
      <c r="E103" s="94"/>
      <c r="F103" s="96"/>
      <c r="G103" s="96"/>
      <c r="H103" s="96"/>
      <c r="I103" s="96"/>
      <c r="J103" s="96"/>
      <c r="K103" s="97"/>
      <c r="L103" s="98"/>
      <c r="M103" s="97"/>
      <c r="N103" s="98"/>
      <c r="O103" s="97"/>
      <c r="P103" s="97"/>
      <c r="Q103" s="97"/>
      <c r="R103" s="97"/>
      <c r="S103" s="97"/>
      <c r="T103" s="97"/>
      <c r="U103" s="97"/>
      <c r="V103" s="97"/>
      <c r="W103" s="98"/>
      <c r="X103" s="99"/>
      <c r="Y103" s="99"/>
      <c r="Z103" s="99"/>
      <c r="AA103" s="99"/>
      <c r="AB103" s="99"/>
      <c r="AC103" s="99"/>
      <c r="AD103" s="99"/>
      <c r="AE103" s="100"/>
      <c r="AF103" s="101"/>
      <c r="AG103" s="101"/>
      <c r="AH103" s="102"/>
      <c r="AI103" s="102"/>
      <c r="AJ103" s="102"/>
      <c r="AK103" s="102"/>
      <c r="AL103" s="102"/>
      <c r="AM103" s="102"/>
      <c r="AN103" s="102"/>
      <c r="AO103" s="102"/>
      <c r="AP103" s="102"/>
      <c r="AQ103" s="102"/>
      <c r="AR103" s="102"/>
      <c r="AS103" s="102"/>
      <c r="AT103" s="102"/>
      <c r="AU103" s="102"/>
      <c r="AV103" s="102"/>
      <c r="AW103" s="102"/>
      <c r="AX103" s="102"/>
    </row>
    <row r="104" spans="1:50" outlineLevel="1">
      <c r="G104" s="32"/>
      <c r="H104" s="32"/>
    </row>
    <row r="105" spans="1:50" outlineLevel="1">
      <c r="C105" s="67" t="s">
        <v>47</v>
      </c>
      <c r="D105" s="32" t="s">
        <v>7</v>
      </c>
      <c r="E105" s="32" t="s">
        <v>8</v>
      </c>
      <c r="F105" s="32" t="s">
        <v>22</v>
      </c>
      <c r="G105" s="32"/>
      <c r="H105" s="32"/>
      <c r="J105" s="160"/>
      <c r="K105" s="160"/>
      <c r="L105" s="160"/>
      <c r="M105" s="160"/>
      <c r="N105" s="160"/>
      <c r="O105" s="160"/>
      <c r="P105" s="160"/>
      <c r="Q105" s="160">
        <f>Q4</f>
        <v>44713</v>
      </c>
      <c r="R105" s="160">
        <f t="shared" ref="R105:U105" si="59">R4</f>
        <v>45078</v>
      </c>
      <c r="S105" s="160">
        <f t="shared" si="59"/>
        <v>45444</v>
      </c>
      <c r="T105" s="160">
        <f t="shared" si="59"/>
        <v>45809</v>
      </c>
      <c r="U105" s="160">
        <f t="shared" si="59"/>
        <v>46174</v>
      </c>
    </row>
    <row r="106" spans="1:50" outlineLevel="1">
      <c r="C106" s="111"/>
      <c r="G106" s="32"/>
      <c r="H106" s="32"/>
      <c r="K106" s="23"/>
      <c r="L106" s="23"/>
      <c r="M106" s="23"/>
      <c r="N106" s="23"/>
      <c r="O106" s="23"/>
    </row>
    <row r="107" spans="1:50" outlineLevel="1">
      <c r="C107" s="111" t="s">
        <v>47</v>
      </c>
      <c r="D107" s="30" t="s">
        <v>100</v>
      </c>
      <c r="E107" s="30" t="str">
        <f>percent</f>
        <v>Per cent</v>
      </c>
      <c r="F107" s="30" t="s">
        <v>36</v>
      </c>
      <c r="G107" s="32"/>
      <c r="H107" s="32"/>
      <c r="J107" s="203"/>
      <c r="K107" s="192"/>
      <c r="L107" s="192"/>
      <c r="M107" s="192"/>
      <c r="N107" s="192"/>
      <c r="O107" s="167"/>
      <c r="P107" s="167"/>
      <c r="Q107" s="167">
        <f>(1+R107)^(9/12)-1</f>
        <v>3.7476611191240572E-3</v>
      </c>
      <c r="R107" s="167">
        <v>5.0000000000000001E-3</v>
      </c>
      <c r="S107" s="167">
        <f>$R$107</f>
        <v>5.0000000000000001E-3</v>
      </c>
      <c r="T107" s="167">
        <f t="shared" ref="T107:U107" si="60">$R$107</f>
        <v>5.0000000000000001E-3</v>
      </c>
      <c r="U107" s="167">
        <f t="shared" si="60"/>
        <v>5.0000000000000001E-3</v>
      </c>
    </row>
    <row r="108" spans="1:50" outlineLevel="1">
      <c r="C108" s="111"/>
      <c r="G108" s="32"/>
      <c r="H108" s="32"/>
      <c r="J108" s="166"/>
      <c r="K108" s="23"/>
      <c r="L108" s="23"/>
      <c r="M108" s="23"/>
      <c r="N108" s="23"/>
      <c r="O108" s="23"/>
      <c r="P108" s="190"/>
      <c r="Q108" s="190"/>
      <c r="R108" s="190"/>
      <c r="S108" s="190"/>
      <c r="T108" s="190"/>
    </row>
    <row r="109" spans="1:50" outlineLevel="1">
      <c r="C109" s="29" t="s">
        <v>40</v>
      </c>
      <c r="D109" s="30" t="s">
        <v>97</v>
      </c>
      <c r="E109" s="30" t="s">
        <v>28</v>
      </c>
      <c r="F109" s="30" t="s">
        <v>36</v>
      </c>
      <c r="J109" s="132" t="str">
        <f t="shared" ref="J109:S109" si="61">IF(J105=J$4,IF(ISBLANK(J107),"Check","Ok"),"")</f>
        <v/>
      </c>
      <c r="K109" s="132" t="str">
        <f t="shared" si="61"/>
        <v/>
      </c>
      <c r="L109" s="132" t="str">
        <f t="shared" si="61"/>
        <v/>
      </c>
      <c r="M109" s="132" t="str">
        <f t="shared" si="61"/>
        <v/>
      </c>
      <c r="N109" s="132" t="str">
        <f t="shared" si="61"/>
        <v/>
      </c>
      <c r="O109" s="132" t="str">
        <f t="shared" si="61"/>
        <v/>
      </c>
      <c r="P109" s="132" t="str">
        <f t="shared" si="61"/>
        <v/>
      </c>
      <c r="Q109" s="132" t="str">
        <f t="shared" si="61"/>
        <v>Ok</v>
      </c>
      <c r="R109" s="132" t="str">
        <f t="shared" si="61"/>
        <v>Ok</v>
      </c>
      <c r="S109" s="132" t="str">
        <f t="shared" si="61"/>
        <v>Ok</v>
      </c>
      <c r="T109" s="132" t="str">
        <f>IF(T105=T$4,IF(ISBLANK(T107),"Check","Ok"),"")</f>
        <v>Ok</v>
      </c>
      <c r="U109" s="132" t="str">
        <f>IF(U105=U$4,IF(ISBLANK(U107),"Check","Ok"),"")</f>
        <v>Ok</v>
      </c>
      <c r="W109" s="131" t="str">
        <f>IF(COUNTIF(J109:T109,"Check")=0,"Ok","Check")</f>
        <v>Ok</v>
      </c>
    </row>
    <row r="110" spans="1:50" outlineLevel="1">
      <c r="C110" s="111"/>
      <c r="G110" s="32"/>
      <c r="H110" s="32"/>
      <c r="K110" s="23"/>
      <c r="L110" s="23"/>
      <c r="M110" s="23"/>
      <c r="N110" s="23"/>
      <c r="O110" s="23"/>
    </row>
    <row r="111" spans="1:50" s="103" customFormat="1" ht="12.75">
      <c r="A111" s="94"/>
      <c r="B111" s="95" t="s">
        <v>21</v>
      </c>
      <c r="C111" s="94"/>
      <c r="D111" s="94"/>
      <c r="E111" s="94"/>
      <c r="F111" s="96"/>
      <c r="G111" s="96"/>
      <c r="H111" s="96"/>
      <c r="I111" s="96"/>
      <c r="J111" s="96"/>
      <c r="K111" s="97"/>
      <c r="L111" s="98"/>
      <c r="M111" s="97"/>
      <c r="N111" s="98"/>
      <c r="O111" s="97"/>
      <c r="P111" s="97"/>
      <c r="Q111" s="97"/>
      <c r="R111" s="97"/>
      <c r="S111" s="97"/>
      <c r="T111" s="97"/>
      <c r="U111" s="97"/>
      <c r="V111" s="97"/>
      <c r="W111" s="98"/>
      <c r="X111" s="99"/>
      <c r="Y111" s="99"/>
      <c r="Z111" s="99"/>
      <c r="AA111" s="99"/>
      <c r="AB111" s="99"/>
      <c r="AC111" s="99"/>
      <c r="AD111" s="99"/>
      <c r="AE111" s="100"/>
      <c r="AF111" s="101"/>
      <c r="AG111" s="101"/>
      <c r="AH111" s="102"/>
      <c r="AI111" s="102"/>
      <c r="AJ111" s="102"/>
      <c r="AK111" s="102"/>
      <c r="AL111" s="102"/>
      <c r="AM111" s="102"/>
      <c r="AN111" s="102"/>
      <c r="AO111" s="102"/>
      <c r="AP111" s="102"/>
      <c r="AQ111" s="102"/>
      <c r="AR111" s="102"/>
      <c r="AS111" s="102"/>
      <c r="AT111" s="102"/>
      <c r="AU111" s="102"/>
      <c r="AV111" s="102"/>
      <c r="AW111" s="102"/>
      <c r="AX111" s="102"/>
    </row>
    <row r="112" spans="1:50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</sheetData>
  <mergeCells count="2">
    <mergeCell ref="K3:M3"/>
    <mergeCell ref="O3:T3"/>
  </mergeCells>
  <conditionalFormatting sqref="W1">
    <cfRule type="cellIs" dxfId="190" priority="131" operator="equal">
      <formula>"Check"</formula>
    </cfRule>
    <cfRule type="cellIs" dxfId="189" priority="132" operator="equal">
      <formula>"Ok"</formula>
    </cfRule>
  </conditionalFormatting>
  <conditionalFormatting sqref="T1">
    <cfRule type="cellIs" dxfId="188" priority="95" operator="equal">
      <formula>"Check"</formula>
    </cfRule>
    <cfRule type="cellIs" dxfId="187" priority="96" operator="equal">
      <formula>"Ok"</formula>
    </cfRule>
  </conditionalFormatting>
  <conditionalFormatting sqref="W60">
    <cfRule type="cellIs" dxfId="186" priority="83" operator="equal">
      <formula>"Check"</formula>
    </cfRule>
    <cfRule type="cellIs" dxfId="185" priority="84" operator="equal">
      <formula>"Ok"</formula>
    </cfRule>
  </conditionalFormatting>
  <conditionalFormatting sqref="J60:T60">
    <cfRule type="cellIs" dxfId="184" priority="75" operator="equal">
      <formula>"Check"</formula>
    </cfRule>
    <cfRule type="cellIs" dxfId="183" priority="76" operator="equal">
      <formula>"Ok"</formula>
    </cfRule>
  </conditionalFormatting>
  <conditionalFormatting sqref="J36:U36">
    <cfRule type="expression" dxfId="182" priority="66">
      <formula>J$36=J$4</formula>
    </cfRule>
  </conditionalFormatting>
  <conditionalFormatting sqref="J38:U38 J41:T45 J39:P40">
    <cfRule type="expression" dxfId="181" priority="64">
      <formula>J$36=J$4</formula>
    </cfRule>
  </conditionalFormatting>
  <conditionalFormatting sqref="J51:U52 J54:U58 J53:P53">
    <cfRule type="expression" dxfId="180" priority="63">
      <formula>J$49=J$4</formula>
    </cfRule>
  </conditionalFormatting>
  <conditionalFormatting sqref="W109">
    <cfRule type="cellIs" dxfId="179" priority="57" operator="equal">
      <formula>"Check"</formula>
    </cfRule>
    <cfRule type="cellIs" dxfId="178" priority="58" operator="equal">
      <formula>"Ok"</formula>
    </cfRule>
  </conditionalFormatting>
  <conditionalFormatting sqref="J109:T109">
    <cfRule type="cellIs" dxfId="177" priority="55" operator="equal">
      <formula>"Check"</formula>
    </cfRule>
    <cfRule type="cellIs" dxfId="176" priority="56" operator="equal">
      <formula>"Ok"</formula>
    </cfRule>
  </conditionalFormatting>
  <conditionalFormatting sqref="W47">
    <cfRule type="cellIs" dxfId="175" priority="53" operator="equal">
      <formula>"Check"</formula>
    </cfRule>
    <cfRule type="cellIs" dxfId="174" priority="54" operator="equal">
      <formula>"Ok"</formula>
    </cfRule>
  </conditionalFormatting>
  <conditionalFormatting sqref="J47:T47">
    <cfRule type="cellIs" dxfId="173" priority="51" operator="equal">
      <formula>"Check"</formula>
    </cfRule>
    <cfRule type="cellIs" dxfId="172" priority="52" operator="equal">
      <formula>"Ok"</formula>
    </cfRule>
  </conditionalFormatting>
  <conditionalFormatting sqref="W73">
    <cfRule type="cellIs" dxfId="171" priority="49" operator="equal">
      <formula>"Check"</formula>
    </cfRule>
    <cfRule type="cellIs" dxfId="170" priority="50" operator="equal">
      <formula>"Ok"</formula>
    </cfRule>
  </conditionalFormatting>
  <conditionalFormatting sqref="J73:T73">
    <cfRule type="cellIs" dxfId="169" priority="47" operator="equal">
      <formula>"Check"</formula>
    </cfRule>
    <cfRule type="cellIs" dxfId="168" priority="48" operator="equal">
      <formula>"Ok"</formula>
    </cfRule>
  </conditionalFormatting>
  <conditionalFormatting sqref="J64:U64">
    <cfRule type="expression" dxfId="167" priority="41">
      <formula>J$64=J$4</formula>
    </cfRule>
  </conditionalFormatting>
  <conditionalFormatting sqref="J70:T71 J66:U69">
    <cfRule type="expression" dxfId="166" priority="39">
      <formula>J$64=J$4</formula>
    </cfRule>
  </conditionalFormatting>
  <conditionalFormatting sqref="J49:U49">
    <cfRule type="expression" dxfId="165" priority="36">
      <formula>J$36=J$4</formula>
    </cfRule>
  </conditionalFormatting>
  <conditionalFormatting sqref="J75:U75">
    <cfRule type="expression" dxfId="164" priority="35">
      <formula>J$36=J$4</formula>
    </cfRule>
  </conditionalFormatting>
  <conditionalFormatting sqref="J105:U105">
    <cfRule type="expression" dxfId="163" priority="34">
      <formula>J$36=J$4</formula>
    </cfRule>
  </conditionalFormatting>
  <conditionalFormatting sqref="J26:T32">
    <cfRule type="cellIs" dxfId="162" priority="32" operator="equal">
      <formula>0</formula>
    </cfRule>
  </conditionalFormatting>
  <conditionalFormatting sqref="J16:T22">
    <cfRule type="cellIs" dxfId="161" priority="31" operator="equal">
      <formula>0</formula>
    </cfRule>
  </conditionalFormatting>
  <conditionalFormatting sqref="W93:W101">
    <cfRule type="cellIs" dxfId="160" priority="27" operator="equal">
      <formula>"Check"</formula>
    </cfRule>
    <cfRule type="cellIs" dxfId="159" priority="28" operator="equal">
      <formula>"Ok"</formula>
    </cfRule>
  </conditionalFormatting>
  <conditionalFormatting sqref="K90:M91">
    <cfRule type="expression" dxfId="158" priority="26">
      <formula>K$84=K$4</formula>
    </cfRule>
  </conditionalFormatting>
  <conditionalFormatting sqref="J96:T96 J93:T94">
    <cfRule type="cellIs" dxfId="157" priority="24" operator="equal">
      <formula>"Check"</formula>
    </cfRule>
    <cfRule type="cellIs" dxfId="156" priority="25" operator="equal">
      <formula>"Ok"</formula>
    </cfRule>
  </conditionalFormatting>
  <conditionalFormatting sqref="J95:U95">
    <cfRule type="expression" dxfId="155" priority="23">
      <formula>J$95=J$4</formula>
    </cfRule>
  </conditionalFormatting>
  <conditionalFormatting sqref="J107:U107">
    <cfRule type="expression" dxfId="154" priority="136">
      <formula>J$105=J$4</formula>
    </cfRule>
  </conditionalFormatting>
  <conditionalFormatting sqref="K86:M89">
    <cfRule type="expression" dxfId="153" priority="22">
      <formula>K$84=K$4</formula>
    </cfRule>
  </conditionalFormatting>
  <conditionalFormatting sqref="U26:U32">
    <cfRule type="cellIs" dxfId="152" priority="21" operator="equal">
      <formula>0</formula>
    </cfRule>
  </conditionalFormatting>
  <conditionalFormatting sqref="U16:U22">
    <cfRule type="cellIs" dxfId="151" priority="20" operator="equal">
      <formula>0</formula>
    </cfRule>
  </conditionalFormatting>
  <conditionalFormatting sqref="U109">
    <cfRule type="cellIs" dxfId="150" priority="2" operator="equal">
      <formula>"Check"</formula>
    </cfRule>
    <cfRule type="cellIs" dxfId="149" priority="3" operator="equal">
      <formula>"Ok"</formula>
    </cfRule>
  </conditionalFormatting>
  <conditionalFormatting sqref="U47">
    <cfRule type="cellIs" dxfId="148" priority="15" operator="equal">
      <formula>"Check"</formula>
    </cfRule>
    <cfRule type="cellIs" dxfId="147" priority="16" operator="equal">
      <formula>"Ok"</formula>
    </cfRule>
  </conditionalFormatting>
  <conditionalFormatting sqref="U38 U41:U45">
    <cfRule type="expression" dxfId="146" priority="14">
      <formula>U$36=U$4</formula>
    </cfRule>
  </conditionalFormatting>
  <conditionalFormatting sqref="U51:U52 U54:U58">
    <cfRule type="expression" dxfId="145" priority="11">
      <formula>U$49=U$4</formula>
    </cfRule>
  </conditionalFormatting>
  <conditionalFormatting sqref="U60">
    <cfRule type="cellIs" dxfId="144" priority="9" operator="equal">
      <formula>"Check"</formula>
    </cfRule>
    <cfRule type="cellIs" dxfId="143" priority="10" operator="equal">
      <formula>"Ok"</formula>
    </cfRule>
  </conditionalFormatting>
  <conditionalFormatting sqref="U73">
    <cfRule type="cellIs" dxfId="142" priority="6" operator="equal">
      <formula>"Check"</formula>
    </cfRule>
    <cfRule type="cellIs" dxfId="141" priority="7" operator="equal">
      <formula>"Ok"</formula>
    </cfRule>
  </conditionalFormatting>
  <conditionalFormatting sqref="U70:U71">
    <cfRule type="expression" dxfId="140" priority="5">
      <formula>U$64=U$4</formula>
    </cfRule>
  </conditionalFormatting>
  <conditionalFormatting sqref="U107">
    <cfRule type="expression" dxfId="139" priority="4">
      <formula>U$105=U$4</formula>
    </cfRule>
  </conditionalFormatting>
  <dataValidations disablePrompts="1" count="2">
    <dataValidation type="list" allowBlank="1" showInputMessage="1" showErrorMessage="1" sqref="F110 F74 F102" xr:uid="{00000000-0002-0000-0400-000000000000}">
      <formula1>#REF!</formula1>
    </dataValidation>
    <dataValidation type="list" allowBlank="1" showInputMessage="1" showErrorMessage="1" sqref="F85 F83" xr:uid="{00000000-0002-0000-0400-000001000000}">
      <formula1>#REF!</formula1>
    </dataValidation>
  </dataValidations>
  <hyperlinks>
    <hyperlink ref="K1" location="Index!A1" display="Back to Index" xr:uid="{00000000-0004-0000-0400-000000000000}"/>
    <hyperlink ref="V1" location="'Check|List'!A1" display="Overall Check:" xr:uid="{00000000-0004-0000-0400-000001000000}"/>
  </hyperlinks>
  <pageMargins left="0.7" right="0.7" top="0.75" bottom="0.75" header="0.3" footer="0.3"/>
  <pageSetup paperSize="9" orientation="portrait" verticalDpi="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rgb="FFFFFF99"/>
  </sheetPr>
  <dimension ref="A1:AV60"/>
  <sheetViews>
    <sheetView showGridLines="0" tabSelected="1" workbookViewId="0">
      <selection activeCell="E1" sqref="E1"/>
    </sheetView>
  </sheetViews>
  <sheetFormatPr defaultColWidth="0" defaultRowHeight="11.25" zeroHeight="1" outlineLevelRow="1"/>
  <cols>
    <col min="1" max="2" width="1.5" style="29" customWidth="1"/>
    <col min="3" max="3" width="48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4" width="10.83203125" style="29" customWidth="1"/>
    <col min="25" max="48" width="10.5" style="29" hidden="1" customWidth="1"/>
    <col min="49" max="16384" width="0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P1" s="227" t="s">
        <v>225</v>
      </c>
      <c r="R1" s="72" t="s">
        <v>81</v>
      </c>
      <c r="S1" s="76" t="str">
        <f>IF(COUNTA($X$8:$X$237)=COUNTIF($X$8:$X$237,"OK"),"OK","Check")</f>
        <v>OK</v>
      </c>
      <c r="T1" s="76"/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Index!$C$11</f>
        <v>Input | Step changes</v>
      </c>
      <c r="C2" s="78"/>
      <c r="D2" s="78"/>
      <c r="E2" s="78"/>
      <c r="F2" s="79"/>
      <c r="G2" s="79"/>
      <c r="H2" s="79"/>
      <c r="I2" s="79"/>
      <c r="P2" s="245" t="s">
        <v>256</v>
      </c>
      <c r="Q2" s="252">
        <v>44279</v>
      </c>
    </row>
    <row r="3" spans="1:48" s="80" customFormat="1">
      <c r="C3" s="81"/>
      <c r="D3" s="180"/>
      <c r="E3" s="180"/>
      <c r="F3" s="180"/>
      <c r="G3" s="180"/>
      <c r="H3" s="180"/>
      <c r="I3" s="180"/>
      <c r="J3" s="155" t="s">
        <v>117</v>
      </c>
      <c r="K3" s="170"/>
      <c r="L3" s="170"/>
      <c r="M3" s="180"/>
      <c r="N3" s="249"/>
      <c r="O3" s="249"/>
      <c r="P3" s="249"/>
      <c r="Q3" s="249"/>
      <c r="R3" s="249"/>
      <c r="S3" s="249"/>
      <c r="T3" s="217"/>
      <c r="U3" s="82"/>
      <c r="V3" s="82"/>
      <c r="W3" s="82"/>
      <c r="X3" s="82"/>
      <c r="Y3" s="82"/>
      <c r="Z3" s="82"/>
      <c r="AA3" s="82"/>
    </row>
    <row r="4" spans="1:48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48" s="27" customFormat="1" ht="3" customHeight="1">
      <c r="D5" s="28"/>
      <c r="E5" s="28"/>
      <c r="F5" s="28"/>
      <c r="G5" s="28"/>
      <c r="H5" s="28"/>
      <c r="I5" s="28"/>
    </row>
    <row r="6" spans="1:48" s="27" customFormat="1" ht="9" customHeight="1">
      <c r="D6" s="28"/>
      <c r="E6" s="28"/>
      <c r="F6" s="28"/>
      <c r="G6" s="28"/>
      <c r="H6" s="28"/>
      <c r="I6" s="28"/>
    </row>
    <row r="7" spans="1:48" s="27" customFormat="1" ht="3" customHeight="1">
      <c r="D7" s="28"/>
      <c r="E7" s="28"/>
      <c r="F7" s="28"/>
      <c r="G7" s="28"/>
      <c r="H7" s="28"/>
      <c r="I7" s="28"/>
    </row>
    <row r="8" spans="1:48" s="103" customFormat="1" ht="12.75">
      <c r="A8" s="94"/>
      <c r="B8" s="95" t="s">
        <v>49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  <c r="Y8" s="99"/>
      <c r="Z8" s="99"/>
      <c r="AA8" s="99"/>
      <c r="AB8" s="99"/>
      <c r="AC8" s="100"/>
      <c r="AD8" s="101"/>
      <c r="AE8" s="101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1:48" outlineLevel="1">
      <c r="G9" s="32"/>
      <c r="H9" s="32"/>
    </row>
    <row r="10" spans="1:48" outlineLevel="1">
      <c r="C10" s="67" t="s">
        <v>78</v>
      </c>
      <c r="D10" s="32" t="s">
        <v>7</v>
      </c>
      <c r="E10" s="32" t="s">
        <v>8</v>
      </c>
      <c r="F10" s="32" t="s">
        <v>22</v>
      </c>
      <c r="G10" s="32"/>
      <c r="H10" s="32"/>
      <c r="I10" s="160"/>
      <c r="J10" s="160" t="str">
        <f t="shared" ref="J10:N10" si="0">IF(YEAR(J$4)&gt;=FPFirstYear,IF(YEAR(J$4)&lt;=FPLastYear,J$4,""),"")</f>
        <v/>
      </c>
      <c r="K10" s="160" t="str">
        <f t="shared" si="0"/>
        <v/>
      </c>
      <c r="L10" s="160" t="str">
        <f t="shared" si="0"/>
        <v/>
      </c>
      <c r="M10" s="160" t="str">
        <f t="shared" si="0"/>
        <v/>
      </c>
      <c r="N10" s="160" t="str">
        <f t="shared" si="0"/>
        <v/>
      </c>
      <c r="O10" s="160"/>
      <c r="P10" s="160">
        <f t="shared" ref="P10:T10" si="1">P$4</f>
        <v>44713</v>
      </c>
      <c r="Q10" s="160">
        <f t="shared" si="1"/>
        <v>45078</v>
      </c>
      <c r="R10" s="160">
        <f t="shared" si="1"/>
        <v>45444</v>
      </c>
      <c r="S10" s="160">
        <f t="shared" si="1"/>
        <v>45809</v>
      </c>
      <c r="T10" s="160">
        <f t="shared" si="1"/>
        <v>46174</v>
      </c>
    </row>
    <row r="11" spans="1:48" outlineLevel="1">
      <c r="G11" s="32"/>
      <c r="H11" s="32"/>
    </row>
    <row r="12" spans="1:48" outlineLevel="1">
      <c r="C12" s="251" t="s">
        <v>265</v>
      </c>
      <c r="D12" s="30" t="s">
        <v>68</v>
      </c>
      <c r="E12" s="148" t="s">
        <v>15</v>
      </c>
      <c r="F12" s="169">
        <v>44348</v>
      </c>
      <c r="G12" s="32"/>
      <c r="H12" s="32"/>
      <c r="J12" s="150"/>
      <c r="K12" s="150"/>
      <c r="L12" s="150"/>
      <c r="M12" s="150"/>
      <c r="N12" s="150"/>
      <c r="O12" s="168"/>
      <c r="P12" s="250">
        <v>7.7689699687106701</v>
      </c>
      <c r="Q12" s="250">
        <v>12.138544383710668</v>
      </c>
      <c r="R12" s="250">
        <v>14.75491833371067</v>
      </c>
      <c r="S12" s="250">
        <v>15.902605053710671</v>
      </c>
      <c r="T12" s="250">
        <v>17.165060445710676</v>
      </c>
    </row>
    <row r="13" spans="1:48" outlineLevel="1">
      <c r="C13" s="237" t="s">
        <v>238</v>
      </c>
      <c r="D13" s="30" t="s">
        <v>68</v>
      </c>
      <c r="E13" s="148" t="s">
        <v>15</v>
      </c>
      <c r="F13" s="169">
        <v>44348</v>
      </c>
      <c r="G13" s="32"/>
      <c r="H13" s="32"/>
      <c r="J13" s="150"/>
      <c r="K13" s="150"/>
      <c r="L13" s="150"/>
      <c r="M13" s="150"/>
      <c r="N13" s="150"/>
      <c r="O13" s="168"/>
      <c r="P13" s="236">
        <v>2.4161422739717571</v>
      </c>
      <c r="Q13" s="236">
        <v>1.7097629208919105</v>
      </c>
      <c r="R13" s="236">
        <v>1.6528670470000197</v>
      </c>
      <c r="S13" s="236">
        <v>1.53433992411364</v>
      </c>
      <c r="T13" s="236">
        <v>1.5462167137960172</v>
      </c>
    </row>
    <row r="14" spans="1:48" outlineLevel="1">
      <c r="C14" s="237" t="s">
        <v>266</v>
      </c>
      <c r="D14" s="30" t="s">
        <v>68</v>
      </c>
      <c r="E14" s="148" t="s">
        <v>15</v>
      </c>
      <c r="F14" s="169">
        <v>44348</v>
      </c>
      <c r="G14" s="32"/>
      <c r="H14" s="32"/>
      <c r="J14" s="150"/>
      <c r="K14" s="150"/>
      <c r="L14" s="150"/>
      <c r="M14" s="150"/>
      <c r="N14" s="150"/>
      <c r="O14" s="168"/>
      <c r="P14" s="236">
        <v>0.83068560383111589</v>
      </c>
      <c r="Q14" s="236">
        <v>0.82196714935313087</v>
      </c>
      <c r="R14" s="236">
        <v>1.1759294126678221</v>
      </c>
      <c r="S14" s="236">
        <v>1.3956344563719942</v>
      </c>
      <c r="T14" s="236">
        <v>1.390604920568133</v>
      </c>
    </row>
    <row r="15" spans="1:48" outlineLevel="1">
      <c r="C15" s="237" t="s">
        <v>267</v>
      </c>
      <c r="D15" s="30" t="s">
        <v>68</v>
      </c>
      <c r="E15" s="148" t="s">
        <v>15</v>
      </c>
      <c r="F15" s="169">
        <v>44348</v>
      </c>
      <c r="G15" s="32"/>
      <c r="H15" s="32"/>
      <c r="J15" s="150"/>
      <c r="K15" s="150"/>
      <c r="L15" s="150"/>
      <c r="M15" s="150"/>
      <c r="N15" s="150"/>
      <c r="O15" s="168"/>
      <c r="P15" s="236">
        <v>1.096154796349029</v>
      </c>
      <c r="Q15" s="236">
        <v>1.0370107590207527</v>
      </c>
      <c r="R15" s="236">
        <v>1.1714861059625665</v>
      </c>
      <c r="S15" s="236">
        <v>0.72966001040777151</v>
      </c>
      <c r="T15" s="236">
        <v>0.74889535596604084</v>
      </c>
    </row>
    <row r="16" spans="1:48" outlineLevel="1">
      <c r="C16" s="237" t="s">
        <v>268</v>
      </c>
      <c r="D16" s="30" t="s">
        <v>68</v>
      </c>
      <c r="E16" s="148" t="s">
        <v>15</v>
      </c>
      <c r="F16" s="169">
        <v>44348</v>
      </c>
      <c r="G16" s="32"/>
      <c r="H16" s="32"/>
      <c r="J16" s="150"/>
      <c r="K16" s="150"/>
      <c r="L16" s="150"/>
      <c r="M16" s="150"/>
      <c r="N16" s="150"/>
      <c r="O16" s="168"/>
      <c r="P16" s="236">
        <v>0.50496484412224807</v>
      </c>
      <c r="Q16" s="236">
        <v>0.70515332795959429</v>
      </c>
      <c r="R16" s="236">
        <v>0.89557656441694089</v>
      </c>
      <c r="S16" s="236">
        <v>1.0919039308815746</v>
      </c>
      <c r="T16" s="236">
        <v>1.3014108705527336</v>
      </c>
    </row>
    <row r="17" spans="1:48" outlineLevel="1">
      <c r="C17" s="237" t="s">
        <v>269</v>
      </c>
      <c r="D17" s="30" t="s">
        <v>68</v>
      </c>
      <c r="E17" s="148" t="s">
        <v>15</v>
      </c>
      <c r="F17" s="169">
        <v>44348</v>
      </c>
      <c r="G17" s="32"/>
      <c r="H17" s="32"/>
      <c r="J17" s="150"/>
      <c r="K17" s="150"/>
      <c r="L17" s="150"/>
      <c r="M17" s="150"/>
      <c r="N17" s="150"/>
      <c r="O17" s="168"/>
      <c r="P17" s="236">
        <v>0.29831194263240302</v>
      </c>
      <c r="Q17" s="236">
        <v>0.39540999388132414</v>
      </c>
      <c r="R17" s="236">
        <v>0.91033224283276937</v>
      </c>
      <c r="S17" s="236">
        <v>1.0295936271080479</v>
      </c>
      <c r="T17" s="236">
        <v>1.0375633519228034</v>
      </c>
    </row>
    <row r="18" spans="1:48" outlineLevel="1">
      <c r="C18" s="237" t="s">
        <v>270</v>
      </c>
      <c r="D18" s="30" t="s">
        <v>68</v>
      </c>
      <c r="E18" s="148" t="s">
        <v>15</v>
      </c>
      <c r="F18" s="169">
        <v>44348</v>
      </c>
      <c r="G18" s="32"/>
      <c r="H18" s="32"/>
      <c r="J18" s="150"/>
      <c r="K18" s="150"/>
      <c r="L18" s="150"/>
      <c r="M18" s="150"/>
      <c r="N18" s="150"/>
      <c r="O18" s="168"/>
      <c r="P18" s="236">
        <v>0</v>
      </c>
      <c r="Q18" s="236">
        <v>0</v>
      </c>
      <c r="R18" s="236">
        <v>0</v>
      </c>
      <c r="S18" s="236">
        <v>0</v>
      </c>
      <c r="T18" s="236">
        <v>0</v>
      </c>
    </row>
    <row r="19" spans="1:48" outlineLevel="1">
      <c r="C19" s="237" t="s">
        <v>270</v>
      </c>
      <c r="D19" s="30" t="s">
        <v>68</v>
      </c>
      <c r="E19" s="148" t="s">
        <v>15</v>
      </c>
      <c r="F19" s="169">
        <v>44348</v>
      </c>
      <c r="G19" s="32"/>
      <c r="H19" s="32"/>
      <c r="J19" s="150"/>
      <c r="K19" s="150"/>
      <c r="L19" s="150"/>
      <c r="M19" s="150"/>
      <c r="N19" s="150"/>
      <c r="O19" s="168"/>
      <c r="P19" s="236">
        <v>0</v>
      </c>
      <c r="Q19" s="236">
        <v>0</v>
      </c>
      <c r="R19" s="236">
        <v>0</v>
      </c>
      <c r="S19" s="236">
        <v>0</v>
      </c>
      <c r="T19" s="236">
        <v>0</v>
      </c>
    </row>
    <row r="20" spans="1:48" outlineLevel="1">
      <c r="C20" s="237" t="s">
        <v>270</v>
      </c>
      <c r="D20" s="30" t="s">
        <v>68</v>
      </c>
      <c r="E20" s="148" t="s">
        <v>15</v>
      </c>
      <c r="F20" s="169">
        <v>44348</v>
      </c>
      <c r="G20" s="32"/>
      <c r="H20" s="32"/>
      <c r="J20" s="150"/>
      <c r="K20" s="150"/>
      <c r="L20" s="150"/>
      <c r="M20" s="150"/>
      <c r="N20" s="150"/>
      <c r="O20" s="168"/>
      <c r="P20" s="236">
        <v>0</v>
      </c>
      <c r="Q20" s="236">
        <v>0</v>
      </c>
      <c r="R20" s="236">
        <v>0</v>
      </c>
      <c r="S20" s="236">
        <v>0</v>
      </c>
      <c r="T20" s="236">
        <v>0</v>
      </c>
    </row>
    <row r="21" spans="1:48" outlineLevel="1">
      <c r="C21" s="237" t="s">
        <v>270</v>
      </c>
      <c r="D21" s="30" t="s">
        <v>68</v>
      </c>
      <c r="E21" s="148" t="s">
        <v>15</v>
      </c>
      <c r="F21" s="169">
        <v>44348</v>
      </c>
      <c r="G21" s="32"/>
      <c r="H21" s="32"/>
      <c r="J21" s="150"/>
      <c r="K21" s="150"/>
      <c r="L21" s="150"/>
      <c r="M21" s="150"/>
      <c r="N21" s="150"/>
      <c r="O21" s="168"/>
      <c r="P21" s="236">
        <v>0</v>
      </c>
      <c r="Q21" s="236">
        <v>0</v>
      </c>
      <c r="R21" s="236">
        <v>0</v>
      </c>
      <c r="S21" s="236">
        <v>0</v>
      </c>
      <c r="T21" s="236">
        <v>0</v>
      </c>
    </row>
    <row r="22" spans="1:48" outlineLevel="1">
      <c r="C22" s="237" t="s">
        <v>270</v>
      </c>
      <c r="D22" s="30" t="s">
        <v>68</v>
      </c>
      <c r="E22" s="148" t="s">
        <v>15</v>
      </c>
      <c r="F22" s="169">
        <v>44348</v>
      </c>
      <c r="G22" s="32"/>
      <c r="H22" s="32"/>
      <c r="J22" s="150"/>
      <c r="K22" s="150"/>
      <c r="L22" s="150"/>
      <c r="M22" s="150"/>
      <c r="N22" s="150"/>
      <c r="O22" s="168"/>
      <c r="P22" s="236">
        <v>0</v>
      </c>
      <c r="Q22" s="236">
        <v>0</v>
      </c>
      <c r="R22" s="236">
        <v>0</v>
      </c>
      <c r="S22" s="236">
        <v>0</v>
      </c>
      <c r="T22" s="236">
        <v>0</v>
      </c>
    </row>
    <row r="23" spans="1:48" outlineLevel="1">
      <c r="G23" s="32"/>
      <c r="H23" s="32"/>
    </row>
    <row r="24" spans="1:48" outlineLevel="1">
      <c r="C24" s="29" t="s">
        <v>40</v>
      </c>
      <c r="D24" s="30" t="s">
        <v>97</v>
      </c>
      <c r="E24" s="30" t="s">
        <v>28</v>
      </c>
      <c r="F24" s="30" t="s">
        <v>36</v>
      </c>
      <c r="J24" s="132" t="str">
        <f t="shared" ref="J24:T24" si="2">IF(J10=J4,IF(COUNTA($C12:$C22)=COUNT(J12:J22),"Ok","Check"),"")</f>
        <v/>
      </c>
      <c r="K24" s="132" t="str">
        <f t="shared" si="2"/>
        <v/>
      </c>
      <c r="L24" s="132" t="str">
        <f t="shared" si="2"/>
        <v/>
      </c>
      <c r="M24" s="132" t="str">
        <f t="shared" si="2"/>
        <v/>
      </c>
      <c r="N24" s="132" t="str">
        <f t="shared" si="2"/>
        <v/>
      </c>
      <c r="O24" s="132" t="str">
        <f t="shared" si="2"/>
        <v/>
      </c>
      <c r="P24" s="132" t="str">
        <f t="shared" si="2"/>
        <v>Ok</v>
      </c>
      <c r="Q24" s="132" t="str">
        <f t="shared" si="2"/>
        <v>Ok</v>
      </c>
      <c r="R24" s="132" t="str">
        <f t="shared" si="2"/>
        <v>Ok</v>
      </c>
      <c r="S24" s="132" t="str">
        <f t="shared" si="2"/>
        <v>Ok</v>
      </c>
      <c r="T24" s="132" t="str">
        <f t="shared" si="2"/>
        <v>Ok</v>
      </c>
      <c r="U24" s="132"/>
      <c r="V24" s="24"/>
      <c r="X24" s="131" t="str">
        <f>IF(COUNTIF(J24:U24,"Check")=0,"Ok","Check")</f>
        <v>Ok</v>
      </c>
    </row>
    <row r="25" spans="1:48">
      <c r="G25" s="32"/>
      <c r="H25" s="32"/>
    </row>
    <row r="26" spans="1:48" s="103" customFormat="1" ht="12.75">
      <c r="A26" s="94"/>
      <c r="B26" s="95" t="s">
        <v>113</v>
      </c>
      <c r="C26" s="94"/>
      <c r="D26" s="94"/>
      <c r="E26" s="94"/>
      <c r="F26" s="96"/>
      <c r="G26" s="96"/>
      <c r="H26" s="96"/>
      <c r="I26" s="96"/>
      <c r="J26" s="97"/>
      <c r="K26" s="98"/>
      <c r="L26" s="97"/>
      <c r="M26" s="98"/>
      <c r="N26" s="97"/>
      <c r="O26" s="97"/>
      <c r="P26" s="97"/>
      <c r="Q26" s="97"/>
      <c r="R26" s="97"/>
      <c r="S26" s="97"/>
      <c r="T26" s="97"/>
      <c r="U26" s="97"/>
      <c r="V26" s="97"/>
      <c r="W26" s="98"/>
      <c r="X26" s="98"/>
      <c r="Y26" s="99"/>
      <c r="Z26" s="99"/>
      <c r="AA26" s="99"/>
      <c r="AB26" s="99"/>
      <c r="AC26" s="100"/>
      <c r="AD26" s="101"/>
      <c r="AE26" s="101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</row>
    <row r="27" spans="1:48" outlineLevel="1">
      <c r="G27" s="32"/>
      <c r="H27" s="32"/>
    </row>
    <row r="28" spans="1:48" outlineLevel="1">
      <c r="C28" s="67" t="s">
        <v>109</v>
      </c>
      <c r="D28" s="32" t="s">
        <v>7</v>
      </c>
      <c r="E28" s="32" t="s">
        <v>8</v>
      </c>
      <c r="F28" s="32" t="s">
        <v>22</v>
      </c>
      <c r="G28" s="32"/>
      <c r="H28" s="32"/>
      <c r="J28" s="160" t="str">
        <f t="shared" ref="J28:N28" si="3">IF(YEAR(J$4)&gt;=FPFirstYear,IF(YEAR(J$4)&lt;=FPLastYear,J$4,""),"")</f>
        <v/>
      </c>
      <c r="K28" s="160" t="str">
        <f t="shared" si="3"/>
        <v/>
      </c>
      <c r="L28" s="160" t="str">
        <f t="shared" si="3"/>
        <v/>
      </c>
      <c r="M28" s="160" t="str">
        <f t="shared" si="3"/>
        <v/>
      </c>
      <c r="N28" s="160" t="str">
        <f t="shared" si="3"/>
        <v/>
      </c>
      <c r="O28" s="160"/>
      <c r="P28" s="160">
        <f t="shared" ref="P28:T28" si="4">P$4</f>
        <v>44713</v>
      </c>
      <c r="Q28" s="160">
        <f t="shared" si="4"/>
        <v>45078</v>
      </c>
      <c r="R28" s="160">
        <f t="shared" si="4"/>
        <v>45444</v>
      </c>
      <c r="S28" s="160">
        <f t="shared" si="4"/>
        <v>45809</v>
      </c>
      <c r="T28" s="160">
        <f t="shared" si="4"/>
        <v>46174</v>
      </c>
    </row>
    <row r="29" spans="1:48" outlineLevel="1">
      <c r="G29" s="32"/>
      <c r="H29" s="32"/>
    </row>
    <row r="30" spans="1:48" outlineLevel="1">
      <c r="C30" s="244" t="s">
        <v>271</v>
      </c>
      <c r="D30" s="30" t="s">
        <v>68</v>
      </c>
      <c r="E30" s="148" t="s">
        <v>15</v>
      </c>
      <c r="F30" s="169">
        <v>44348</v>
      </c>
      <c r="G30" s="32"/>
      <c r="H30" s="32"/>
      <c r="J30" s="150"/>
      <c r="K30" s="150"/>
      <c r="L30" s="150"/>
      <c r="M30" s="150"/>
      <c r="N30" s="168"/>
      <c r="O30" s="168"/>
      <c r="P30" s="243">
        <v>2.8944685902263974</v>
      </c>
      <c r="Q30" s="243">
        <v>2.8944685902263974</v>
      </c>
      <c r="R30" s="243">
        <v>2.8944685902263974</v>
      </c>
      <c r="S30" s="243">
        <v>2.8944685902263974</v>
      </c>
      <c r="T30" s="243">
        <v>2.8944685902263974</v>
      </c>
    </row>
    <row r="31" spans="1:48" outlineLevel="1">
      <c r="C31" s="61"/>
      <c r="D31" s="30" t="s">
        <v>68</v>
      </c>
      <c r="E31" s="148" t="s">
        <v>15</v>
      </c>
      <c r="F31" s="169">
        <v>44348</v>
      </c>
      <c r="G31" s="32"/>
      <c r="H31" s="32"/>
      <c r="J31" s="150"/>
      <c r="K31" s="150"/>
      <c r="L31" s="150"/>
      <c r="M31" s="150"/>
      <c r="N31" s="168"/>
      <c r="O31" s="168"/>
      <c r="P31" s="168"/>
      <c r="Q31" s="168"/>
      <c r="R31" s="168"/>
      <c r="S31" s="168"/>
      <c r="T31" s="168"/>
    </row>
    <row r="32" spans="1:48" outlineLevel="1">
      <c r="C32" s="61"/>
      <c r="D32" s="30" t="s">
        <v>68</v>
      </c>
      <c r="E32" s="148" t="s">
        <v>15</v>
      </c>
      <c r="F32" s="169">
        <v>44348</v>
      </c>
      <c r="G32" s="32"/>
      <c r="H32" s="32"/>
      <c r="J32" s="150"/>
      <c r="K32" s="150"/>
      <c r="L32" s="150"/>
      <c r="M32" s="150"/>
      <c r="N32" s="168"/>
      <c r="O32" s="168"/>
      <c r="P32" s="168"/>
      <c r="Q32" s="168"/>
      <c r="R32" s="168"/>
      <c r="S32" s="168"/>
      <c r="T32" s="168"/>
    </row>
    <row r="33" spans="1:48" outlineLevel="1">
      <c r="G33" s="32"/>
      <c r="H33" s="32"/>
    </row>
    <row r="34" spans="1:48" outlineLevel="1">
      <c r="C34" s="29" t="s">
        <v>40</v>
      </c>
      <c r="D34" s="30" t="s">
        <v>97</v>
      </c>
      <c r="E34" s="30" t="s">
        <v>28</v>
      </c>
      <c r="F34" s="30" t="s">
        <v>36</v>
      </c>
      <c r="J34" s="132" t="str">
        <f t="shared" ref="J34:T34" si="5">IF(J28=J4,IF(COUNTA($C30:$C32)=COUNT(J30:J32),"Ok","Check"),"")</f>
        <v/>
      </c>
      <c r="K34" s="132" t="str">
        <f t="shared" si="5"/>
        <v/>
      </c>
      <c r="L34" s="132" t="str">
        <f t="shared" si="5"/>
        <v/>
      </c>
      <c r="M34" s="132" t="str">
        <f t="shared" si="5"/>
        <v/>
      </c>
      <c r="N34" s="132" t="str">
        <f t="shared" si="5"/>
        <v/>
      </c>
      <c r="O34" s="132" t="str">
        <f t="shared" si="5"/>
        <v/>
      </c>
      <c r="P34" s="132" t="str">
        <f t="shared" si="5"/>
        <v>Ok</v>
      </c>
      <c r="Q34" s="132" t="str">
        <f t="shared" si="5"/>
        <v>Ok</v>
      </c>
      <c r="R34" s="132" t="str">
        <f t="shared" si="5"/>
        <v>Ok</v>
      </c>
      <c r="S34" s="132" t="str">
        <f t="shared" si="5"/>
        <v>Ok</v>
      </c>
      <c r="T34" s="132" t="str">
        <f t="shared" si="5"/>
        <v>Ok</v>
      </c>
      <c r="U34" s="132"/>
      <c r="V34" s="24"/>
      <c r="X34" s="131" t="str">
        <f>IF(COUNTIF(J34:U34,"Check")=0,"Ok","Check")</f>
        <v>Ok</v>
      </c>
    </row>
    <row r="35" spans="1:48">
      <c r="G35" s="32"/>
      <c r="H35" s="32"/>
    </row>
    <row r="36" spans="1:48" s="103" customFormat="1" ht="12.75">
      <c r="A36" s="94"/>
      <c r="B36" s="95" t="s">
        <v>44</v>
      </c>
      <c r="C36" s="94"/>
      <c r="D36" s="94"/>
      <c r="E36" s="94"/>
      <c r="F36" s="96"/>
      <c r="G36" s="96"/>
      <c r="H36" s="96"/>
      <c r="I36" s="96"/>
      <c r="J36" s="97"/>
      <c r="K36" s="98"/>
      <c r="L36" s="97"/>
      <c r="M36" s="98"/>
      <c r="N36" s="97"/>
      <c r="O36" s="97"/>
      <c r="P36" s="97"/>
      <c r="Q36" s="97"/>
      <c r="R36" s="97"/>
      <c r="S36" s="97"/>
      <c r="T36" s="97"/>
      <c r="U36" s="97"/>
      <c r="V36" s="97"/>
      <c r="W36" s="98"/>
      <c r="X36" s="98"/>
      <c r="Y36" s="99"/>
      <c r="Z36" s="99"/>
      <c r="AA36" s="99"/>
      <c r="AB36" s="99"/>
      <c r="AC36" s="100"/>
      <c r="AD36" s="101"/>
      <c r="AE36" s="101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</row>
    <row r="37" spans="1:48" outlineLevel="1">
      <c r="G37" s="32"/>
      <c r="H37" s="32"/>
    </row>
    <row r="38" spans="1:48" outlineLevel="1">
      <c r="C38" s="67" t="s">
        <v>32</v>
      </c>
      <c r="D38" s="32" t="s">
        <v>7</v>
      </c>
      <c r="E38" s="32" t="s">
        <v>8</v>
      </c>
      <c r="F38" s="32" t="s">
        <v>22</v>
      </c>
      <c r="G38" s="32"/>
      <c r="H38" s="32"/>
      <c r="J38" s="160" t="str">
        <f t="shared" ref="J38:N38" si="6">IF(YEAR(J$4)&gt;=FPFirstYear,IF(YEAR(J$4)&lt;=FPLastYear,J$4,""),"")</f>
        <v/>
      </c>
      <c r="K38" s="160" t="str">
        <f t="shared" si="6"/>
        <v/>
      </c>
      <c r="L38" s="160" t="str">
        <f t="shared" si="6"/>
        <v/>
      </c>
      <c r="M38" s="160" t="str">
        <f t="shared" si="6"/>
        <v/>
      </c>
      <c r="N38" s="160" t="str">
        <f t="shared" si="6"/>
        <v/>
      </c>
      <c r="O38" s="160"/>
      <c r="P38" s="160">
        <f t="shared" ref="P38:T38" si="7">P$4</f>
        <v>44713</v>
      </c>
      <c r="Q38" s="160">
        <f t="shared" si="7"/>
        <v>45078</v>
      </c>
      <c r="R38" s="160">
        <f t="shared" si="7"/>
        <v>45444</v>
      </c>
      <c r="S38" s="160">
        <f t="shared" si="7"/>
        <v>45809</v>
      </c>
      <c r="T38" s="160">
        <f t="shared" si="7"/>
        <v>46174</v>
      </c>
    </row>
    <row r="39" spans="1:48" outlineLevel="1">
      <c r="G39" s="32"/>
      <c r="H39" s="32"/>
    </row>
    <row r="40" spans="1:48" outlineLevel="1">
      <c r="C40" s="111" t="s">
        <v>39</v>
      </c>
      <c r="D40" s="30" t="s">
        <v>71</v>
      </c>
      <c r="E40" s="30" t="s">
        <v>15</v>
      </c>
      <c r="F40" s="208">
        <v>44348</v>
      </c>
      <c r="G40" s="32"/>
      <c r="H40" s="32"/>
      <c r="J40" s="168"/>
      <c r="K40" s="168"/>
      <c r="L40" s="168"/>
      <c r="M40" s="168"/>
      <c r="N40" s="168"/>
      <c r="O40" s="168"/>
      <c r="P40" s="238">
        <v>2.1344123468423364</v>
      </c>
      <c r="Q40" s="238">
        <v>2.2238988721098321</v>
      </c>
      <c r="R40" s="238">
        <v>2.3230125820822112</v>
      </c>
      <c r="S40" s="238">
        <v>2.380934330550907</v>
      </c>
      <c r="T40" s="238">
        <v>2.4134084569666876</v>
      </c>
    </row>
    <row r="41" spans="1:48" outlineLevel="1">
      <c r="G41" s="32"/>
      <c r="H41" s="32"/>
    </row>
    <row r="42" spans="1:48" outlineLevel="1">
      <c r="C42" s="29" t="s">
        <v>40</v>
      </c>
      <c r="D42" s="30" t="s">
        <v>97</v>
      </c>
      <c r="E42" s="30" t="s">
        <v>28</v>
      </c>
      <c r="F42" s="30" t="s">
        <v>36</v>
      </c>
      <c r="J42" s="132" t="str">
        <f t="shared" ref="J42:T42" si="8">IF(J38=J4,IF(ISBLANK(J40),"Check","Ok"),"")</f>
        <v/>
      </c>
      <c r="K42" s="132" t="str">
        <f t="shared" si="8"/>
        <v/>
      </c>
      <c r="L42" s="132" t="str">
        <f t="shared" si="8"/>
        <v/>
      </c>
      <c r="M42" s="132" t="str">
        <f t="shared" si="8"/>
        <v/>
      </c>
      <c r="N42" s="132" t="str">
        <f t="shared" si="8"/>
        <v/>
      </c>
      <c r="O42" s="132" t="str">
        <f t="shared" si="8"/>
        <v/>
      </c>
      <c r="P42" s="132" t="str">
        <f t="shared" si="8"/>
        <v>Ok</v>
      </c>
      <c r="Q42" s="132" t="str">
        <f t="shared" si="8"/>
        <v>Ok</v>
      </c>
      <c r="R42" s="132" t="str">
        <f t="shared" si="8"/>
        <v>Ok</v>
      </c>
      <c r="S42" s="132" t="str">
        <f t="shared" si="8"/>
        <v>Ok</v>
      </c>
      <c r="T42" s="132" t="str">
        <f t="shared" si="8"/>
        <v>Ok</v>
      </c>
      <c r="U42" s="132"/>
      <c r="V42" s="24"/>
      <c r="X42" s="131" t="str">
        <f>IF(COUNTIF(J42:U42,"Check")=0,"Ok","Check")</f>
        <v>Ok</v>
      </c>
    </row>
    <row r="43" spans="1:48">
      <c r="G43" s="32"/>
      <c r="H43" s="32"/>
    </row>
    <row r="44" spans="1:48" s="103" customFormat="1" ht="12.75">
      <c r="A44" s="94"/>
      <c r="B44" s="95" t="s">
        <v>21</v>
      </c>
      <c r="C44" s="94"/>
      <c r="D44" s="94"/>
      <c r="E44" s="94"/>
      <c r="F44" s="96"/>
      <c r="G44" s="96"/>
      <c r="H44" s="96"/>
      <c r="I44" s="96"/>
      <c r="J44" s="97"/>
      <c r="K44" s="98"/>
      <c r="L44" s="97"/>
      <c r="M44" s="98"/>
      <c r="N44" s="97"/>
      <c r="O44" s="97"/>
      <c r="P44" s="97"/>
      <c r="Q44" s="97"/>
      <c r="R44" s="97"/>
      <c r="S44" s="97"/>
      <c r="T44" s="97"/>
      <c r="U44" s="97"/>
      <c r="V44" s="97"/>
      <c r="W44" s="98"/>
      <c r="X44" s="98"/>
      <c r="Y44" s="99"/>
      <c r="Z44" s="99"/>
      <c r="AA44" s="99"/>
      <c r="AB44" s="99"/>
      <c r="AC44" s="100"/>
      <c r="AD44" s="101"/>
      <c r="AE44" s="101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</row>
    <row r="45" spans="1:48" hidden="1">
      <c r="G45" s="32"/>
      <c r="H45" s="32"/>
    </row>
    <row r="46" spans="1:48" hidden="1">
      <c r="G46" s="32"/>
      <c r="H46" s="32"/>
    </row>
    <row r="47" spans="1:48" hidden="1">
      <c r="G47" s="32"/>
      <c r="H47" s="32"/>
    </row>
    <row r="48" spans="1:48" hidden="1">
      <c r="G48" s="32"/>
      <c r="H48" s="32"/>
    </row>
    <row r="49" spans="7:8" hidden="1">
      <c r="G49" s="32"/>
      <c r="H49" s="32"/>
    </row>
    <row r="50" spans="7:8" hidden="1">
      <c r="G50" s="32"/>
      <c r="H50" s="32"/>
    </row>
    <row r="51" spans="7:8" hidden="1">
      <c r="G51" s="32"/>
      <c r="H51" s="32"/>
    </row>
    <row r="52" spans="7:8" hidden="1">
      <c r="G52" s="32"/>
      <c r="H52" s="32"/>
    </row>
    <row r="53" spans="7:8" hidden="1">
      <c r="G53" s="32"/>
      <c r="H53" s="32"/>
    </row>
    <row r="54" spans="7:8" hidden="1">
      <c r="G54" s="32"/>
      <c r="H54" s="32"/>
    </row>
    <row r="55" spans="7:8" hidden="1"/>
    <row r="56" spans="7:8" hidden="1"/>
    <row r="57" spans="7:8" hidden="1"/>
    <row r="58" spans="7:8" hidden="1"/>
    <row r="59" spans="7:8" hidden="1"/>
    <row r="60" spans="7:8" hidden="1"/>
  </sheetData>
  <mergeCells count="1">
    <mergeCell ref="N3:S3"/>
  </mergeCells>
  <conditionalFormatting sqref="S1:T1">
    <cfRule type="cellIs" dxfId="138" priority="33" operator="equal">
      <formula>"Check"</formula>
    </cfRule>
    <cfRule type="cellIs" dxfId="137" priority="34" operator="equal">
      <formula>"Ok"</formula>
    </cfRule>
  </conditionalFormatting>
  <conditionalFormatting sqref="W1">
    <cfRule type="cellIs" dxfId="136" priority="35" operator="equal">
      <formula>"Check"</formula>
    </cfRule>
    <cfRule type="cellIs" dxfId="135" priority="36" operator="equal">
      <formula>"Ok"</formula>
    </cfRule>
  </conditionalFormatting>
  <conditionalFormatting sqref="J10:T10">
    <cfRule type="expression" dxfId="134" priority="31">
      <formula>J$10=J$4</formula>
    </cfRule>
  </conditionalFormatting>
  <conditionalFormatting sqref="J12:O22">
    <cfRule type="expression" dxfId="133" priority="30">
      <formula>J$10=J$4</formula>
    </cfRule>
  </conditionalFormatting>
  <conditionalFormatting sqref="X24">
    <cfRule type="cellIs" dxfId="132" priority="26" operator="equal">
      <formula>"Check"</formula>
    </cfRule>
    <cfRule type="cellIs" dxfId="131" priority="27" operator="equal">
      <formula>"Ok"</formula>
    </cfRule>
  </conditionalFormatting>
  <conditionalFormatting sqref="J24:U24">
    <cfRule type="cellIs" dxfId="130" priority="24" operator="equal">
      <formula>"Check"</formula>
    </cfRule>
    <cfRule type="cellIs" dxfId="129" priority="25" operator="equal">
      <formula>"Ok"</formula>
    </cfRule>
  </conditionalFormatting>
  <conditionalFormatting sqref="X34">
    <cfRule type="cellIs" dxfId="128" priority="22" operator="equal">
      <formula>"Check"</formula>
    </cfRule>
    <cfRule type="cellIs" dxfId="127" priority="23" operator="equal">
      <formula>"Ok"</formula>
    </cfRule>
  </conditionalFormatting>
  <conditionalFormatting sqref="J34:U34">
    <cfRule type="cellIs" dxfId="126" priority="20" operator="equal">
      <formula>"Check"</formula>
    </cfRule>
    <cfRule type="cellIs" dxfId="125" priority="21" operator="equal">
      <formula>"Ok"</formula>
    </cfRule>
  </conditionalFormatting>
  <conditionalFormatting sqref="J30:M32 O31:T32">
    <cfRule type="expression" dxfId="124" priority="19">
      <formula>J$28=J$4</formula>
    </cfRule>
  </conditionalFormatting>
  <conditionalFormatting sqref="X42">
    <cfRule type="cellIs" dxfId="123" priority="17" operator="equal">
      <formula>"Check"</formula>
    </cfRule>
    <cfRule type="cellIs" dxfId="122" priority="18" operator="equal">
      <formula>"Ok"</formula>
    </cfRule>
  </conditionalFormatting>
  <conditionalFormatting sqref="J42:U42">
    <cfRule type="cellIs" dxfId="121" priority="15" operator="equal">
      <formula>"Check"</formula>
    </cfRule>
    <cfRule type="cellIs" dxfId="120" priority="16" operator="equal">
      <formula>"Ok"</formula>
    </cfRule>
  </conditionalFormatting>
  <conditionalFormatting sqref="O30">
    <cfRule type="expression" dxfId="119" priority="14">
      <formula>O$10=O$4</formula>
    </cfRule>
  </conditionalFormatting>
  <conditionalFormatting sqref="N30:N32">
    <cfRule type="expression" dxfId="118" priority="13">
      <formula>N$10=N$4</formula>
    </cfRule>
  </conditionalFormatting>
  <conditionalFormatting sqref="J40:O40">
    <cfRule type="expression" dxfId="117" priority="10">
      <formula>J$38=J$4</formula>
    </cfRule>
  </conditionalFormatting>
  <conditionalFormatting sqref="J28:N28">
    <cfRule type="expression" dxfId="116" priority="9">
      <formula>J$10=J$4</formula>
    </cfRule>
  </conditionalFormatting>
  <conditionalFormatting sqref="J38:N38">
    <cfRule type="expression" dxfId="115" priority="8">
      <formula>J$10=J$4</formula>
    </cfRule>
  </conditionalFormatting>
  <conditionalFormatting sqref="O28">
    <cfRule type="expression" dxfId="114" priority="7">
      <formula>O$10=O$4</formula>
    </cfRule>
  </conditionalFormatting>
  <conditionalFormatting sqref="O38">
    <cfRule type="expression" dxfId="113" priority="6">
      <formula>O$10=O$4</formula>
    </cfRule>
  </conditionalFormatting>
  <conditionalFormatting sqref="P28:T28">
    <cfRule type="expression" dxfId="112" priority="5">
      <formula>P$10=P$4</formula>
    </cfRule>
  </conditionalFormatting>
  <conditionalFormatting sqref="P38:T38">
    <cfRule type="expression" dxfId="111" priority="4">
      <formula>P$10=P$4</formula>
    </cfRule>
  </conditionalFormatting>
  <dataValidations count="2">
    <dataValidation type="list" allowBlank="1" showInputMessage="1" showErrorMessage="1" sqref="F25 F33 F35 F43" xr:uid="{00000000-0002-0000-0500-000000000000}">
      <formula1>"Real 2010,Real 2011,Real 2012,Real 2013,Real 2014,Real 2015,Nominal"</formula1>
    </dataValidation>
    <dataValidation type="list" allowBlank="1" showInputMessage="1" showErrorMessage="1" sqref="V30:V33 I40 V25 I25 V12:V23 I30:I33 V35 I35 V43 I43" xr:uid="{00000000-0002-0000-0500-000001000000}">
      <formula1>#REF!</formula1>
    </dataValidation>
  </dataValidations>
  <hyperlinks>
    <hyperlink ref="J1" location="Index!A1" display="Back to Index" xr:uid="{00000000-0004-0000-0500-000000000000}"/>
    <hyperlink ref="V1" location="'Check|List'!A1" display="Overall Check:" xr:uid="{00000000-0004-0000-05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500-000002000000}">
          <x14:formula1>
            <xm:f>'Lookup|Tables'!$G$10:$G$12</xm:f>
          </x14:formula1>
          <xm:sqref>E40 E30:E32 E12:E23</xm:sqref>
        </x14:dataValidation>
        <x14:dataValidation type="list" allowBlank="1" showInputMessage="1" showErrorMessage="1" xr:uid="{00000000-0002-0000-0500-000003000000}">
          <x14:formula1>
            <xm:f>'Lookup|Tables'!$C$67:$C$76</xm:f>
          </x14:formula1>
          <xm:sqref>F23</xm:sqref>
        </x14:dataValidation>
        <x14:dataValidation type="list" allowBlank="1" showInputMessage="1" showErrorMessage="1" xr:uid="{00000000-0002-0000-0500-000004000000}">
          <x14:formula1>
            <xm:f>'Lookup|Tables'!$H$41:$H$60</xm:f>
          </x14:formula1>
          <xm:sqref>F40 F30:F32 F12:F22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CCFFCC"/>
  </sheetPr>
  <dimension ref="A1:AV196"/>
  <sheetViews>
    <sheetView showGridLines="0" topLeftCell="D62" workbookViewId="0">
      <selection activeCell="X108" sqref="X108"/>
    </sheetView>
  </sheetViews>
  <sheetFormatPr defaultColWidth="0" defaultRowHeight="11.25" zeroHeight="1" outlineLevelRow="1"/>
  <cols>
    <col min="1" max="2" width="1.5" style="29" customWidth="1"/>
    <col min="3" max="3" width="76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5" style="30" customWidth="1"/>
    <col min="10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P1" s="227" t="s">
        <v>225</v>
      </c>
      <c r="R1" s="72" t="s">
        <v>81</v>
      </c>
      <c r="S1" s="76" t="s">
        <v>36</v>
      </c>
      <c r="T1" s="76"/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Index!$C$12</f>
        <v>Calc | Opex Forecast</v>
      </c>
      <c r="C2" s="78"/>
      <c r="D2" s="78"/>
      <c r="E2" s="78"/>
      <c r="F2" s="79"/>
      <c r="G2" s="79"/>
      <c r="H2" s="79"/>
      <c r="I2" s="79"/>
    </row>
    <row r="3" spans="1:48" s="80" customFormat="1">
      <c r="C3" s="81"/>
      <c r="D3" s="180"/>
      <c r="E3" s="180"/>
      <c r="F3" s="180"/>
      <c r="G3" s="180"/>
      <c r="H3" s="180"/>
      <c r="I3" s="180"/>
      <c r="J3" s="170" t="s">
        <v>117</v>
      </c>
      <c r="K3" s="170"/>
      <c r="L3" s="170"/>
      <c r="M3" s="180"/>
      <c r="N3" s="249"/>
      <c r="O3" s="249"/>
      <c r="P3" s="249"/>
      <c r="Q3" s="249"/>
      <c r="R3" s="249"/>
      <c r="S3" s="249"/>
      <c r="T3" s="217"/>
      <c r="U3" s="82"/>
      <c r="V3" s="82"/>
      <c r="W3" s="82"/>
      <c r="X3" s="82"/>
      <c r="Y3" s="82"/>
      <c r="Z3" s="82"/>
      <c r="AA3" s="82"/>
    </row>
    <row r="4" spans="1:48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48" s="27" customFormat="1" ht="3" customHeight="1">
      <c r="D5" s="28"/>
      <c r="E5" s="28"/>
      <c r="F5" s="28"/>
      <c r="G5" s="28"/>
      <c r="H5" s="28"/>
      <c r="I5" s="28"/>
    </row>
    <row r="6" spans="1:48" s="27" customFormat="1" ht="9" customHeight="1">
      <c r="D6" s="28"/>
      <c r="E6" s="28"/>
      <c r="F6" s="28"/>
      <c r="G6" s="28"/>
      <c r="H6" s="28"/>
      <c r="I6" s="28"/>
    </row>
    <row r="7" spans="1:48" s="27" customFormat="1" ht="3" customHeight="1">
      <c r="D7" s="28"/>
      <c r="E7" s="28"/>
      <c r="F7" s="28"/>
      <c r="G7" s="28"/>
      <c r="H7" s="28"/>
      <c r="I7" s="28"/>
    </row>
    <row r="8" spans="1:48" s="103" customFormat="1" ht="12.75">
      <c r="A8" s="94"/>
      <c r="B8" s="95" t="s">
        <v>85</v>
      </c>
      <c r="C8" s="94"/>
      <c r="D8" s="94"/>
      <c r="E8" s="68" t="s">
        <v>15</v>
      </c>
      <c r="F8" s="204">
        <v>44348</v>
      </c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  <c r="Y8" s="99"/>
      <c r="Z8" s="99"/>
      <c r="AA8" s="99"/>
      <c r="AB8" s="99"/>
      <c r="AC8" s="100"/>
      <c r="AD8" s="101"/>
      <c r="AE8" s="101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1:48" outlineLevel="1"/>
    <row r="10" spans="1:48" outlineLevel="1">
      <c r="C10" s="104"/>
      <c r="D10" s="32" t="s">
        <v>7</v>
      </c>
      <c r="E10" s="32" t="s">
        <v>8</v>
      </c>
      <c r="F10" s="32" t="s">
        <v>22</v>
      </c>
      <c r="G10" s="105"/>
      <c r="H10" s="105"/>
      <c r="I10" s="105"/>
      <c r="J10" s="160">
        <f>J$4</f>
        <v>42705</v>
      </c>
      <c r="K10" s="160">
        <f t="shared" ref="K10:O10" si="0">K$4</f>
        <v>43070</v>
      </c>
      <c r="L10" s="160">
        <f t="shared" si="0"/>
        <v>43435</v>
      </c>
      <c r="M10" s="160">
        <f t="shared" si="0"/>
        <v>43800</v>
      </c>
      <c r="N10" s="160">
        <f t="shared" si="0"/>
        <v>44166</v>
      </c>
      <c r="O10" s="160">
        <f t="shared" si="0"/>
        <v>44348</v>
      </c>
      <c r="P10" s="160"/>
      <c r="Q10" s="160"/>
      <c r="R10" s="160"/>
      <c r="S10" s="160"/>
      <c r="T10" s="160"/>
    </row>
    <row r="11" spans="1:48" outlineLevel="1">
      <c r="C11" s="106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</row>
    <row r="12" spans="1:48" outlineLevel="1">
      <c r="C12" s="106" t="s">
        <v>157</v>
      </c>
      <c r="D12" s="108" t="s">
        <v>91</v>
      </c>
      <c r="E12" s="30" t="str">
        <f>'Input|Reported opex'!E79</f>
        <v>$millions</v>
      </c>
      <c r="F12" s="158" t="str">
        <f>'Input|Reported opex'!F79</f>
        <v>nominal</v>
      </c>
      <c r="J12" s="109">
        <f>IF(YEAR(J$4)=BaseYear,'Input|Reported opex'!J70,0)</f>
        <v>0</v>
      </c>
      <c r="K12" s="109">
        <f>IF(YEAR(K$4)=BaseYear,'Input|Reported opex'!K70,0)</f>
        <v>0</v>
      </c>
      <c r="L12" s="109">
        <f>IF(YEAR(L$4)=BaseYear,'Input|Reported opex'!L70,0)</f>
        <v>0</v>
      </c>
      <c r="M12" s="109">
        <f>IF(YEAR(M$4)=BaseYear,'Input|Reported opex'!M70,0)</f>
        <v>235.56920626000002</v>
      </c>
      <c r="N12" s="109">
        <f>IF(YEAR(N$4)=BaseYear,'Input|Reported opex'!N70,0)</f>
        <v>0</v>
      </c>
      <c r="O12" s="109">
        <f>IF(YEAR(O$4)=BaseYear,'Input|Reported opex'!O70,0)</f>
        <v>0</v>
      </c>
      <c r="P12" s="109">
        <f>IF(YEAR(P$4)=BaseYear,'Input|Reported opex'!P70,0)</f>
        <v>0</v>
      </c>
      <c r="Q12" s="109">
        <f>IF(YEAR(Q$4)=BaseYear,'Input|Reported opex'!Q70,0)</f>
        <v>0</v>
      </c>
      <c r="R12" s="109">
        <f>IF(YEAR(R$4)=BaseYear,'Input|Reported opex'!R70,0)</f>
        <v>0</v>
      </c>
      <c r="S12" s="109">
        <f>IF(YEAR(S$4)=BaseYear,'Input|Reported opex'!S70,0)</f>
        <v>0</v>
      </c>
      <c r="T12" s="109"/>
    </row>
    <row r="13" spans="1:48" outlineLevel="1">
      <c r="C13" s="106" t="s">
        <v>157</v>
      </c>
      <c r="D13" s="110" t="s">
        <v>30</v>
      </c>
      <c r="E13" s="30" t="str">
        <f>$E$8</f>
        <v>$millions</v>
      </c>
      <c r="F13" s="158">
        <f>$F$8</f>
        <v>44348</v>
      </c>
      <c r="J13" s="109">
        <f>J12*IF($F12="nominal",LOOKUP($F13,Nominal_to_Real,'Input|Rate of change'!K$26:K$32),INDEX('Input|Rate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K13" s="109">
        <f>K12*IF($F12="nominal",LOOKUP($F13,Nominal_to_Real,'Input|Rate of change'!L$26:L$32),INDEX('Input|Rate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L13" s="109">
        <f>L12*IF($F12="nominal",LOOKUP($F13,Nominal_to_Real,'Input|Rate of change'!M$26:M$32),INDEX('Input|Rate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M13" s="109">
        <f>M12*IF($F12="nominal",LOOKUP($F13,Nominal_to_Real,'Input|Rate of change'!N$26:N$32),INDEX('Input|Rate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241.06595549428499</v>
      </c>
      <c r="N13" s="109">
        <f>N12*IF($F12="nominal",LOOKUP($F13,Nominal_to_Real,'Input|Rate of change'!O$26:O$32),INDEX('Input|Rate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O13" s="109">
        <f>O12*IF($F12="nominal",LOOKUP($F13,Nominal_to_Real,'Input|Rate of change'!P$26:P$32),INDEX('Input|Rate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P13" s="109">
        <f>P12*IF($F12="nominal",LOOKUP($F13,Nominal_to_Real,'Input|Rate of change'!Q$26:Q$32),INDEX('Input|Rate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Q13" s="109">
        <f>Q12*IF($F12="nominal",LOOKUP($F13,Nominal_to_Real,'Input|Rate of change'!R$26:R$32),INDEX('Input|Rate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R13" s="109">
        <f>R12*IF($F12="nominal",LOOKUP($F13,Nominal_to_Real,'Input|Rate of change'!S$26:S$32),INDEX('Input|Rate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S13" s="109">
        <f>S12*IF($F12="nominal",LOOKUP($F13,Nominal_to_Real,'Input|Rate of change'!T$26:T$32),INDEX('Input|Rate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T13" s="109"/>
    </row>
    <row r="14" spans="1:48" outlineLevel="1">
      <c r="C14" s="111" t="s">
        <v>158</v>
      </c>
      <c r="D14" s="108" t="s">
        <v>91</v>
      </c>
      <c r="E14" s="30" t="str">
        <f>'Input|Reported opex'!E15</f>
        <v>$millions</v>
      </c>
      <c r="F14" s="158">
        <f>'Input|Reported opex'!F15</f>
        <v>42339</v>
      </c>
      <c r="J14" s="109">
        <f>IF(YEAR(J$4)=BaseYear,'Input|Reported opex'!J15,0)</f>
        <v>0</v>
      </c>
      <c r="K14" s="109">
        <f>IF(YEAR(K$4)=BaseYear,'Input|Reported opex'!K15,0)</f>
        <v>0</v>
      </c>
      <c r="L14" s="109">
        <f>IF(YEAR(L$4)=BaseYear,'Input|Reported opex'!L15,0)</f>
        <v>0</v>
      </c>
      <c r="M14" s="109">
        <f>IF(YEAR(M$4)=BaseYear,'Input|Reported opex'!M15,0)</f>
        <v>245.72964969332111</v>
      </c>
      <c r="N14" s="109">
        <f>IF(YEAR(N$4)=BaseYear,'Input|Reported opex'!N15,0)</f>
        <v>0</v>
      </c>
      <c r="O14" s="109">
        <f>IF(YEAR(O$4)=BaseYear,'Input|Reported opex'!O15,0)</f>
        <v>0</v>
      </c>
      <c r="P14" s="109">
        <f>IF(YEAR(P$4)=BaseYear,'Input|Reported opex'!P15,0)</f>
        <v>0</v>
      </c>
      <c r="Q14" s="109">
        <f>IF(YEAR(Q$4)=BaseYear,'Input|Reported opex'!Q15,0)</f>
        <v>0</v>
      </c>
      <c r="R14" s="109">
        <f>IF(YEAR(R$4)=BaseYear,'Input|Reported opex'!R15,0)</f>
        <v>0</v>
      </c>
      <c r="S14" s="109">
        <f>IF(YEAR(S$4)=BaseYear,'Input|Reported opex'!S15,0)</f>
        <v>0</v>
      </c>
      <c r="T14" s="109"/>
    </row>
    <row r="15" spans="1:48" outlineLevel="1">
      <c r="C15" s="111" t="s">
        <v>158</v>
      </c>
      <c r="D15" s="110" t="s">
        <v>30</v>
      </c>
      <c r="E15" s="30" t="str">
        <f>$E$8</f>
        <v>$millions</v>
      </c>
      <c r="F15" s="158">
        <f>$F$8</f>
        <v>44348</v>
      </c>
      <c r="J15" s="109">
        <f>J14*IF($F14="nominal",LOOKUP($F15,Nominal_to_Real,'Input|Rate of change'!K$26:K$32),INDEX('Input|Rate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K15" s="109">
        <f>K14*IF($F14="nominal",LOOKUP($F15,Nominal_to_Real,'Input|Rate of change'!L$26:L$32),INDEX('Input|Rate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L15" s="109">
        <f>L14*IF($F14="nominal",LOOKUP($F15,Nominal_to_Real,'Input|Rate of change'!M$26:M$32),INDEX('Input|Rate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M15" s="109">
        <f>M14*IF($F14="nominal",LOOKUP($F15,Nominal_to_Real,'Input|Rate of change'!N$26:N$32),INDEX('Input|Rate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267.11084947106474</v>
      </c>
      <c r="N15" s="109">
        <f>N14*IF($F14="nominal",LOOKUP($F15,Nominal_to_Real,'Input|Rate of change'!O$26:O$32),INDEX('Input|Rate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O15" s="109">
        <f>O14*IF($F14="nominal",LOOKUP($F15,Nominal_to_Real,'Input|Rate of change'!P$26:P$32),INDEX('Input|Rate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P15" s="109">
        <f>P14*IF($F14="nominal",LOOKUP($F15,Nominal_to_Real,'Input|Rate of change'!Q$26:Q$32),INDEX('Input|Rate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Q15" s="109">
        <f>Q14*IF($F14="nominal",LOOKUP($F15,Nominal_to_Real,'Input|Rate of change'!R$26:R$32),INDEX('Input|Rate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R15" s="109">
        <f>R14*IF($F14="nominal",LOOKUP($F15,Nominal_to_Real,'Input|Rate of change'!S$26:S$32),INDEX('Input|Rate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S15" s="109">
        <f>S14*IF($F14="nominal",LOOKUP($F15,Nominal_to_Real,'Input|Rate of change'!T$26:T$32),INDEX('Input|Rate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T15" s="109"/>
    </row>
    <row r="16" spans="1:48" outlineLevel="1">
      <c r="C16" s="111" t="s">
        <v>197</v>
      </c>
      <c r="D16" s="108" t="s">
        <v>91</v>
      </c>
      <c r="E16" s="30" t="str">
        <f>'Input|Reported opex'!E38</f>
        <v>$millions</v>
      </c>
      <c r="F16" s="158">
        <f>'Input|Reported opex'!F38</f>
        <v>44166</v>
      </c>
      <c r="J16" s="109">
        <f>'Input|Reported opex'!J38</f>
        <v>0</v>
      </c>
      <c r="K16" s="109">
        <f>'Input|Reported opex'!K38</f>
        <v>0</v>
      </c>
      <c r="L16" s="109">
        <f>'Input|Reported opex'!L38</f>
        <v>0</v>
      </c>
      <c r="M16" s="109">
        <f>'Input|Reported opex'!M38</f>
        <v>0</v>
      </c>
      <c r="N16" s="109">
        <f>'Input|Reported opex'!N38</f>
        <v>0</v>
      </c>
      <c r="O16" s="109">
        <f>'Input|Reported opex'!O38</f>
        <v>138.73097438447596</v>
      </c>
      <c r="P16" s="109">
        <f>'Input|Reported opex'!P38</f>
        <v>0</v>
      </c>
      <c r="Q16" s="109">
        <f>'Input|Reported opex'!Q38</f>
        <v>0</v>
      </c>
      <c r="R16" s="109">
        <f>'Input|Reported opex'!R38</f>
        <v>0</v>
      </c>
      <c r="S16" s="109">
        <f>'Input|Reported opex'!S38</f>
        <v>0</v>
      </c>
      <c r="T16" s="109">
        <f>'Input|Reported opex'!T38</f>
        <v>0</v>
      </c>
    </row>
    <row r="17" spans="3:20" outlineLevel="1">
      <c r="C17" s="111" t="s">
        <v>197</v>
      </c>
      <c r="D17" s="110" t="s">
        <v>30</v>
      </c>
      <c r="E17" s="30" t="str">
        <f>$E$8</f>
        <v>$millions</v>
      </c>
      <c r="F17" s="158">
        <f>$F$8</f>
        <v>44348</v>
      </c>
      <c r="J17" s="109">
        <f>J16*IF($F16="nominal",LOOKUP($F17,Nominal_to_Real,'Input|Rate of change'!K$26:K$32),INDEX('Input|Rate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K17" s="109">
        <f>K16*IF($F16="nominal",LOOKUP($F17,Nominal_to_Real,'Input|Rate of change'!L$26:L$32),INDEX('Input|Rate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L17" s="109">
        <f>L16*IF($F16="nominal",LOOKUP($F17,Nominal_to_Real,'Input|Rate of change'!M$26:M$32),INDEX('Input|Rate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M17" s="109">
        <f>M16*IF($F16="nominal",LOOKUP($F17,Nominal_to_Real,'Input|Rate of change'!N$26:N$32),INDEX('Input|Rate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N17" s="109">
        <f>N16*IF($F16="nominal",LOOKUP($F17,Nominal_to_Real,'Input|Rate of change'!O$26:O$32),INDEX('Input|Rate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O17" s="109">
        <f>O16*IF($F16="nominal",LOOKUP($F17,Nominal_to_Real,'Input|Rate of change'!P$26:P$32),INDEX('Input|Rate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138.94263337941456</v>
      </c>
      <c r="P17" s="109">
        <f>P16*IF($F16="nominal",LOOKUP($F17,Nominal_to_Real,'Input|Rate of change'!Q$26:Q$32),INDEX('Input|Rate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Q17" s="109">
        <f>Q16*IF($F16="nominal",LOOKUP($F17,Nominal_to_Real,'Input|Rate of change'!R$26:R$32),INDEX('Input|Rate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R17" s="109">
        <f>R16*IF($F16="nominal",LOOKUP($F17,Nominal_to_Real,'Input|Rate of change'!S$26:S$32),INDEX('Input|Rate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S17" s="109">
        <f>S16*IF($F16="nominal",LOOKUP($F17,Nominal_to_Real,'Input|Rate of change'!T$26:T$32),INDEX('Input|Rate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T17" s="109">
        <f>T16*IF($F16="nominal",LOOKUP($F17,Nominal_to_Real,'Input|Rate of change'!U$26:U$32),INDEX('Input|Rate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</row>
    <row r="18" spans="3:20" outlineLevel="1">
      <c r="C18" s="111" t="s">
        <v>198</v>
      </c>
      <c r="D18" s="110" t="s">
        <v>30</v>
      </c>
      <c r="E18" s="30" t="str">
        <f>$E$8</f>
        <v>$millions</v>
      </c>
      <c r="F18" s="158">
        <f>$F$8</f>
        <v>44348</v>
      </c>
      <c r="J18" s="109">
        <f>J17*2</f>
        <v>0</v>
      </c>
      <c r="K18" s="109">
        <f t="shared" ref="K18:T18" si="1">K17*2</f>
        <v>0</v>
      </c>
      <c r="L18" s="109">
        <f t="shared" si="1"/>
        <v>0</v>
      </c>
      <c r="M18" s="109">
        <f t="shared" si="1"/>
        <v>0</v>
      </c>
      <c r="N18" s="109">
        <f t="shared" si="1"/>
        <v>0</v>
      </c>
      <c r="O18" s="109">
        <f t="shared" si="1"/>
        <v>277.88526675882912</v>
      </c>
      <c r="P18" s="109">
        <f t="shared" si="1"/>
        <v>0</v>
      </c>
      <c r="Q18" s="109">
        <f t="shared" si="1"/>
        <v>0</v>
      </c>
      <c r="R18" s="109">
        <f t="shared" si="1"/>
        <v>0</v>
      </c>
      <c r="S18" s="109">
        <f t="shared" si="1"/>
        <v>0</v>
      </c>
      <c r="T18" s="109">
        <f t="shared" si="1"/>
        <v>0</v>
      </c>
    </row>
    <row r="19" spans="3:20" outlineLevel="1">
      <c r="C19" s="111"/>
      <c r="D19" s="110"/>
      <c r="F19" s="158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</row>
    <row r="20" spans="3:20" outlineLevel="1">
      <c r="C20" s="106" t="s">
        <v>159</v>
      </c>
      <c r="D20" s="108" t="s">
        <v>91</v>
      </c>
      <c r="E20" s="30" t="str">
        <f>'Input|Reported opex'!E89</f>
        <v>$millions</v>
      </c>
      <c r="F20" s="158" t="str">
        <f>'Input|Reported opex'!F79</f>
        <v>nominal</v>
      </c>
      <c r="J20" s="109">
        <f>IF(YEAR(J$4)=BaseYear,'Input|Reported opex'!J79,0)</f>
        <v>0</v>
      </c>
      <c r="K20" s="109">
        <f>IF(YEAR(K$4)=BaseYear,'Input|Reported opex'!K79,0)</f>
        <v>0</v>
      </c>
      <c r="L20" s="109">
        <f>IF(YEAR(L$4)=BaseYear,'Input|Reported opex'!L79,0)</f>
        <v>0</v>
      </c>
      <c r="M20" s="109">
        <f>IF(YEAR(M$4)=BaseYear,'Input|Reported opex'!M79,0)</f>
        <v>1.412155</v>
      </c>
      <c r="N20" s="109">
        <f>IF(YEAR(N$4)=BaseYear,'Input|Reported opex'!N79,0)</f>
        <v>0</v>
      </c>
      <c r="O20" s="109">
        <f>IF(YEAR(O$4)=BaseYear,'Input|Reported opex'!O79,0)</f>
        <v>0</v>
      </c>
      <c r="P20" s="109">
        <f>IF(YEAR(P$4)=BaseYear,'Input|Reported opex'!P79,0)</f>
        <v>0</v>
      </c>
      <c r="Q20" s="109">
        <f>IF(YEAR(Q$4)=BaseYear,'Input|Reported opex'!Q79,0)</f>
        <v>0</v>
      </c>
      <c r="R20" s="109">
        <f>IF(YEAR(R$4)=BaseYear,'Input|Reported opex'!R79,0)</f>
        <v>0</v>
      </c>
      <c r="S20" s="109">
        <f>IF(YEAR(S$4)=BaseYear,'Input|Reported opex'!S79,0)</f>
        <v>0</v>
      </c>
      <c r="T20" s="109"/>
    </row>
    <row r="21" spans="3:20" outlineLevel="1">
      <c r="C21" s="106" t="s">
        <v>159</v>
      </c>
      <c r="D21" s="110" t="s">
        <v>30</v>
      </c>
      <c r="E21" s="30" t="str">
        <f>$E$8</f>
        <v>$millions</v>
      </c>
      <c r="F21" s="158">
        <f>$F$8</f>
        <v>44348</v>
      </c>
      <c r="J21" s="109">
        <f>J20*IF($F20="nominal",LOOKUP($F21,Nominal_to_Real,'Input|Rate of change'!K$26:K$32),INDEX('Input|Rate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K21" s="109">
        <f>K20*IF($F20="nominal",LOOKUP($F21,Nominal_to_Real,'Input|Rate of change'!L$26:L$32),INDEX('Input|Rate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L21" s="109">
        <f>L20*IF($F20="nominal",LOOKUP($F21,Nominal_to_Real,'Input|Rate of change'!M$26:M$32),INDEX('Input|Rate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M21" s="109">
        <f>M20*IF($F20="nominal",LOOKUP($F21,Nominal_to_Real,'Input|Rate of change'!N$26:N$32),INDEX('Input|Rate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1.4451060891435208</v>
      </c>
      <c r="N21" s="109">
        <f>N20*IF($F20="nominal",LOOKUP($F21,Nominal_to_Real,'Input|Rate of change'!O$26:O$32),INDEX('Input|Rate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O21" s="109">
        <f>O20*IF($F20="nominal",LOOKUP($F21,Nominal_to_Real,'Input|Rate of change'!P$26:P$32),INDEX('Input|Rate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P21" s="109">
        <f>P20*IF($F20="nominal",LOOKUP($F21,Nominal_to_Real,'Input|Rate of change'!Q$26:Q$32),INDEX('Input|Rate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Q21" s="109">
        <f>Q20*IF($F20="nominal",LOOKUP($F21,Nominal_to_Real,'Input|Rate of change'!R$26:R$32),INDEX('Input|Rate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R21" s="109">
        <f>R20*IF($F20="nominal",LOOKUP($F21,Nominal_to_Real,'Input|Rate of change'!S$26:S$32),INDEX('Input|Rate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S21" s="109">
        <f>S20*IF($F20="nominal",LOOKUP($F21,Nominal_to_Real,'Input|Rate of change'!T$26:T$32),INDEX('Input|Rate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T21" s="109"/>
    </row>
    <row r="22" spans="3:20" outlineLevel="1">
      <c r="C22" s="111" t="s">
        <v>160</v>
      </c>
      <c r="D22" s="108" t="s">
        <v>91</v>
      </c>
      <c r="E22" s="30" t="str">
        <f>'Input|Reported opex'!E22</f>
        <v>$millions</v>
      </c>
      <c r="F22" s="158">
        <f>'Input|Reported opex'!F29</f>
        <v>42339</v>
      </c>
      <c r="J22" s="109">
        <f>IF(YEAR(J$4)=BaseYear,'Input|Reported opex'!J29,0)</f>
        <v>0</v>
      </c>
      <c r="K22" s="109">
        <f>IF(YEAR(K$4)=BaseYear,'Input|Reported opex'!K29,0)</f>
        <v>0</v>
      </c>
      <c r="L22" s="109">
        <f>IF(YEAR(L$4)=BaseYear,'Input|Reported opex'!L29,0)</f>
        <v>0</v>
      </c>
      <c r="M22" s="109">
        <f>IF(YEAR(M$4)=BaseYear,'Input|Reported opex'!M29,0)</f>
        <v>5.0708529973098155</v>
      </c>
      <c r="N22" s="109">
        <f>IF(YEAR(N$4)=BaseYear,'Input|Reported opex'!N29,0)</f>
        <v>0</v>
      </c>
      <c r="O22" s="109">
        <f>IF(YEAR(O$4)=BaseYear,'Input|Reported opex'!O29,0)</f>
        <v>0</v>
      </c>
      <c r="P22" s="109">
        <f>IF(YEAR(P$4)=BaseYear,'Input|Reported opex'!P29,0)</f>
        <v>0</v>
      </c>
      <c r="Q22" s="109">
        <f>IF(YEAR(Q$4)=BaseYear,'Input|Reported opex'!Q29,0)</f>
        <v>0</v>
      </c>
      <c r="R22" s="109">
        <f>IF(YEAR(R$4)=BaseYear,'Input|Reported opex'!R29,0)</f>
        <v>0</v>
      </c>
      <c r="S22" s="109">
        <f>IF(YEAR(S$4)=BaseYear,'Input|Reported opex'!S29,0)</f>
        <v>0</v>
      </c>
      <c r="T22" s="109"/>
    </row>
    <row r="23" spans="3:20" outlineLevel="1">
      <c r="C23" s="111" t="s">
        <v>160</v>
      </c>
      <c r="D23" s="110" t="s">
        <v>30</v>
      </c>
      <c r="E23" s="30" t="str">
        <f>$E$8</f>
        <v>$millions</v>
      </c>
      <c r="F23" s="158">
        <f>$F$8</f>
        <v>44348</v>
      </c>
      <c r="J23" s="109">
        <f>J22*IF($F22="nominal",LOOKUP($F23,Nominal_to_Real,'Input|Rate of change'!K$26:K$32),INDEX('Input|Rate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K23" s="109">
        <f>K22*IF($F22="nominal",LOOKUP($F23,Nominal_to_Real,'Input|Rate of change'!L$26:L$32),INDEX('Input|Rate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L23" s="109">
        <f>L22*IF($F22="nominal",LOOKUP($F23,Nominal_to_Real,'Input|Rate of change'!M$26:M$32),INDEX('Input|Rate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M23" s="109">
        <f>M22*IF($F22="nominal",LOOKUP($F23,Nominal_to_Real,'Input|Rate of change'!N$26:N$32),INDEX('Input|Rate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5.5120733429797992</v>
      </c>
      <c r="N23" s="109">
        <f>N22*IF($F22="nominal",LOOKUP($F23,Nominal_to_Real,'Input|Rate of change'!O$26:O$32),INDEX('Input|Rate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O23" s="109">
        <f>O22*IF($F22="nominal",LOOKUP($F23,Nominal_to_Real,'Input|Rate of change'!P$26:P$32),INDEX('Input|Rate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P23" s="109">
        <f>P22*IF($F22="nominal",LOOKUP($F23,Nominal_to_Real,'Input|Rate of change'!Q$26:Q$32),INDEX('Input|Rate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Q23" s="109">
        <f>Q22*IF($F22="nominal",LOOKUP($F23,Nominal_to_Real,'Input|Rate of change'!R$26:R$32),INDEX('Input|Rate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R23" s="109">
        <f>R22*IF($F22="nominal",LOOKUP($F23,Nominal_to_Real,'Input|Rate of change'!S$26:S$32),INDEX('Input|Rate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S23" s="109">
        <f>S22*IF($F22="nominal",LOOKUP($F23,Nominal_to_Real,'Input|Rate of change'!T$26:T$32),INDEX('Input|Rate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T23" s="109"/>
    </row>
    <row r="24" spans="3:20" outlineLevel="1">
      <c r="C24" s="111" t="s">
        <v>201</v>
      </c>
      <c r="D24" s="108" t="s">
        <v>91</v>
      </c>
      <c r="E24" s="30" t="str">
        <f>'Input|Reported opex'!E52</f>
        <v>$millions</v>
      </c>
      <c r="F24" s="158">
        <f>'Input|Reported opex'!F52</f>
        <v>44166</v>
      </c>
      <c r="J24" s="109">
        <f>IF(YEAR(J$4)=InterveningPeriod,'Input|Reported opex'!J52,0)</f>
        <v>0</v>
      </c>
      <c r="K24" s="109">
        <f>IF(YEAR(K$4)=InterveningPeriod,'Input|Reported opex'!K52,0)</f>
        <v>0</v>
      </c>
      <c r="L24" s="109">
        <f>IF(YEAR(L$4)=InterveningPeriod,'Input|Reported opex'!L52,0)</f>
        <v>0</v>
      </c>
      <c r="M24" s="109">
        <f>IF(YEAR(M$4)=InterveningPeriod,'Input|Reported opex'!M52,0)</f>
        <v>0</v>
      </c>
      <c r="N24" s="109">
        <f>IF(YEAR(N$4)=InterveningPeriod,'Input|Reported opex'!N52,0)</f>
        <v>0</v>
      </c>
      <c r="O24" s="109">
        <f>IF(YEAR(O$4)=InterveningPeriod,'Input|Reported opex'!O52,0)</f>
        <v>2.7678807058130199</v>
      </c>
      <c r="P24" s="109">
        <f>IF(YEAR(P$4)=InterveningPeriod,'Input|Reported opex'!P52,0)</f>
        <v>0</v>
      </c>
      <c r="Q24" s="109">
        <f>IF(YEAR(Q$4)=InterveningPeriod,'Input|Reported opex'!Q52,0)</f>
        <v>0</v>
      </c>
      <c r="R24" s="109">
        <f>IF(YEAR(R$4)=InterveningPeriod,'Input|Reported opex'!R52,0)</f>
        <v>0</v>
      </c>
      <c r="S24" s="109">
        <f>IF(YEAR(S$4)=InterveningPeriod,'Input|Reported opex'!S52,0)</f>
        <v>0</v>
      </c>
      <c r="T24" s="109">
        <f>IF(YEAR(T$4)=InterveningPeriod,'Input|Reported opex'!T52,0)</f>
        <v>0</v>
      </c>
    </row>
    <row r="25" spans="3:20" outlineLevel="1">
      <c r="C25" s="111" t="s">
        <v>201</v>
      </c>
      <c r="D25" s="110" t="s">
        <v>30</v>
      </c>
      <c r="E25" s="30" t="str">
        <f>$E$8</f>
        <v>$millions</v>
      </c>
      <c r="F25" s="158">
        <f>$F$8</f>
        <v>44348</v>
      </c>
      <c r="J25" s="109">
        <f>J24*IF($F24="nominal",LOOKUP($F25,Nominal_to_Real,'Input|Rate of change'!K$26:K$32),INDEX('Input|Rate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K25" s="109">
        <f>K24*IF($F24="nominal",LOOKUP($F25,Nominal_to_Real,'Input|Rate of change'!L$26:L$32),INDEX('Input|Rate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L25" s="109">
        <f>L24*IF($F24="nominal",LOOKUP($F25,Nominal_to_Real,'Input|Rate of change'!M$26:M$32),INDEX('Input|Rate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M25" s="109">
        <f>M24*IF($F24="nominal",LOOKUP($F25,Nominal_to_Real,'Input|Rate of change'!N$26:N$32),INDEX('Input|Rate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N25" s="109">
        <f>N24*IF($F24="nominal",LOOKUP($F25,Nominal_to_Real,'Input|Rate of change'!O$26:O$32),INDEX('Input|Rate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O25" s="109">
        <f>O24*IF($F24="nominal",LOOKUP($F25,Nominal_to_Real,'Input|Rate of change'!P$26:P$32),INDEX('Input|Rate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2.7721036044908502</v>
      </c>
      <c r="P25" s="109">
        <f>P24*IF($F24="nominal",LOOKUP($F25,Nominal_to_Real,'Input|Rate of change'!Q$26:Q$32),INDEX('Input|Rate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Q25" s="109">
        <f>Q24*IF($F24="nominal",LOOKUP($F25,Nominal_to_Real,'Input|Rate of change'!R$26:R$32),INDEX('Input|Rate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R25" s="109">
        <f>R24*IF($F24="nominal",LOOKUP($F25,Nominal_to_Real,'Input|Rate of change'!S$26:S$32),INDEX('Input|Rate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S25" s="109">
        <f>S24*IF($F24="nominal",LOOKUP($F25,Nominal_to_Real,'Input|Rate of change'!T$26:T$32),INDEX('Input|Rate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T25" s="109">
        <f>T24*IF($F24="nominal",LOOKUP($F25,Nominal_to_Real,'Input|Rate of change'!U$26:U$32),INDEX('Input|Rate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</row>
    <row r="26" spans="3:20" outlineLevel="1">
      <c r="C26" s="111" t="s">
        <v>202</v>
      </c>
      <c r="D26" s="110" t="s">
        <v>30</v>
      </c>
      <c r="E26" s="30" t="str">
        <f>$E$8</f>
        <v>$millions</v>
      </c>
      <c r="F26" s="158">
        <f>$F$8</f>
        <v>44348</v>
      </c>
      <c r="J26" s="109">
        <f>J25*2</f>
        <v>0</v>
      </c>
      <c r="K26" s="109">
        <f t="shared" ref="K26:T26" si="2">K25*2</f>
        <v>0</v>
      </c>
      <c r="L26" s="109">
        <f t="shared" si="2"/>
        <v>0</v>
      </c>
      <c r="M26" s="109">
        <f t="shared" si="2"/>
        <v>0</v>
      </c>
      <c r="N26" s="109">
        <f t="shared" si="2"/>
        <v>0</v>
      </c>
      <c r="O26" s="109">
        <f t="shared" si="2"/>
        <v>5.5442072089817005</v>
      </c>
      <c r="P26" s="109">
        <f t="shared" si="2"/>
        <v>0</v>
      </c>
      <c r="Q26" s="109">
        <f t="shared" si="2"/>
        <v>0</v>
      </c>
      <c r="R26" s="109">
        <f t="shared" si="2"/>
        <v>0</v>
      </c>
      <c r="S26" s="109">
        <f t="shared" si="2"/>
        <v>0</v>
      </c>
      <c r="T26" s="109">
        <f t="shared" si="2"/>
        <v>0</v>
      </c>
    </row>
    <row r="27" spans="3:20" outlineLevel="1">
      <c r="C27" s="111"/>
      <c r="F27" s="112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</row>
    <row r="28" spans="3:20" outlineLevel="1">
      <c r="C28" s="113" t="s">
        <v>134</v>
      </c>
      <c r="D28" s="114" t="s">
        <v>30</v>
      </c>
      <c r="E28" s="114" t="str">
        <f>$E$8</f>
        <v>$millions</v>
      </c>
      <c r="F28" s="158">
        <f>$F$8</f>
        <v>44348</v>
      </c>
      <c r="J28" s="115">
        <f t="shared" ref="J28:S28" si="3">J13</f>
        <v>0</v>
      </c>
      <c r="K28" s="115">
        <f t="shared" si="3"/>
        <v>0</v>
      </c>
      <c r="L28" s="115">
        <f t="shared" si="3"/>
        <v>0</v>
      </c>
      <c r="M28" s="115">
        <f t="shared" si="3"/>
        <v>241.06595549428499</v>
      </c>
      <c r="N28" s="115">
        <f t="shared" si="3"/>
        <v>0</v>
      </c>
      <c r="O28" s="115">
        <f t="shared" si="3"/>
        <v>0</v>
      </c>
      <c r="P28" s="115">
        <f t="shared" si="3"/>
        <v>0</v>
      </c>
      <c r="Q28" s="115">
        <f t="shared" si="3"/>
        <v>0</v>
      </c>
      <c r="R28" s="115">
        <f t="shared" si="3"/>
        <v>0</v>
      </c>
      <c r="S28" s="115">
        <f t="shared" si="3"/>
        <v>0</v>
      </c>
      <c r="T28" s="115"/>
    </row>
    <row r="29" spans="3:20" outlineLevel="1">
      <c r="C29" s="123"/>
      <c r="D29" s="110"/>
      <c r="E29" s="110"/>
      <c r="F29" s="158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</row>
    <row r="30" spans="3:20" outlineLevel="1">
      <c r="C30" s="123" t="s">
        <v>155</v>
      </c>
      <c r="D30" s="108" t="s">
        <v>91</v>
      </c>
      <c r="E30" s="110" t="str">
        <f>'Input|Reported opex'!E94</f>
        <v>$millions</v>
      </c>
      <c r="F30" s="158">
        <f>'Input|Reported opex'!F94</f>
        <v>44348</v>
      </c>
      <c r="J30" s="115">
        <f>IF('Input|Reported opex'!J$83=J$10,'Input|Reported opex'!J94,0)</f>
        <v>0</v>
      </c>
      <c r="K30" s="115">
        <f>IF('Input|Reported opex'!K$83=K$10,'Input|Reported opex'!K94,0)</f>
        <v>0</v>
      </c>
      <c r="L30" s="115">
        <f>IF('Input|Reported opex'!L$83=L$10,'Input|Reported opex'!L94,0)</f>
        <v>0</v>
      </c>
      <c r="M30" s="115">
        <f>IF('Input|Reported opex'!M$83=M$10,'Input|Reported opex'!M94,0)</f>
        <v>0</v>
      </c>
      <c r="N30" s="115">
        <f>IF('Input|Reported opex'!N$83=N$10,'Input|Reported opex'!N94,0)</f>
        <v>0</v>
      </c>
      <c r="O30" s="115">
        <f>IF('Input|Reported opex'!O$83=O$10,'Input|Reported opex'!O94,0)</f>
        <v>0</v>
      </c>
      <c r="P30" s="115">
        <f>IF('Input|Reported opex'!P$83=P$10,'Input|Reported opex'!P94,0)</f>
        <v>0</v>
      </c>
      <c r="Q30" s="115">
        <f>IF('Input|Reported opex'!Q$83=Q$10,'Input|Reported opex'!Q94,0)</f>
        <v>0</v>
      </c>
      <c r="R30" s="115">
        <f>IF('Input|Reported opex'!R$83=R$10,'Input|Reported opex'!R94,0)</f>
        <v>0</v>
      </c>
      <c r="S30" s="115">
        <f>IF('Input|Reported opex'!S$83=S$10,'Input|Reported opex'!S94,0)</f>
        <v>0</v>
      </c>
      <c r="T30" s="115">
        <f>IF('Input|Reported opex'!T$83=T$10,'Input|Reported opex'!T94,0)</f>
        <v>0</v>
      </c>
    </row>
    <row r="31" spans="3:20" outlineLevel="1">
      <c r="C31" s="123" t="str">
        <f>C30</f>
        <v>Add back non-recurrent efficiency gains in the base year</v>
      </c>
      <c r="D31" s="110" t="s">
        <v>30</v>
      </c>
      <c r="E31" s="110" t="str">
        <f>$E$8</f>
        <v>$millions</v>
      </c>
      <c r="F31" s="158">
        <f>$F$8</f>
        <v>44348</v>
      </c>
      <c r="J31" s="109">
        <f>J30*IF($F30="nominal",LOOKUP($F31,Nominal_to_Real,'Input|Rate of change'!K$26:K$32),INDEX('Input|Rate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K31" s="109">
        <f>K30*IF($F30="nominal",LOOKUP($F31,Nominal_to_Real,'Input|Rate of change'!L$26:L$32),INDEX('Input|Rate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L31" s="109">
        <f>L30*IF($F30="nominal",LOOKUP($F31,Nominal_to_Real,'Input|Rate of change'!M$26:M$32),INDEX('Input|Rate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M31" s="109">
        <f>M30*IF($F30="nominal",LOOKUP($F31,Nominal_to_Real,'Input|Rate of change'!N$26:N$32),INDEX('Input|Rate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N31" s="109">
        <f>N30*IF($F30="nominal",LOOKUP($F31,Nominal_to_Real,'Input|Rate of change'!O$26:O$32),INDEX('Input|Rate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O31" s="109">
        <f>O30*IF($F30="nominal",LOOKUP($F31,Nominal_to_Real,'Input|Rate of change'!P$26:P$32),INDEX('Input|Rate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P31" s="109">
        <f>P30*IF($F30="nominal",LOOKUP($F31,Nominal_to_Real,'Input|Rate of change'!Q$26:Q$32),INDEX('Input|Rate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Q31" s="109">
        <f>Q30*IF($F30="nominal",LOOKUP($F31,Nominal_to_Real,'Input|Rate of change'!R$26:R$32),INDEX('Input|Rate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R31" s="109">
        <f>R30*IF($F30="nominal",LOOKUP($F31,Nominal_to_Real,'Input|Rate of change'!S$26:S$32),INDEX('Input|Rate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S31" s="109">
        <f>S30*IF($F30="nominal",LOOKUP($F31,Nominal_to_Real,'Input|Rate of change'!T$26:T$32),INDEX('Input|Rate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T31" s="115"/>
    </row>
    <row r="32" spans="3:20" outlineLevel="1">
      <c r="C32" s="123"/>
      <c r="D32" s="110"/>
      <c r="E32" s="110"/>
      <c r="F32" s="158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</row>
    <row r="33" spans="3:20" outlineLevel="1">
      <c r="C33" s="123" t="s">
        <v>153</v>
      </c>
      <c r="D33" s="110" t="s">
        <v>30</v>
      </c>
      <c r="E33" s="110" t="str">
        <f>$E$8</f>
        <v>$millions</v>
      </c>
      <c r="F33" s="158">
        <f>$F$8</f>
        <v>44348</v>
      </c>
      <c r="G33" s="110"/>
      <c r="H33" s="110"/>
      <c r="I33" s="110"/>
      <c r="J33" s="175">
        <f t="shared" ref="J33:T33" si="4">IF(YEAR(J$4)=InterveningPeriod,-SUM($J15:$S15)+SUM($J18:$S18),0)</f>
        <v>0</v>
      </c>
      <c r="K33" s="175">
        <f t="shared" si="4"/>
        <v>0</v>
      </c>
      <c r="L33" s="175">
        <f t="shared" si="4"/>
        <v>0</v>
      </c>
      <c r="M33" s="175">
        <f t="shared" si="4"/>
        <v>0</v>
      </c>
      <c r="N33" s="175">
        <f t="shared" si="4"/>
        <v>0</v>
      </c>
      <c r="O33" s="175">
        <f t="shared" si="4"/>
        <v>10.774417287764379</v>
      </c>
      <c r="P33" s="175">
        <f t="shared" si="4"/>
        <v>0</v>
      </c>
      <c r="Q33" s="175">
        <f t="shared" si="4"/>
        <v>0</v>
      </c>
      <c r="R33" s="175">
        <f t="shared" si="4"/>
        <v>0</v>
      </c>
      <c r="S33" s="175">
        <f t="shared" si="4"/>
        <v>0</v>
      </c>
      <c r="T33" s="175">
        <f t="shared" si="4"/>
        <v>0</v>
      </c>
    </row>
    <row r="34" spans="3:20" outlineLevel="1">
      <c r="C34" s="123"/>
      <c r="D34" s="110"/>
      <c r="E34" s="110"/>
      <c r="F34" s="158"/>
      <c r="G34" s="110"/>
      <c r="H34" s="110"/>
      <c r="I34" s="110"/>
      <c r="J34" s="175"/>
      <c r="K34" s="175"/>
      <c r="L34" s="175"/>
      <c r="M34" s="175"/>
      <c r="N34" s="175"/>
      <c r="O34" s="175"/>
      <c r="P34" s="175"/>
      <c r="Q34" s="175"/>
      <c r="R34" s="175"/>
      <c r="S34" s="175"/>
      <c r="T34" s="175"/>
    </row>
    <row r="35" spans="3:20" outlineLevel="1">
      <c r="C35" s="123" t="s">
        <v>104</v>
      </c>
      <c r="D35" s="110" t="s">
        <v>30</v>
      </c>
      <c r="E35" s="110" t="str">
        <f>$E$8</f>
        <v>$millions</v>
      </c>
      <c r="F35" s="158">
        <f>$F$8</f>
        <v>44348</v>
      </c>
      <c r="J35" s="175">
        <f t="shared" ref="J35:T35" si="5">IF(YEAR(J$4)=InterveningPeriod,SUM($J28:$S28,$J31:$S31,$J33:$S33),0)</f>
        <v>0</v>
      </c>
      <c r="K35" s="175">
        <f t="shared" si="5"/>
        <v>0</v>
      </c>
      <c r="L35" s="175">
        <f t="shared" si="5"/>
        <v>0</v>
      </c>
      <c r="M35" s="175">
        <f t="shared" si="5"/>
        <v>0</v>
      </c>
      <c r="N35" s="175">
        <f t="shared" si="5"/>
        <v>0</v>
      </c>
      <c r="O35" s="175">
        <f t="shared" si="5"/>
        <v>251.84037278204937</v>
      </c>
      <c r="P35" s="175">
        <f t="shared" si="5"/>
        <v>0</v>
      </c>
      <c r="Q35" s="175">
        <f t="shared" si="5"/>
        <v>0</v>
      </c>
      <c r="R35" s="175">
        <f t="shared" si="5"/>
        <v>0</v>
      </c>
      <c r="S35" s="175">
        <f t="shared" si="5"/>
        <v>0</v>
      </c>
      <c r="T35" s="175">
        <f t="shared" si="5"/>
        <v>0</v>
      </c>
    </row>
    <row r="36" spans="3:20" outlineLevel="1">
      <c r="C36" s="123"/>
      <c r="D36" s="110"/>
      <c r="E36" s="110"/>
      <c r="F36" s="158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5"/>
    </row>
    <row r="37" spans="3:20" outlineLevel="1">
      <c r="C37" s="123" t="s">
        <v>161</v>
      </c>
      <c r="D37" s="110" t="s">
        <v>30</v>
      </c>
      <c r="E37" s="110" t="str">
        <f>$E$8</f>
        <v>$millions</v>
      </c>
      <c r="F37" s="158">
        <f>$F$8</f>
        <v>44348</v>
      </c>
      <c r="J37" s="115">
        <f t="shared" ref="J37:T37" si="6">IF(YEAR(J$4)=InterveningPeriod,-(SUM($J21:$S21)-SUM($J23:$S23)+SUM($J26:$S26)),0)</f>
        <v>0</v>
      </c>
      <c r="K37" s="115">
        <f t="shared" si="6"/>
        <v>0</v>
      </c>
      <c r="L37" s="115">
        <f t="shared" si="6"/>
        <v>0</v>
      </c>
      <c r="M37" s="115">
        <f t="shared" si="6"/>
        <v>0</v>
      </c>
      <c r="N37" s="115">
        <f t="shared" si="6"/>
        <v>0</v>
      </c>
      <c r="O37" s="115">
        <f t="shared" si="6"/>
        <v>-1.4772399551454223</v>
      </c>
      <c r="P37" s="115">
        <f t="shared" si="6"/>
        <v>0</v>
      </c>
      <c r="Q37" s="115">
        <f t="shared" si="6"/>
        <v>0</v>
      </c>
      <c r="R37" s="115">
        <f t="shared" si="6"/>
        <v>0</v>
      </c>
      <c r="S37" s="115">
        <f t="shared" si="6"/>
        <v>0</v>
      </c>
      <c r="T37" s="115">
        <f t="shared" si="6"/>
        <v>0</v>
      </c>
    </row>
    <row r="38" spans="3:20" outlineLevel="1">
      <c r="C38" s="123"/>
      <c r="D38" s="110"/>
      <c r="E38" s="110"/>
      <c r="F38" s="158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</row>
    <row r="39" spans="3:20" outlineLevel="1">
      <c r="C39" s="123" t="str">
        <f>'Input|Reported opex'!$C$88</f>
        <v>Emergency recoverable works</v>
      </c>
      <c r="D39" s="108" t="s">
        <v>91</v>
      </c>
      <c r="E39" s="110" t="str">
        <f>'Input|Reported opex'!E88</f>
        <v>$millions</v>
      </c>
      <c r="F39" s="158">
        <f>'Input|Reported opex'!F88</f>
        <v>44348</v>
      </c>
      <c r="J39" s="109">
        <f>IF(YEAR(J$4)=InterveningPeriod,'Input|Reported opex'!J88,0)</f>
        <v>0</v>
      </c>
      <c r="K39" s="109">
        <f>IF(YEAR(K$4)=InterveningPeriod,'Input|Reported opex'!K88,0)</f>
        <v>0</v>
      </c>
      <c r="L39" s="109">
        <f>IF(YEAR(L$4)=InterveningPeriod,'Input|Reported opex'!L88,0)</f>
        <v>0</v>
      </c>
      <c r="M39" s="109">
        <f>IF(YEAR(M$4)=InterveningPeriod,'Input|Reported opex'!M88,0)</f>
        <v>0</v>
      </c>
      <c r="N39" s="109">
        <f>IF(YEAR(N$4)=InterveningPeriod,'Input|Reported opex'!N88,0)</f>
        <v>0</v>
      </c>
      <c r="O39" s="109">
        <f>IF(YEAR(O$4)=InterveningPeriod,'Input|Reported opex'!O88,0)</f>
        <v>0.24592608489294868</v>
      </c>
      <c r="P39" s="109">
        <f>IF(YEAR(P$4)=InterveningPeriod,'Input|Reported opex'!P88,0)</f>
        <v>0</v>
      </c>
      <c r="Q39" s="109">
        <f>IF(YEAR(Q$4)=InterveningPeriod,'Input|Reported opex'!Q88,0)</f>
        <v>0</v>
      </c>
      <c r="R39" s="109">
        <f>IF(YEAR(R$4)=InterveningPeriod,'Input|Reported opex'!R88,0)</f>
        <v>0</v>
      </c>
      <c r="S39" s="109">
        <f>IF(YEAR(S$4)=InterveningPeriod,'Input|Reported opex'!S88,0)</f>
        <v>0</v>
      </c>
      <c r="T39" s="109">
        <f>IF(YEAR(T$4)=InterveningPeriod,'Input|Reported opex'!T88,0)</f>
        <v>0</v>
      </c>
    </row>
    <row r="40" spans="3:20" outlineLevel="1">
      <c r="C40" s="123" t="str">
        <f>C39</f>
        <v>Emergency recoverable works</v>
      </c>
      <c r="D40" s="110" t="s">
        <v>30</v>
      </c>
      <c r="E40" s="30" t="str">
        <f>$E$8</f>
        <v>$millions</v>
      </c>
      <c r="F40" s="158">
        <f>$F$8</f>
        <v>44348</v>
      </c>
      <c r="J40" s="109">
        <f>J39*IF($F39="nominal",LOOKUP($F40,Nominal_to_Real,'Input|Rate of change'!K$26:K$32),INDEX('Input|Rate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K40" s="109">
        <f>K39*IF($F39="nominal",LOOKUP($F40,Nominal_to_Real,'Input|Rate of change'!L$26:L$32),INDEX('Input|Rate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L40" s="109">
        <f>L39*IF($F39="nominal",LOOKUP($F40,Nominal_to_Real,'Input|Rate of change'!M$26:M$32),INDEX('Input|Rate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M40" s="109">
        <f>M39*IF($F39="nominal",LOOKUP($F40,Nominal_to_Real,'Input|Rate of change'!N$26:N$32),INDEX('Input|Rate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N40" s="109">
        <f>N39*IF($F39="nominal",LOOKUP($F40,Nominal_to_Real,'Input|Rate of change'!O$26:O$32),INDEX('Input|Rate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O40" s="109">
        <f>O39*IF($F39="nominal",LOOKUP($F40,Nominal_to_Real,'Input|Rate of change'!P$26:P$32),INDEX('Input|Rate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0.24592608489294868</v>
      </c>
      <c r="P40" s="109">
        <f>P39*IF($F39="nominal",LOOKUP($F40,Nominal_to_Real,'Input|Rate of change'!Q$26:Q$32),INDEX('Input|Rate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Q40" s="109">
        <f>Q39*IF($F39="nominal",LOOKUP($F40,Nominal_to_Real,'Input|Rate of change'!R$26:R$32),INDEX('Input|Rate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R40" s="109">
        <f>R39*IF($F39="nominal",LOOKUP($F40,Nominal_to_Real,'Input|Rate of change'!S$26:S$32),INDEX('Input|Rate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S40" s="109">
        <f>S39*IF($F39="nominal",LOOKUP($F40,Nominal_to_Real,'Input|Rate of change'!T$26:T$32),INDEX('Input|Rate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T40" s="115"/>
    </row>
    <row r="41" spans="3:20" outlineLevel="1">
      <c r="C41" s="123"/>
      <c r="D41" s="110"/>
      <c r="F41" s="158"/>
      <c r="J41" s="115"/>
      <c r="K41" s="115"/>
      <c r="L41" s="115"/>
      <c r="M41" s="115"/>
      <c r="N41" s="115"/>
      <c r="O41" s="115"/>
      <c r="P41" s="115"/>
      <c r="Q41" s="115"/>
      <c r="R41" s="109"/>
      <c r="S41" s="109"/>
      <c r="T41" s="109"/>
    </row>
    <row r="42" spans="3:20" outlineLevel="1">
      <c r="C42" s="123" t="str">
        <f>'Input|Reported opex'!$C$89</f>
        <v>Communications network</v>
      </c>
      <c r="D42" s="108" t="s">
        <v>91</v>
      </c>
      <c r="E42" s="30" t="str">
        <f>'Input|Reported opex'!$E$89</f>
        <v>$millions</v>
      </c>
      <c r="F42" s="158">
        <f>'Input|Reported opex'!$F$89</f>
        <v>44348</v>
      </c>
      <c r="J42" s="109">
        <f>IF(YEAR(J$4)=InterveningPeriod,'Input|Reported opex'!J89,0)</f>
        <v>0</v>
      </c>
      <c r="K42" s="109">
        <f>IF(YEAR(K$4)=InterveningPeriod,'Input|Reported opex'!K89,0)</f>
        <v>0</v>
      </c>
      <c r="L42" s="109">
        <f>IF(YEAR(L$4)=InterveningPeriod,'Input|Reported opex'!L89,0)</f>
        <v>0</v>
      </c>
      <c r="M42" s="109">
        <f>IF(YEAR(M$4)=InterveningPeriod,'Input|Reported opex'!M89,0)</f>
        <v>0</v>
      </c>
      <c r="N42" s="109">
        <f>IF(YEAR(N$4)=InterveningPeriod,'Input|Reported opex'!N89,0)</f>
        <v>0</v>
      </c>
      <c r="O42" s="109">
        <f>IF(YEAR(O$4)=InterveningPeriod,'Input|Reported opex'!O89,0)</f>
        <v>1.2391264528198962</v>
      </c>
      <c r="P42" s="109">
        <f>IF(YEAR(P$4)=InterveningPeriod,'Input|Reported opex'!P89,0)</f>
        <v>0</v>
      </c>
      <c r="Q42" s="109">
        <f>IF(YEAR(Q$4)=InterveningPeriod,'Input|Reported opex'!Q89,0)</f>
        <v>0</v>
      </c>
      <c r="R42" s="109">
        <f>IF(YEAR(R$4)=InterveningPeriod,'Input|Reported opex'!R89,0)</f>
        <v>0</v>
      </c>
      <c r="S42" s="109">
        <f>IF(YEAR(S$4)=InterveningPeriod,'Input|Reported opex'!S89,0)</f>
        <v>0</v>
      </c>
      <c r="T42" s="109">
        <f>IF(YEAR(T$4)=InterveningPeriod,'Input|Reported opex'!T89,0)</f>
        <v>0</v>
      </c>
    </row>
    <row r="43" spans="3:20" outlineLevel="1">
      <c r="C43" s="123" t="str">
        <f>C42</f>
        <v>Communications network</v>
      </c>
      <c r="D43" s="110" t="s">
        <v>30</v>
      </c>
      <c r="E43" s="30" t="str">
        <f>$E$8</f>
        <v>$millions</v>
      </c>
      <c r="F43" s="158">
        <f>$F$8</f>
        <v>44348</v>
      </c>
      <c r="J43" s="109">
        <f>J42*IF($F42="nominal",LOOKUP($F43,Nominal_to_Real,'Input|Rate of change'!K$26:K$32),INDEX('Input|Rate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K43" s="109">
        <f>K42*IF($F42="nominal",LOOKUP($F43,Nominal_to_Real,'Input|Rate of change'!L$26:L$32),INDEX('Input|Rate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L43" s="109">
        <f>L42*IF($F42="nominal",LOOKUP($F43,Nominal_to_Real,'Input|Rate of change'!M$26:M$32),INDEX('Input|Rate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M43" s="109">
        <f>M42*IF($F42="nominal",LOOKUP($F43,Nominal_to_Real,'Input|Rate of change'!N$26:N$32),INDEX('Input|Rate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N43" s="109">
        <f>N42*IF($F42="nominal",LOOKUP($F43,Nominal_to_Real,'Input|Rate of change'!O$26:O$32),INDEX('Input|Rate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O43" s="109">
        <f>O42*IF($F42="nominal",LOOKUP($F43,Nominal_to_Real,'Input|Rate of change'!P$26:P$32),INDEX('Input|Rate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1.2391264528198962</v>
      </c>
      <c r="P43" s="109">
        <f>P42*IF($F42="nominal",LOOKUP($F43,Nominal_to_Real,'Input|Rate of change'!Q$26:Q$32),INDEX('Input|Rate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Q43" s="109">
        <f>Q42*IF($F42="nominal",LOOKUP($F43,Nominal_to_Real,'Input|Rate of change'!R$26:R$32),INDEX('Input|Rate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R43" s="109">
        <f>R42*IF($F42="nominal",LOOKUP($F43,Nominal_to_Real,'Input|Rate of change'!S$26:S$32),INDEX('Input|Rate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S43" s="109">
        <f>S42*IF($F42="nominal",LOOKUP($F43,Nominal_to_Real,'Input|Rate of change'!T$26:T$32),INDEX('Input|Rate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T43" s="109"/>
    </row>
    <row r="44" spans="3:20" outlineLevel="1">
      <c r="C44" s="123"/>
      <c r="D44" s="110"/>
      <c r="F44" s="158"/>
      <c r="J44" s="115"/>
      <c r="K44" s="115"/>
      <c r="L44" s="115"/>
      <c r="M44" s="115"/>
      <c r="N44" s="115"/>
      <c r="O44" s="115"/>
      <c r="P44" s="115"/>
      <c r="Q44" s="115"/>
      <c r="R44" s="109"/>
      <c r="S44" s="109"/>
      <c r="T44" s="109"/>
    </row>
    <row r="45" spans="3:20" outlineLevel="1">
      <c r="C45" s="123" t="str">
        <f>'Input|Reported opex'!$C$90</f>
        <v>Wasted truck visits</v>
      </c>
      <c r="D45" s="108" t="s">
        <v>91</v>
      </c>
      <c r="E45" s="30" t="str">
        <f>'Input|Reported opex'!$E$90</f>
        <v>$millions</v>
      </c>
      <c r="F45" s="158">
        <f>'Input|Reported opex'!$F$90</f>
        <v>44348</v>
      </c>
      <c r="J45" s="109">
        <f>IF(YEAR(J$4)=InterveningPeriod,'Input|Reported opex'!J90,0)</f>
        <v>0</v>
      </c>
      <c r="K45" s="109">
        <f>IF(YEAR(K$4)=InterveningPeriod,'Input|Reported opex'!K90,0)</f>
        <v>0</v>
      </c>
      <c r="L45" s="109">
        <f>IF(YEAR(L$4)=InterveningPeriod,'Input|Reported opex'!L90,0)</f>
        <v>0</v>
      </c>
      <c r="M45" s="109">
        <f>IF(YEAR(M$4)=InterveningPeriod,'Input|Reported opex'!M90,0)</f>
        <v>0</v>
      </c>
      <c r="N45" s="109">
        <f>IF(YEAR(N$4)=InterveningPeriod,'Input|Reported opex'!N90,0)</f>
        <v>0</v>
      </c>
      <c r="O45" s="109">
        <f>IF(YEAR(O$4)=InterveningPeriod,'Input|Reported opex'!O90,0)</f>
        <v>1.190045034053195</v>
      </c>
      <c r="P45" s="109">
        <f>IF(YEAR(P$4)=InterveningPeriod,'Input|Reported opex'!P90,0)</f>
        <v>0</v>
      </c>
      <c r="Q45" s="109">
        <f>IF(YEAR(Q$4)=InterveningPeriod,'Input|Reported opex'!Q90,0)</f>
        <v>0</v>
      </c>
      <c r="R45" s="109">
        <f>IF(YEAR(R$4)=InterveningPeriod,'Input|Reported opex'!R90,0)</f>
        <v>0</v>
      </c>
      <c r="S45" s="109">
        <f>IF(YEAR(S$4)=InterveningPeriod,'Input|Reported opex'!S90,0)</f>
        <v>0</v>
      </c>
      <c r="T45" s="109">
        <f>IF(YEAR(T$4)=InterveningPeriod,'Input|Reported opex'!T90,0)</f>
        <v>0</v>
      </c>
    </row>
    <row r="46" spans="3:20" outlineLevel="1">
      <c r="C46" s="123" t="str">
        <f>C45</f>
        <v>Wasted truck visits</v>
      </c>
      <c r="D46" s="110" t="s">
        <v>30</v>
      </c>
      <c r="E46" s="30" t="str">
        <f>$E$8</f>
        <v>$millions</v>
      </c>
      <c r="F46" s="158">
        <f>$F$8</f>
        <v>44348</v>
      </c>
      <c r="J46" s="109">
        <f>J45*IF($F45="nominal",LOOKUP($F46,Nominal_to_Real,'Input|Rate of change'!K$26:K$32),INDEX('Input|Rate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K46" s="109">
        <f>K45*IF($F45="nominal",LOOKUP($F46,Nominal_to_Real,'Input|Rate of change'!L$26:L$32),INDEX('Input|Rate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L46" s="109">
        <f>L45*IF($F45="nominal",LOOKUP($F46,Nominal_to_Real,'Input|Rate of change'!M$26:M$32),INDEX('Input|Rate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M46" s="109">
        <f>M45*IF($F45="nominal",LOOKUP($F46,Nominal_to_Real,'Input|Rate of change'!N$26:N$32),INDEX('Input|Rate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N46" s="109">
        <f>N45*IF($F45="nominal",LOOKUP($F46,Nominal_to_Real,'Input|Rate of change'!O$26:O$32),INDEX('Input|Rate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O46" s="109">
        <f>O45*IF($F45="nominal",LOOKUP($F46,Nominal_to_Real,'Input|Rate of change'!P$26:P$32),INDEX('Input|Rate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1.190045034053195</v>
      </c>
      <c r="P46" s="109">
        <f>P45*IF($F45="nominal",LOOKUP($F46,Nominal_to_Real,'Input|Rate of change'!Q$26:Q$32),INDEX('Input|Rate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Q46" s="109">
        <f>Q45*IF($F45="nominal",LOOKUP($F46,Nominal_to_Real,'Input|Rate of change'!R$26:R$32),INDEX('Input|Rate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R46" s="109">
        <f>R45*IF($F45="nominal",LOOKUP($F46,Nominal_to_Real,'Input|Rate of change'!S$26:S$32),INDEX('Input|Rate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S46" s="109">
        <f>S45*IF($F45="nominal",LOOKUP($F46,Nominal_to_Real,'Input|Rate of change'!T$26:T$32),INDEX('Input|Rate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T46" s="115"/>
    </row>
    <row r="47" spans="3:20" outlineLevel="1">
      <c r="C47" s="123"/>
      <c r="D47" s="110"/>
      <c r="F47" s="158"/>
      <c r="J47" s="115"/>
      <c r="K47" s="115"/>
      <c r="L47" s="115"/>
      <c r="M47" s="115"/>
      <c r="N47" s="115"/>
      <c r="O47" s="115"/>
      <c r="P47" s="115"/>
      <c r="Q47" s="115"/>
      <c r="R47" s="109"/>
      <c r="S47" s="109"/>
      <c r="T47" s="109"/>
    </row>
    <row r="48" spans="3:20" outlineLevel="1">
      <c r="C48" s="123" t="str">
        <f>'Input|Reported opex'!$C$91</f>
        <v>Replacement expenditure on faults and minor repairs</v>
      </c>
      <c r="D48" s="108" t="s">
        <v>91</v>
      </c>
      <c r="E48" s="30" t="str">
        <f>'Input|Reported opex'!$E$91</f>
        <v>$millions</v>
      </c>
      <c r="F48" s="158">
        <f>'Input|Reported opex'!$F$91</f>
        <v>44348</v>
      </c>
      <c r="J48" s="109">
        <f>IF(YEAR(J$4)=InterveningPeriod,'Input|Reported opex'!J91,0)</f>
        <v>0</v>
      </c>
      <c r="K48" s="109">
        <f>IF(YEAR(K$4)=InterveningPeriod,'Input|Reported opex'!K91,0)</f>
        <v>0</v>
      </c>
      <c r="L48" s="109">
        <f>IF(YEAR(L$4)=InterveningPeriod,'Input|Reported opex'!L91,0)</f>
        <v>0</v>
      </c>
      <c r="M48" s="109">
        <f>IF(YEAR(M$4)=InterveningPeriod,'Input|Reported opex'!M91,0)</f>
        <v>0</v>
      </c>
      <c r="N48" s="109">
        <f>IF(YEAR(N$4)=InterveningPeriod,'Input|Reported opex'!N91,0)</f>
        <v>0</v>
      </c>
      <c r="O48" s="109">
        <f>IF(YEAR(O$4)=InterveningPeriod,'Input|Reported opex'!O91,0)</f>
        <v>2.7879913577724134</v>
      </c>
      <c r="P48" s="109">
        <f>IF(YEAR(P$4)=InterveningPeriod,'Input|Reported opex'!P91,0)</f>
        <v>0</v>
      </c>
      <c r="Q48" s="109">
        <f>IF(YEAR(Q$4)=InterveningPeriod,'Input|Reported opex'!Q91,0)</f>
        <v>0</v>
      </c>
      <c r="R48" s="109">
        <f>IF(YEAR(R$4)=InterveningPeriod,'Input|Reported opex'!R91,0)</f>
        <v>0</v>
      </c>
      <c r="S48" s="109">
        <f>IF(YEAR(S$4)=InterveningPeriod,'Input|Reported opex'!S91,0)</f>
        <v>0</v>
      </c>
      <c r="T48" s="109">
        <f>IF(YEAR(T$4)=InterveningPeriod,'Input|Reported opex'!T91,0)</f>
        <v>0</v>
      </c>
    </row>
    <row r="49" spans="1:48" outlineLevel="1">
      <c r="C49" s="123" t="str">
        <f>C48</f>
        <v>Replacement expenditure on faults and minor repairs</v>
      </c>
      <c r="D49" s="110" t="s">
        <v>30</v>
      </c>
      <c r="E49" s="30" t="str">
        <f>$E$8</f>
        <v>$millions</v>
      </c>
      <c r="F49" s="158">
        <f>$F$8</f>
        <v>44348</v>
      </c>
      <c r="J49" s="109">
        <f>J48*IF($F48="nominal",LOOKUP($F49,Nominal_to_Real,'Input|Rate of change'!K$26:K$32),INDEX('Input|Rate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K49" s="109">
        <f>K48*IF($F48="nominal",LOOKUP($F49,Nominal_to_Real,'Input|Rate of change'!L$26:L$32),INDEX('Input|Rate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L49" s="109">
        <f>L48*IF($F48="nominal",LOOKUP($F49,Nominal_to_Real,'Input|Rate of change'!M$26:M$32),INDEX('Input|Rate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M49" s="109">
        <f>M48*IF($F48="nominal",LOOKUP($F49,Nominal_to_Real,'Input|Rate of change'!N$26:N$32),INDEX('Input|Rate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N49" s="109">
        <f>N48*IF($F48="nominal",LOOKUP($F49,Nominal_to_Real,'Input|Rate of change'!O$26:O$32),INDEX('Input|Rate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O49" s="109">
        <f>O48*IF($F48="nominal",LOOKUP($F49,Nominal_to_Real,'Input|Rate of change'!P$26:P$32),INDEX('Input|Rate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2.7879913577724134</v>
      </c>
      <c r="P49" s="109">
        <f>P48*IF($F48="nominal",LOOKUP($F49,Nominal_to_Real,'Input|Rate of change'!Q$26:Q$32),INDEX('Input|Rate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Q49" s="109">
        <f>Q48*IF($F48="nominal",LOOKUP($F49,Nominal_to_Real,'Input|Rate of change'!R$26:R$32),INDEX('Input|Rate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R49" s="109">
        <f>R48*IF($F48="nominal",LOOKUP($F49,Nominal_to_Real,'Input|Rate of change'!S$26:S$32),INDEX('Input|Rate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S49" s="109">
        <f>S48*IF($F48="nominal",LOOKUP($F49,Nominal_to_Real,'Input|Rate of change'!T$26:T$32),INDEX('Input|Rate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T49" s="115"/>
    </row>
    <row r="50" spans="1:48" outlineLevel="1">
      <c r="C50" s="123"/>
      <c r="D50" s="110"/>
      <c r="F50" s="158"/>
      <c r="J50" s="115"/>
      <c r="K50" s="115"/>
      <c r="L50" s="115"/>
      <c r="M50" s="115"/>
      <c r="N50" s="115"/>
      <c r="O50" s="115"/>
      <c r="P50" s="115"/>
      <c r="Q50" s="115"/>
      <c r="R50" s="109"/>
      <c r="S50" s="109"/>
      <c r="T50" s="109"/>
    </row>
    <row r="51" spans="1:48" outlineLevel="1">
      <c r="C51" s="123" t="str">
        <f>'Input|Reported opex'!$C$92</f>
        <v>ESV levy</v>
      </c>
      <c r="D51" s="108" t="s">
        <v>91</v>
      </c>
      <c r="E51" s="30" t="str">
        <f>'Input|Reported opex'!$E$92</f>
        <v>$millions</v>
      </c>
      <c r="F51" s="158">
        <f>'Input|Reported opex'!$F$92</f>
        <v>44348</v>
      </c>
      <c r="J51" s="109">
        <f>IF(YEAR(J$4)=InterveningPeriod,'Input|Reported opex'!J92,0)</f>
        <v>0</v>
      </c>
      <c r="K51" s="109">
        <f>IF(YEAR(K$4)=InterveningPeriod,'Input|Reported opex'!K92,0)</f>
        <v>0</v>
      </c>
      <c r="L51" s="109">
        <f>IF(YEAR(L$4)=InterveningPeriod,'Input|Reported opex'!L92,0)</f>
        <v>0</v>
      </c>
      <c r="M51" s="109">
        <f>IF(YEAR(M$4)=InterveningPeriod,'Input|Reported opex'!M92,0)</f>
        <v>0</v>
      </c>
      <c r="N51" s="109">
        <f>IF(YEAR(N$4)=InterveningPeriod,'Input|Reported opex'!N92,0)</f>
        <v>0</v>
      </c>
      <c r="O51" s="109">
        <f>IF(YEAR(O$4)=InterveningPeriod,'Input|Reported opex'!O92,0)</f>
        <v>-2.787980097947754</v>
      </c>
      <c r="P51" s="109">
        <f>IF(YEAR(P$4)=InterveningPeriod,'Input|Reported opex'!P92,0)</f>
        <v>0</v>
      </c>
      <c r="Q51" s="109">
        <f>IF(YEAR(Q$4)=InterveningPeriod,'Input|Reported opex'!Q92,0)</f>
        <v>0</v>
      </c>
      <c r="R51" s="109">
        <f>IF(YEAR(R$4)=InterveningPeriod,'Input|Reported opex'!R92,0)</f>
        <v>0</v>
      </c>
      <c r="S51" s="109">
        <f>IF(YEAR(S$4)=InterveningPeriod,'Input|Reported opex'!S92,0)</f>
        <v>0</v>
      </c>
      <c r="T51" s="109">
        <f>IF(YEAR(T$4)=InterveningPeriod,'Input|Reported opex'!T92,0)</f>
        <v>0</v>
      </c>
    </row>
    <row r="52" spans="1:48" outlineLevel="1">
      <c r="C52" s="123" t="str">
        <f>C51</f>
        <v>ESV levy</v>
      </c>
      <c r="D52" s="110" t="s">
        <v>30</v>
      </c>
      <c r="E52" s="30" t="str">
        <f>$E$8</f>
        <v>$millions</v>
      </c>
      <c r="F52" s="158">
        <f>$F$8</f>
        <v>44348</v>
      </c>
      <c r="J52" s="109">
        <f>J51*IF($F51="nominal",LOOKUP($F52,Nominal_to_Real,'Input|Rate of change'!K$26:K$32),INDEX('Input|Rate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K52" s="109">
        <f>K51*IF($F51="nominal",LOOKUP($F52,Nominal_to_Real,'Input|Rate of change'!L$26:L$32),INDEX('Input|Rate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L52" s="109">
        <f>L51*IF($F51="nominal",LOOKUP($F52,Nominal_to_Real,'Input|Rate of change'!M$26:M$32),INDEX('Input|Rate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M52" s="109">
        <f>M51*IF($F51="nominal",LOOKUP($F52,Nominal_to_Real,'Input|Rate of change'!N$26:N$32),INDEX('Input|Rate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N52" s="109">
        <f>N51*IF($F51="nominal",LOOKUP($F52,Nominal_to_Real,'Input|Rate of change'!O$26:O$32),INDEX('Input|Rate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O52" s="109">
        <f>O51*IF($F51="nominal",LOOKUP($F52,Nominal_to_Real,'Input|Rate of change'!P$26:P$32),INDEX('Input|Rate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-2.787980097947754</v>
      </c>
      <c r="P52" s="109">
        <f>P51*IF($F51="nominal",LOOKUP($F52,Nominal_to_Real,'Input|Rate of change'!Q$26:Q$32),INDEX('Input|Rate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Q52" s="109">
        <f>Q51*IF($F51="nominal",LOOKUP($F52,Nominal_to_Real,'Input|Rate of change'!R$26:R$32),INDEX('Input|Rate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R52" s="109">
        <f>R51*IF($F51="nominal",LOOKUP($F52,Nominal_to_Real,'Input|Rate of change'!S$26:S$32),INDEX('Input|Rate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S52" s="109">
        <f>S51*IF($F51="nominal",LOOKUP($F52,Nominal_to_Real,'Input|Rate of change'!T$26:T$32),INDEX('Input|Rate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T52" s="115"/>
    </row>
    <row r="53" spans="1:48" outlineLevel="1">
      <c r="C53" s="123"/>
      <c r="D53" s="110"/>
      <c r="E53" s="110"/>
      <c r="F53" s="158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</row>
    <row r="54" spans="1:48" outlineLevel="1">
      <c r="C54" s="123" t="s">
        <v>88</v>
      </c>
      <c r="D54" s="110" t="s">
        <v>97</v>
      </c>
      <c r="E54" s="110" t="str">
        <f>$E$8</f>
        <v>$millions</v>
      </c>
      <c r="F54" s="158">
        <f>$F$8</f>
        <v>44348</v>
      </c>
      <c r="J54" s="115">
        <f>SUM(J35,J40,J43,J46,J49,J52)*'Input|Reported opex'!J96</f>
        <v>0</v>
      </c>
      <c r="K54" s="115">
        <f>SUM(K35,K40,K43,K46,K49,K52)*'Input|Reported opex'!K96</f>
        <v>0</v>
      </c>
      <c r="L54" s="115">
        <f>SUM(L35,L40,L43,L46,L49,L52)*'Input|Reported opex'!L96</f>
        <v>0</v>
      </c>
      <c r="M54" s="115">
        <f>SUM(M35,M40,M43,M46,M49,M52)*'Input|Reported opex'!M96</f>
        <v>0</v>
      </c>
      <c r="N54" s="115">
        <f>SUM(N35,N40,N43,N46,N49,N52)*'Input|Reported opex'!N96</f>
        <v>0</v>
      </c>
      <c r="O54" s="115">
        <f>SUM(O35,O40,O43,O46,O49,O52)*'Input|Reported opex'!O96</f>
        <v>0</v>
      </c>
      <c r="P54" s="115">
        <f>SUM(P35,P40,P43,P46,P49,P52)*'Input|Reported opex'!P96</f>
        <v>0</v>
      </c>
      <c r="Q54" s="115">
        <f>SUM(Q35,Q40,Q43,Q46,Q49,Q52)*'Input|Reported opex'!Q96</f>
        <v>0</v>
      </c>
      <c r="R54" s="115">
        <f>SUM(R35,R40,R43,R46,R49,R52)*'Input|Reported opex'!R96</f>
        <v>0</v>
      </c>
      <c r="S54" s="115">
        <f>SUM(S35,S40,S43,S46,S49,S52)*'Input|Reported opex'!S96</f>
        <v>0</v>
      </c>
      <c r="T54" s="115"/>
    </row>
    <row r="55" spans="1:48" outlineLevel="1">
      <c r="C55" s="123"/>
      <c r="D55" s="110"/>
      <c r="E55" s="110"/>
      <c r="F55" s="158"/>
      <c r="J55" s="115"/>
      <c r="K55" s="115"/>
      <c r="L55" s="115"/>
      <c r="M55" s="115"/>
      <c r="N55" s="115"/>
      <c r="O55" s="115"/>
      <c r="P55" s="115"/>
      <c r="Q55" s="115"/>
      <c r="R55" s="115"/>
      <c r="S55" s="115"/>
      <c r="T55" s="115"/>
    </row>
    <row r="56" spans="1:48" outlineLevel="1">
      <c r="C56" s="176" t="s">
        <v>162</v>
      </c>
      <c r="D56" s="112" t="s">
        <v>97</v>
      </c>
      <c r="E56" s="112" t="str">
        <f>$E$8</f>
        <v>$millions</v>
      </c>
      <c r="F56" s="177">
        <f>$F$8</f>
        <v>44348</v>
      </c>
      <c r="J56" s="175">
        <f>SUM(J35,J37,J40,J43,J46,J49,J52,J54)</f>
        <v>0</v>
      </c>
      <c r="K56" s="175">
        <f t="shared" ref="K56:S56" si="7">SUM(K35,K37,K40,K43,K46,K49,K52,K54)</f>
        <v>0</v>
      </c>
      <c r="L56" s="175">
        <f t="shared" si="7"/>
        <v>0</v>
      </c>
      <c r="M56" s="175">
        <f t="shared" si="7"/>
        <v>0</v>
      </c>
      <c r="N56" s="175">
        <f t="shared" si="7"/>
        <v>0</v>
      </c>
      <c r="O56" s="175">
        <f t="shared" si="7"/>
        <v>253.03824165849466</v>
      </c>
      <c r="P56" s="175">
        <f t="shared" si="7"/>
        <v>0</v>
      </c>
      <c r="Q56" s="175">
        <f t="shared" si="7"/>
        <v>0</v>
      </c>
      <c r="R56" s="175">
        <f t="shared" si="7"/>
        <v>0</v>
      </c>
      <c r="S56" s="175">
        <f t="shared" si="7"/>
        <v>0</v>
      </c>
      <c r="T56" s="175"/>
    </row>
    <row r="57" spans="1:48">
      <c r="J57" s="107"/>
      <c r="K57" s="107"/>
      <c r="L57" s="107"/>
    </row>
    <row r="58" spans="1:48" s="103" customFormat="1" ht="12.75">
      <c r="A58" s="94"/>
      <c r="B58" s="95" t="s">
        <v>86</v>
      </c>
      <c r="C58" s="94"/>
      <c r="D58" s="94"/>
      <c r="E58" s="94"/>
      <c r="F58" s="96"/>
      <c r="G58" s="96"/>
      <c r="H58" s="96"/>
      <c r="I58" s="96"/>
      <c r="J58" s="97"/>
      <c r="K58" s="98"/>
      <c r="L58" s="97"/>
      <c r="M58" s="98"/>
      <c r="N58" s="97"/>
      <c r="O58" s="97"/>
      <c r="P58" s="97"/>
      <c r="Q58" s="97"/>
      <c r="R58" s="97"/>
      <c r="S58" s="97"/>
      <c r="T58" s="97"/>
      <c r="U58" s="97"/>
      <c r="V58" s="97"/>
      <c r="W58" s="98"/>
      <c r="X58" s="98"/>
      <c r="Y58" s="99"/>
      <c r="Z58" s="99"/>
      <c r="AA58" s="99"/>
      <c r="AB58" s="99"/>
      <c r="AC58" s="100"/>
      <c r="AD58" s="101"/>
      <c r="AE58" s="101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</row>
    <row r="59" spans="1:48" outlineLevel="1"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</row>
    <row r="60" spans="1:48" outlineLevel="1">
      <c r="C60" s="67" t="s">
        <v>42</v>
      </c>
      <c r="D60" s="32" t="s">
        <v>7</v>
      </c>
      <c r="E60" s="32" t="s">
        <v>8</v>
      </c>
      <c r="F60" s="32" t="s">
        <v>22</v>
      </c>
      <c r="J60" s="160"/>
      <c r="K60" s="160"/>
      <c r="L60" s="160"/>
      <c r="M60" s="160"/>
      <c r="N60" s="160"/>
      <c r="O60" s="160"/>
      <c r="P60" s="160">
        <f>P$4</f>
        <v>44713</v>
      </c>
      <c r="Q60" s="160">
        <f t="shared" ref="Q60:T60" si="8">Q$4</f>
        <v>45078</v>
      </c>
      <c r="R60" s="160">
        <f t="shared" si="8"/>
        <v>45444</v>
      </c>
      <c r="S60" s="160">
        <f t="shared" si="8"/>
        <v>45809</v>
      </c>
      <c r="T60" s="160">
        <f t="shared" si="8"/>
        <v>46174</v>
      </c>
    </row>
    <row r="61" spans="1:48" outlineLevel="1">
      <c r="C61" s="6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</row>
    <row r="62" spans="1:48" outlineLevel="1">
      <c r="B62" s="67"/>
      <c r="C62" s="116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</row>
    <row r="63" spans="1:48" outlineLevel="1">
      <c r="C63" s="111" t="s">
        <v>105</v>
      </c>
      <c r="D63" s="110" t="s">
        <v>30</v>
      </c>
      <c r="E63" s="30" t="s">
        <v>31</v>
      </c>
      <c r="F63" s="30" t="s">
        <v>36</v>
      </c>
      <c r="J63" s="117">
        <f ca="1">IF(J60=J4,AVERAGE(OFFSET('Input|Rate of change'!K97,0,0,COUNTA('Input|Rate of change'!$J$84:$N$84),1)),0)</f>
        <v>0</v>
      </c>
      <c r="K63" s="117">
        <f ca="1">IF(K60=K4,AVERAGE(OFFSET('Input|Rate of change'!L97,0,0,COUNTA('Input|Rate of change'!$J$84:$N$84),1)),0)</f>
        <v>0</v>
      </c>
      <c r="L63" s="117">
        <f ca="1">IF(L60=L4,AVERAGE(OFFSET('Input|Rate of change'!M97,0,0,COUNTA('Input|Rate of change'!$J$84:$N$84),1)),0)</f>
        <v>0</v>
      </c>
      <c r="M63" s="117">
        <f ca="1">IF(M60=M4,AVERAGE(OFFSET('Input|Rate of change'!N97,0,0,COUNTA('Input|Rate of change'!$J$84:$N$84),1)),0)</f>
        <v>0</v>
      </c>
      <c r="N63" s="117">
        <f ca="1">IF(N60=N4,AVERAGE(OFFSET('Input|Rate of change'!O97,0,0,COUNTA('Input|Rate of change'!$J$84:$N$84),1)),0)</f>
        <v>0</v>
      </c>
      <c r="O63" s="117">
        <f ca="1">IF(O60=O4,AVERAGE(OFFSET('Input|Rate of change'!P97,0,0,COUNTA('Input|Rate of change'!$J$84:$N$84),1)),0)</f>
        <v>0</v>
      </c>
      <c r="P63" s="117">
        <f ca="1">IF(P60=P4,AVERAGE(OFFSET('Input|Rate of change'!Q97,0,0,COUNTA('Input|Rate of change'!$J$84:$N$84),1)),0)</f>
        <v>5.8483797730791058E-3</v>
      </c>
      <c r="Q63" s="117">
        <f ca="1">IF(Q60=Q4,AVERAGE(OFFSET('Input|Rate of change'!R97,0,0,COUNTA('Input|Rate of change'!$J$84:$N$84),1)),0)</f>
        <v>1.0490799256170132E-2</v>
      </c>
      <c r="R63" s="117">
        <f ca="1">IF(R60=R4,AVERAGE(OFFSET('Input|Rate of change'!S97,0,0,COUNTA('Input|Rate of change'!$J$84:$N$84),1)),0)</f>
        <v>1.2297667887551341E-2</v>
      </c>
      <c r="S63" s="117">
        <f ca="1">IF(S60=S4,AVERAGE(OFFSET('Input|Rate of change'!T97,0,0,COUNTA('Input|Rate of change'!$J$84:$N$84),1)),0)</f>
        <v>1.2102412398674201E-2</v>
      </c>
      <c r="T63" s="117">
        <f ca="1">IF(T60=T4,AVERAGE(OFFSET('Input|Rate of change'!U97,0,0,COUNTA('Input|Rate of change'!$J$84:$N$84),1)),0)</f>
        <v>1.1899814029345902E-2</v>
      </c>
    </row>
    <row r="64" spans="1:48" outlineLevel="1"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</row>
    <row r="65" spans="1:48" outlineLevel="1">
      <c r="C65" s="111" t="s">
        <v>79</v>
      </c>
      <c r="D65" s="110" t="s">
        <v>30</v>
      </c>
      <c r="E65" s="30" t="s">
        <v>31</v>
      </c>
      <c r="F65" s="30" t="s">
        <v>36</v>
      </c>
      <c r="J65" s="117">
        <f>SUMPRODUCT('Input|Rate of change'!K38:K45,'Input|Rate of change'!K51:K58)</f>
        <v>0</v>
      </c>
      <c r="K65" s="117">
        <f>SUMPRODUCT('Input|Rate of change'!L38:L45,'Input|Rate of change'!L51:L58)</f>
        <v>0</v>
      </c>
      <c r="L65" s="117">
        <f>SUMPRODUCT('Input|Rate of change'!M38:M45,'Input|Rate of change'!M51:M58)</f>
        <v>0</v>
      </c>
      <c r="M65" s="117">
        <f>SUMPRODUCT('Input|Rate of change'!N38:N45,'Input|Rate of change'!N51:N58)</f>
        <v>0</v>
      </c>
      <c r="N65" s="117">
        <f>SUMPRODUCT('Input|Rate of change'!O38:O45,'Input|Rate of change'!O51:O58)</f>
        <v>0</v>
      </c>
      <c r="O65" s="117">
        <f>SUMPRODUCT('Input|Rate of change'!P38:P45,'Input|Rate of change'!P51:P58)</f>
        <v>0</v>
      </c>
      <c r="P65" s="117">
        <f>SUMPRODUCT('Input|Rate of change'!Q38:Q45,'Input|Rate of change'!Q51:Q58)</f>
        <v>4.5951852180371152E-3</v>
      </c>
      <c r="Q65" s="117">
        <f>SUMPRODUCT('Input|Rate of change'!R38:R45,'Input|Rate of change'!R51:R58)</f>
        <v>2.9368489159494111E-3</v>
      </c>
      <c r="R65" s="117">
        <f>SUMPRODUCT('Input|Rate of change'!S38:S45,'Input|Rate of change'!S51:S58)</f>
        <v>3.8554459980797884E-3</v>
      </c>
      <c r="S65" s="117">
        <f>SUMPRODUCT('Input|Rate of change'!T38:T45,'Input|Rate of change'!T51:T58)</f>
        <v>5.8813071655116475E-3</v>
      </c>
      <c r="T65" s="117">
        <f>SUMPRODUCT('Input|Rate of change'!U38:U45,'Input|Rate of change'!U51:U58)</f>
        <v>7.7406508790667933E-3</v>
      </c>
    </row>
    <row r="66" spans="1:48" outlineLevel="1">
      <c r="C66" s="111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</row>
    <row r="67" spans="1:48" outlineLevel="1">
      <c r="C67" s="111" t="s">
        <v>101</v>
      </c>
      <c r="D67" s="110" t="s">
        <v>30</v>
      </c>
      <c r="E67" s="30" t="s">
        <v>31</v>
      </c>
      <c r="F67" s="30" t="s">
        <v>36</v>
      </c>
      <c r="J67" s="117">
        <f>'Input|Rate of change'!K107</f>
        <v>0</v>
      </c>
      <c r="K67" s="117">
        <f>'Input|Rate of change'!L107</f>
        <v>0</v>
      </c>
      <c r="L67" s="117">
        <f>'Input|Rate of change'!M107</f>
        <v>0</v>
      </c>
      <c r="M67" s="117">
        <f>'Input|Rate of change'!N107</f>
        <v>0</v>
      </c>
      <c r="N67" s="117">
        <f>'Input|Rate of change'!O107</f>
        <v>0</v>
      </c>
      <c r="O67" s="117">
        <f>'Input|Rate of change'!P107</f>
        <v>0</v>
      </c>
      <c r="P67" s="117">
        <f>'Input|Rate of change'!Q107</f>
        <v>3.7476611191240572E-3</v>
      </c>
      <c r="Q67" s="117">
        <f>'Input|Rate of change'!R107</f>
        <v>5.0000000000000001E-3</v>
      </c>
      <c r="R67" s="117">
        <f>'Input|Rate of change'!S107</f>
        <v>5.0000000000000001E-3</v>
      </c>
      <c r="S67" s="117">
        <f>'Input|Rate of change'!T107</f>
        <v>5.0000000000000001E-3</v>
      </c>
      <c r="T67" s="117">
        <f>'Input|Rate of change'!U107</f>
        <v>5.0000000000000001E-3</v>
      </c>
    </row>
    <row r="68" spans="1:48" outlineLevel="1">
      <c r="C68" s="11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</row>
    <row r="69" spans="1:48" outlineLevel="1">
      <c r="C69" s="118" t="s">
        <v>135</v>
      </c>
      <c r="D69" s="114" t="s">
        <v>30</v>
      </c>
      <c r="E69" s="114" t="s">
        <v>31</v>
      </c>
      <c r="F69" s="114" t="s">
        <v>36</v>
      </c>
      <c r="J69" s="143">
        <f ca="1">(1+J63)*(1+J65)*(1-J67)-1</f>
        <v>0</v>
      </c>
      <c r="K69" s="143">
        <f t="shared" ref="K69:S69" ca="1" si="9">(1+K63)*(1+K65)*(1-K67)-1</f>
        <v>0</v>
      </c>
      <c r="L69" s="143">
        <f t="shared" ca="1" si="9"/>
        <v>0</v>
      </c>
      <c r="M69" s="143">
        <f t="shared" ca="1" si="9"/>
        <v>0</v>
      </c>
      <c r="N69" s="143">
        <f t="shared" ca="1" si="9"/>
        <v>0</v>
      </c>
      <c r="O69" s="143">
        <f t="shared" ca="1" si="9"/>
        <v>0</v>
      </c>
      <c r="P69" s="143">
        <f t="shared" ca="1" si="9"/>
        <v>6.6835386017125575E-3</v>
      </c>
      <c r="Q69" s="143">
        <f t="shared" ca="1" si="9"/>
        <v>8.3911657742195001E-3</v>
      </c>
      <c r="R69" s="143">
        <f t="shared" ca="1" si="9"/>
        <v>1.1119524245673418E-2</v>
      </c>
      <c r="S69" s="143">
        <f t="shared" ca="1" si="9"/>
        <v>1.2964623081101356E-2</v>
      </c>
      <c r="T69" s="143">
        <f t="shared" ref="T69" ca="1" si="10">(1+T63)*(1+T65)*(1-T67)-1</f>
        <v>1.4633914328267883E-2</v>
      </c>
    </row>
    <row r="70" spans="1:48" outlineLevel="1">
      <c r="C70" s="124" t="s">
        <v>136</v>
      </c>
      <c r="D70" s="110" t="s">
        <v>30</v>
      </c>
      <c r="E70" s="30" t="s">
        <v>31</v>
      </c>
      <c r="F70" s="30" t="s">
        <v>36</v>
      </c>
      <c r="J70" s="117" t="str">
        <f t="array" ref="J70">IF(J$60=J$4,PRODUCT(1+$J69:J69)-1,"")</f>
        <v/>
      </c>
      <c r="K70" s="117" t="str">
        <f t="array" ref="K70">IF(K$60=K$4,PRODUCT(1+$J69:K69)-1,"")</f>
        <v/>
      </c>
      <c r="L70" s="117" t="str">
        <f t="array" ref="L70">IF(L$60=L$4,PRODUCT(1+$J69:L69)-1,"")</f>
        <v/>
      </c>
      <c r="M70" s="117" t="str">
        <f t="array" ref="M70">IF(M$60=M$4,PRODUCT(1+$J69:M69)-1,"")</f>
        <v/>
      </c>
      <c r="N70" s="117" t="str">
        <f t="array" ref="N70">IF(N$60=N$4,PRODUCT(1+$J69:N69)-1,"")</f>
        <v/>
      </c>
      <c r="O70" s="117" t="str">
        <f t="array" ref="O70">IF(O$60=O$4,PRODUCT(1+$J69:O69)-1,"")</f>
        <v/>
      </c>
      <c r="P70" s="117">
        <f t="array" aca="1" ref="P70" ca="1">IF(P$60=P$4,PRODUCT(1+$J69:P69)-1,"")</f>
        <v>6.6835386017125575E-3</v>
      </c>
      <c r="Q70" s="117">
        <f t="array" aca="1" ref="Q70" ca="1">IF(Q$60=Q$4,PRODUCT(1+$J69:Q69)-1,"")</f>
        <v>1.5130787056297335E-2</v>
      </c>
      <c r="R70" s="117">
        <f t="array" aca="1" ref="R70" ca="1">IF(R$60=R$4,PRODUCT(1+$J69:R69)-1,"")</f>
        <v>2.6418558455499452E-2</v>
      </c>
      <c r="S70" s="117">
        <f t="array" aca="1" ref="S70" ca="1">IF(S$60=S$4,PRODUCT(1+$J69:S69)-1,"")</f>
        <v>3.9725688189322428E-2</v>
      </c>
      <c r="T70" s="117">
        <f t="array" aca="1" ref="T70" ca="1">IF(T$60=T$4,PRODUCT(1+$J69:T69)-1,"")</f>
        <v>5.4940944835184302E-2</v>
      </c>
    </row>
    <row r="71" spans="1:48">
      <c r="J71" s="107"/>
      <c r="K71" s="107"/>
      <c r="L71" s="107"/>
      <c r="M71" s="107"/>
      <c r="N71" s="107"/>
      <c r="O71" s="119"/>
      <c r="P71" s="119"/>
      <c r="Q71" s="119"/>
      <c r="R71" s="119"/>
      <c r="S71" s="119"/>
      <c r="T71" s="119"/>
    </row>
    <row r="72" spans="1:48" s="103" customFormat="1" ht="12.75">
      <c r="A72" s="94"/>
      <c r="B72" s="95" t="s">
        <v>89</v>
      </c>
      <c r="C72" s="94"/>
      <c r="D72" s="94"/>
      <c r="E72" s="94"/>
      <c r="F72" s="96"/>
      <c r="G72" s="96"/>
      <c r="H72" s="96"/>
      <c r="I72" s="96"/>
      <c r="J72" s="97"/>
      <c r="K72" s="98"/>
      <c r="L72" s="97"/>
      <c r="M72" s="98"/>
      <c r="N72" s="97"/>
      <c r="O72" s="97"/>
      <c r="P72" s="97"/>
      <c r="Q72" s="97"/>
      <c r="R72" s="97"/>
      <c r="S72" s="97"/>
      <c r="T72" s="97"/>
      <c r="U72" s="97"/>
      <c r="V72" s="97"/>
      <c r="W72" s="98"/>
      <c r="X72" s="98"/>
      <c r="Y72" s="99"/>
      <c r="Z72" s="99"/>
      <c r="AA72" s="99"/>
      <c r="AB72" s="99"/>
      <c r="AC72" s="100"/>
      <c r="AD72" s="101"/>
      <c r="AE72" s="101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</row>
    <row r="73" spans="1:48" outlineLevel="1">
      <c r="C73" s="106"/>
      <c r="J73" s="107"/>
      <c r="K73" s="107"/>
      <c r="L73" s="107"/>
    </row>
    <row r="74" spans="1:48" outlineLevel="1">
      <c r="C74" s="67" t="s">
        <v>102</v>
      </c>
      <c r="D74" s="32" t="s">
        <v>7</v>
      </c>
      <c r="E74" s="32" t="s">
        <v>8</v>
      </c>
      <c r="F74" s="32" t="s">
        <v>22</v>
      </c>
      <c r="J74" s="160"/>
      <c r="K74" s="160"/>
      <c r="L74" s="160"/>
      <c r="M74" s="160"/>
      <c r="N74" s="160"/>
      <c r="O74" s="160"/>
      <c r="P74" s="160">
        <f>P$4</f>
        <v>44713</v>
      </c>
      <c r="Q74" s="160">
        <f t="shared" ref="Q74:T74" si="11">Q$4</f>
        <v>45078</v>
      </c>
      <c r="R74" s="160">
        <f t="shared" si="11"/>
        <v>45444</v>
      </c>
      <c r="S74" s="160">
        <f t="shared" si="11"/>
        <v>45809</v>
      </c>
      <c r="T74" s="160">
        <f t="shared" si="11"/>
        <v>46174</v>
      </c>
    </row>
    <row r="75" spans="1:48" outlineLevel="1">
      <c r="C75" s="67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</row>
    <row r="76" spans="1:48" outlineLevel="1">
      <c r="C76" s="121" t="str">
        <f>'Input|Step changes'!C12</f>
        <v>Increasing insurance premiums</v>
      </c>
      <c r="D76" s="110" t="s">
        <v>30</v>
      </c>
      <c r="E76" s="30" t="str">
        <f t="shared" ref="E76:E96" si="12">$E$8</f>
        <v>$millions</v>
      </c>
      <c r="F76" s="158">
        <f t="shared" ref="F76:F88" si="13">$F$8</f>
        <v>44348</v>
      </c>
      <c r="J76" s="127">
        <f>'Input|Step changes'!J12*IF('Input|Step changes'!$F12="nominal",LOOKUP($F76,Nominal_to_Real,'Input|Rate of change'!N$26:N$32),INDEX('Input|Rate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K76" s="127">
        <f>'Input|Step changes'!K12*IF('Input|Step changes'!$F12="nominal",LOOKUP($F76,Nominal_to_Real,'Input|Rate of change'!O$26:O$32),INDEX('Input|Rate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L76" s="127">
        <f>'Input|Step changes'!L12*IF('Input|Step changes'!$F12="nominal",LOOKUP($F76,Nominal_to_Real,'Input|Rate of change'!P$26:P$32),INDEX('Input|Rate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M76" s="127">
        <f>'Input|Step changes'!M12*IF('Input|Step changes'!$F12="nominal",LOOKUP($F76,Nominal_to_Real,'Input|Rate of change'!Q$26:Q$32),INDEX('Input|Rate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N76" s="127">
        <f>'Input|Step changes'!N12*IF('Input|Step changes'!$F12="nominal",LOOKUP($F76,Nominal_to_Real,'Input|Rate of change'!R$26:R$32),INDEX('Input|Rate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O76" s="127">
        <f>'Input|Step changes'!O12*IF('Input|Step changes'!$F12="nominal",LOOKUP($F76,Nominal_to_Real,'Input|Rate of change'!S$26:S$32),INDEX('Input|Rate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P76" s="127">
        <f>'Input|Step changes'!P12*IF('Input|Step changes'!$F12="nominal",LOOKUP($F76,Nominal_to_Real,'Input|Rate of change'!T$26:T$32),INDEX('Input|Rate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7.7689699687106701</v>
      </c>
      <c r="Q76" s="127">
        <f>'Input|Step changes'!Q12*IF('Input|Step changes'!$F12="nominal",LOOKUP($F76,Nominal_to_Real,'Input|Rate of change'!U$26:U$32),INDEX('Input|Rate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12.138544383710668</v>
      </c>
      <c r="R76" s="127">
        <f>'Input|Step changes'!R12*IF('Input|Step changes'!$F12="nominal",LOOKUP($F76,Nominal_to_Real,'Input|Rate of change'!V$26:V$32),INDEX('Input|Rate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14.75491833371067</v>
      </c>
      <c r="S76" s="127">
        <f>'Input|Step changes'!S12*IF('Input|Step changes'!$F12="nominal",LOOKUP($F76,Nominal_to_Real,'Input|Rate of change'!W$26:W$32),INDEX('Input|Rate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15.902605053710671</v>
      </c>
      <c r="T76" s="127">
        <f>'Input|Step changes'!T12*IF('Input|Step changes'!$F12="nominal",LOOKUP($F76,Nominal_to_Real,'Input|Rate of change'!X$26:X$32),INDEX('Input|Rate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17.165060445710676</v>
      </c>
    </row>
    <row r="77" spans="1:48" outlineLevel="1">
      <c r="C77" s="121" t="str">
        <f>'Input|Step changes'!C13</f>
        <v>Security of Critical Infrastructure</v>
      </c>
      <c r="D77" s="110" t="s">
        <v>30</v>
      </c>
      <c r="E77" s="30" t="str">
        <f t="shared" si="12"/>
        <v>$millions</v>
      </c>
      <c r="F77" s="158">
        <f t="shared" si="13"/>
        <v>44348</v>
      </c>
      <c r="J77" s="127">
        <f>'Input|Step changes'!J13*IF('Input|Step changes'!$F13="nominal",LOOKUP($F77,Nominal_to_Real,'Input|Rate of change'!N$26:N$32),INDEX('Input|Rate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K77" s="127">
        <f>'Input|Step changes'!K13*IF('Input|Step changes'!$F13="nominal",LOOKUP($F77,Nominal_to_Real,'Input|Rate of change'!O$26:O$32),INDEX('Input|Rate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L77" s="127">
        <f>'Input|Step changes'!L13*IF('Input|Step changes'!$F13="nominal",LOOKUP($F77,Nominal_to_Real,'Input|Rate of change'!P$26:P$32),INDEX('Input|Rate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M77" s="127">
        <f>'Input|Step changes'!M13*IF('Input|Step changes'!$F13="nominal",LOOKUP($F77,Nominal_to_Real,'Input|Rate of change'!Q$26:Q$32),INDEX('Input|Rate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N77" s="127">
        <f>'Input|Step changes'!N13*IF('Input|Step changes'!$F13="nominal",LOOKUP($F77,Nominal_to_Real,'Input|Rate of change'!R$26:R$32),INDEX('Input|Rate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O77" s="127">
        <f>'Input|Step changes'!O13*IF('Input|Step changes'!$F13="nominal",LOOKUP($F77,Nominal_to_Real,'Input|Rate of change'!S$26:S$32),INDEX('Input|Rate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P77" s="127">
        <f>'Input|Step changes'!P13*IF('Input|Step changes'!$F13="nominal",LOOKUP($F77,Nominal_to_Real,'Input|Rate of change'!T$26:T$32),INDEX('Input|Rate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2.4161422739717571</v>
      </c>
      <c r="Q77" s="127">
        <f>'Input|Step changes'!Q13*IF('Input|Step changes'!$F13="nominal",LOOKUP($F77,Nominal_to_Real,'Input|Rate of change'!U$26:U$32),INDEX('Input|Rate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1.7097629208919105</v>
      </c>
      <c r="R77" s="127">
        <f>'Input|Step changes'!R13*IF('Input|Step changes'!$F13="nominal",LOOKUP($F77,Nominal_to_Real,'Input|Rate of change'!V$26:V$32),INDEX('Input|Rate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1.6528670470000197</v>
      </c>
      <c r="S77" s="127">
        <f>'Input|Step changes'!S13*IF('Input|Step changes'!$F13="nominal",LOOKUP($F77,Nominal_to_Real,'Input|Rate of change'!W$26:W$32),INDEX('Input|Rate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1.53433992411364</v>
      </c>
      <c r="T77" s="127">
        <f>'Input|Step changes'!T13*IF('Input|Step changes'!$F13="nominal",LOOKUP($F77,Nominal_to_Real,'Input|Rate of change'!X$26:X$32),INDEX('Input|Rate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1.5462167137960172</v>
      </c>
    </row>
    <row r="78" spans="1:48" outlineLevel="1">
      <c r="C78" s="121" t="str">
        <f>'Input|Step changes'!C14</f>
        <v>IT cloud solutions</v>
      </c>
      <c r="D78" s="110" t="s">
        <v>30</v>
      </c>
      <c r="E78" s="30" t="str">
        <f t="shared" si="12"/>
        <v>$millions</v>
      </c>
      <c r="F78" s="158">
        <f t="shared" si="13"/>
        <v>44348</v>
      </c>
      <c r="J78" s="127">
        <f>'Input|Step changes'!J14*IF('Input|Step changes'!$F14="nominal",LOOKUP($F78,Nominal_to_Real,'Input|Rate of change'!N$26:N$32),INDEX('Input|Rate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K78" s="127">
        <f>'Input|Step changes'!K14*IF('Input|Step changes'!$F14="nominal",LOOKUP($F78,Nominal_to_Real,'Input|Rate of change'!O$26:O$32),INDEX('Input|Rate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L78" s="127">
        <f>'Input|Step changes'!L14*IF('Input|Step changes'!$F14="nominal",LOOKUP($F78,Nominal_to_Real,'Input|Rate of change'!P$26:P$32),INDEX('Input|Rate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M78" s="127">
        <f>'Input|Step changes'!M14*IF('Input|Step changes'!$F14="nominal",LOOKUP($F78,Nominal_to_Real,'Input|Rate of change'!Q$26:Q$32),INDEX('Input|Rate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N78" s="127">
        <f>'Input|Step changes'!N14*IF('Input|Step changes'!$F14="nominal",LOOKUP($F78,Nominal_to_Real,'Input|Rate of change'!R$26:R$32),INDEX('Input|Rate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O78" s="127">
        <f>'Input|Step changes'!O14*IF('Input|Step changes'!$F14="nominal",LOOKUP($F78,Nominal_to_Real,'Input|Rate of change'!S$26:S$32),INDEX('Input|Rate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P78" s="127">
        <f>'Input|Step changes'!P14*IF('Input|Step changes'!$F14="nominal",LOOKUP($F78,Nominal_to_Real,'Input|Rate of change'!T$26:T$32),INDEX('Input|Rate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0.83068560383111589</v>
      </c>
      <c r="Q78" s="127">
        <f>'Input|Step changes'!Q14*IF('Input|Step changes'!$F14="nominal",LOOKUP($F78,Nominal_to_Real,'Input|Rate of change'!U$26:U$32),INDEX('Input|Rate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0.82196714935313087</v>
      </c>
      <c r="R78" s="127">
        <f>'Input|Step changes'!R14*IF('Input|Step changes'!$F14="nominal",LOOKUP($F78,Nominal_to_Real,'Input|Rate of change'!V$26:V$32),INDEX('Input|Rate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1.1759294126678221</v>
      </c>
      <c r="S78" s="127">
        <f>'Input|Step changes'!S14*IF('Input|Step changes'!$F14="nominal",LOOKUP($F78,Nominal_to_Real,'Input|Rate of change'!W$26:W$32),INDEX('Input|Rate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1.3956344563719942</v>
      </c>
      <c r="T78" s="127">
        <f>'Input|Step changes'!T14*IF('Input|Step changes'!$F14="nominal",LOOKUP($F78,Nominal_to_Real,'Input|Rate of change'!X$26:X$32),INDEX('Input|Rate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1.390604920568133</v>
      </c>
    </row>
    <row r="79" spans="1:48" outlineLevel="1">
      <c r="C79" s="121" t="str">
        <f>'Input|Step changes'!C15</f>
        <v>Solar enablement</v>
      </c>
      <c r="D79" s="110" t="s">
        <v>30</v>
      </c>
      <c r="E79" s="30" t="str">
        <f t="shared" si="12"/>
        <v>$millions</v>
      </c>
      <c r="F79" s="158">
        <f t="shared" si="13"/>
        <v>44348</v>
      </c>
      <c r="J79" s="127">
        <f>'Input|Step changes'!J15*IF('Input|Step changes'!$F15="nominal",LOOKUP($F79,Nominal_to_Real,'Input|Rate of change'!N$26:N$32),INDEX('Input|Rate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K79" s="127">
        <f>'Input|Step changes'!K15*IF('Input|Step changes'!$F15="nominal",LOOKUP($F79,Nominal_to_Real,'Input|Rate of change'!O$26:O$32),INDEX('Input|Rate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L79" s="127">
        <f>'Input|Step changes'!L15*IF('Input|Step changes'!$F15="nominal",LOOKUP($F79,Nominal_to_Real,'Input|Rate of change'!P$26:P$32),INDEX('Input|Rate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M79" s="127">
        <f>'Input|Step changes'!M15*IF('Input|Step changes'!$F15="nominal",LOOKUP($F79,Nominal_to_Real,'Input|Rate of change'!Q$26:Q$32),INDEX('Input|Rate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N79" s="127">
        <f>'Input|Step changes'!N15*IF('Input|Step changes'!$F15="nominal",LOOKUP($F79,Nominal_to_Real,'Input|Rate of change'!R$26:R$32),INDEX('Input|Rate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O79" s="127">
        <f>'Input|Step changes'!O15*IF('Input|Step changes'!$F15="nominal",LOOKUP($F79,Nominal_to_Real,'Input|Rate of change'!S$26:S$32),INDEX('Input|Rate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P79" s="127">
        <f>'Input|Step changes'!P15*IF('Input|Step changes'!$F15="nominal",LOOKUP($F79,Nominal_to_Real,'Input|Rate of change'!T$26:T$32),INDEX('Input|Rate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1.096154796349029</v>
      </c>
      <c r="Q79" s="127">
        <f>'Input|Step changes'!Q15*IF('Input|Step changes'!$F15="nominal",LOOKUP($F79,Nominal_to_Real,'Input|Rate of change'!U$26:U$32),INDEX('Input|Rate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1.0370107590207527</v>
      </c>
      <c r="R79" s="127">
        <f>'Input|Step changes'!R15*IF('Input|Step changes'!$F15="nominal",LOOKUP($F79,Nominal_to_Real,'Input|Rate of change'!V$26:V$32),INDEX('Input|Rate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1.1714861059625665</v>
      </c>
      <c r="S79" s="127">
        <f>'Input|Step changes'!S15*IF('Input|Step changes'!$F15="nominal",LOOKUP($F79,Nominal_to_Real,'Input|Rate of change'!W$26:W$32),INDEX('Input|Rate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0.72966001040777162</v>
      </c>
      <c r="T79" s="127">
        <f>'Input|Step changes'!T15*IF('Input|Step changes'!$F15="nominal",LOOKUP($F79,Nominal_to_Real,'Input|Rate of change'!X$26:X$32),INDEX('Input|Rate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0.74889535596604084</v>
      </c>
    </row>
    <row r="80" spans="1:48" outlineLevel="1">
      <c r="C80" s="121" t="str">
        <f>'Input|Step changes'!C16</f>
        <v>5 minute settlement</v>
      </c>
      <c r="D80" s="110" t="s">
        <v>30</v>
      </c>
      <c r="E80" s="30" t="str">
        <f t="shared" si="12"/>
        <v>$millions</v>
      </c>
      <c r="F80" s="158">
        <f t="shared" si="13"/>
        <v>44348</v>
      </c>
      <c r="J80" s="127">
        <f>'Input|Step changes'!J16*IF('Input|Step changes'!$F16="nominal",LOOKUP($F80,Nominal_to_Real,'Input|Rate of change'!N$26:N$32),INDEX('Input|Rate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K80" s="127">
        <f>'Input|Step changes'!K16*IF('Input|Step changes'!$F16="nominal",LOOKUP($F80,Nominal_to_Real,'Input|Rate of change'!O$26:O$32),INDEX('Input|Rate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L80" s="127">
        <f>'Input|Step changes'!L16*IF('Input|Step changes'!$F16="nominal",LOOKUP($F80,Nominal_to_Real,'Input|Rate of change'!P$26:P$32),INDEX('Input|Rate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M80" s="127">
        <f>'Input|Step changes'!M16*IF('Input|Step changes'!$F16="nominal",LOOKUP($F80,Nominal_to_Real,'Input|Rate of change'!Q$26:Q$32),INDEX('Input|Rate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N80" s="127">
        <f>'Input|Step changes'!N16*IF('Input|Step changes'!$F16="nominal",LOOKUP($F80,Nominal_to_Real,'Input|Rate of change'!R$26:R$32),INDEX('Input|Rate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O80" s="127">
        <f>'Input|Step changes'!O16*IF('Input|Step changes'!$F16="nominal",LOOKUP($F80,Nominal_to_Real,'Input|Rate of change'!S$26:S$32),INDEX('Input|Rate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P80" s="127">
        <f>'Input|Step changes'!P16*IF('Input|Step changes'!$F16="nominal",LOOKUP($F80,Nominal_to_Real,'Input|Rate of change'!T$26:T$32),INDEX('Input|Rate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0.50496484412224807</v>
      </c>
      <c r="Q80" s="127">
        <f>'Input|Step changes'!Q16*IF('Input|Step changes'!$F16="nominal",LOOKUP($F80,Nominal_to_Real,'Input|Rate of change'!U$26:U$32),INDEX('Input|Rate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0.70515332795959429</v>
      </c>
      <c r="R80" s="127">
        <f>'Input|Step changes'!R16*IF('Input|Step changes'!$F16="nominal",LOOKUP($F80,Nominal_to_Real,'Input|Rate of change'!V$26:V$32),INDEX('Input|Rate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0.89557656441694089</v>
      </c>
      <c r="S80" s="127">
        <f>'Input|Step changes'!S16*IF('Input|Step changes'!$F16="nominal",LOOKUP($F80,Nominal_to_Real,'Input|Rate of change'!W$26:W$32),INDEX('Input|Rate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1.0919039308815746</v>
      </c>
      <c r="T80" s="127">
        <f>'Input|Step changes'!T16*IF('Input|Step changes'!$F16="nominal",LOOKUP($F80,Nominal_to_Real,'Input|Rate of change'!X$26:X$32),INDEX('Input|Rate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1.3014108705527336</v>
      </c>
    </row>
    <row r="81" spans="1:48" outlineLevel="1">
      <c r="C81" s="121" t="str">
        <f>'Input|Step changes'!C17</f>
        <v>REFCL on-going operating expenditure</v>
      </c>
      <c r="D81" s="110" t="s">
        <v>30</v>
      </c>
      <c r="E81" s="30" t="str">
        <f t="shared" si="12"/>
        <v>$millions</v>
      </c>
      <c r="F81" s="158">
        <f t="shared" si="13"/>
        <v>44348</v>
      </c>
      <c r="J81" s="127">
        <f>'Input|Step changes'!J17*IF('Input|Step changes'!$F17="nominal",LOOKUP($F81,Nominal_to_Real,'Input|Rate of change'!N$26:N$32),INDEX('Input|Rate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K81" s="127">
        <f>'Input|Step changes'!K17*IF('Input|Step changes'!$F17="nominal",LOOKUP($F81,Nominal_to_Real,'Input|Rate of change'!O$26:O$32),INDEX('Input|Rate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L81" s="127">
        <f>'Input|Step changes'!L17*IF('Input|Step changes'!$F17="nominal",LOOKUP($F81,Nominal_to_Real,'Input|Rate of change'!P$26:P$32),INDEX('Input|Rate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M81" s="127">
        <f>'Input|Step changes'!M17*IF('Input|Step changes'!$F17="nominal",LOOKUP($F81,Nominal_to_Real,'Input|Rate of change'!Q$26:Q$32),INDEX('Input|Rate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N81" s="127">
        <f>'Input|Step changes'!N17*IF('Input|Step changes'!$F17="nominal",LOOKUP($F81,Nominal_to_Real,'Input|Rate of change'!R$26:R$32),INDEX('Input|Rate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O81" s="127">
        <f>'Input|Step changes'!O17*IF('Input|Step changes'!$F17="nominal",LOOKUP($F81,Nominal_to_Real,'Input|Rate of change'!S$26:S$32),INDEX('Input|Rate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P81" s="127">
        <f>'Input|Step changes'!P17*IF('Input|Step changes'!$F17="nominal",LOOKUP($F81,Nominal_to_Real,'Input|Rate of change'!T$26:T$32),INDEX('Input|Rate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0.29831194263240302</v>
      </c>
      <c r="Q81" s="127">
        <f>'Input|Step changes'!Q17*IF('Input|Step changes'!$F17="nominal",LOOKUP($F81,Nominal_to_Real,'Input|Rate of change'!U$26:U$32),INDEX('Input|Rate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0.39540999388132414</v>
      </c>
      <c r="R81" s="127">
        <f>'Input|Step changes'!R17*IF('Input|Step changes'!$F17="nominal",LOOKUP($F81,Nominal_to_Real,'Input|Rate of change'!V$26:V$32),INDEX('Input|Rate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0.91033224283276937</v>
      </c>
      <c r="S81" s="127">
        <f>'Input|Step changes'!S17*IF('Input|Step changes'!$F17="nominal",LOOKUP($F81,Nominal_to_Real,'Input|Rate of change'!W$26:W$32),INDEX('Input|Rate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1.0295936271080479</v>
      </c>
      <c r="T81" s="127">
        <f>'Input|Step changes'!T17*IF('Input|Step changes'!$F17="nominal",LOOKUP($F81,Nominal_to_Real,'Input|Rate of change'!X$26:X$32),INDEX('Input|Rate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1.0375633519228034</v>
      </c>
    </row>
    <row r="82" spans="1:48" outlineLevel="1">
      <c r="C82" s="121" t="str">
        <f>'Input|Step changes'!C18</f>
        <v/>
      </c>
      <c r="D82" s="110" t="s">
        <v>30</v>
      </c>
      <c r="E82" s="30" t="str">
        <f t="shared" si="12"/>
        <v>$millions</v>
      </c>
      <c r="F82" s="158">
        <f t="shared" si="13"/>
        <v>44348</v>
      </c>
      <c r="J82" s="127">
        <f>'Input|Step changes'!J18*IF('Input|Step changes'!$F18="nominal",LOOKUP($F82,Nominal_to_Real,'Input|Rate of change'!N$26:N$32),INDEX('Input|Rate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K82" s="127">
        <f>'Input|Step changes'!K18*IF('Input|Step changes'!$F18="nominal",LOOKUP($F82,Nominal_to_Real,'Input|Rate of change'!O$26:O$32),INDEX('Input|Rate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L82" s="127">
        <f>'Input|Step changes'!L18*IF('Input|Step changes'!$F18="nominal",LOOKUP($F82,Nominal_to_Real,'Input|Rate of change'!P$26:P$32),INDEX('Input|Rate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M82" s="127">
        <f>'Input|Step changes'!M18*IF('Input|Step changes'!$F18="nominal",LOOKUP($F82,Nominal_to_Real,'Input|Rate of change'!Q$26:Q$32),INDEX('Input|Rate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N82" s="127">
        <f>'Input|Step changes'!N18*IF('Input|Step changes'!$F18="nominal",LOOKUP($F82,Nominal_to_Real,'Input|Rate of change'!R$26:R$32),INDEX('Input|Rate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O82" s="127">
        <f>'Input|Step changes'!O18*IF('Input|Step changes'!$F18="nominal",LOOKUP($F82,Nominal_to_Real,'Input|Rate of change'!S$26:S$32),INDEX('Input|Rate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P82" s="127">
        <f>'Input|Step changes'!P18*IF('Input|Step changes'!$F18="nominal",LOOKUP($F82,Nominal_to_Real,'Input|Rate of change'!T$26:T$32),INDEX('Input|Rate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Q82" s="127">
        <f>'Input|Step changes'!Q18*IF('Input|Step changes'!$F18="nominal",LOOKUP($F82,Nominal_to_Real,'Input|Rate of change'!U$26:U$32),INDEX('Input|Rate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R82" s="127">
        <f>'Input|Step changes'!R18*IF('Input|Step changes'!$F18="nominal",LOOKUP($F82,Nominal_to_Real,'Input|Rate of change'!V$26:V$32),INDEX('Input|Rate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S82" s="127">
        <f>'Input|Step changes'!S18*IF('Input|Step changes'!$F18="nominal",LOOKUP($F82,Nominal_to_Real,'Input|Rate of change'!W$26:W$32),INDEX('Input|Rate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T82" s="127">
        <f>'Input|Step changes'!T18*IF('Input|Step changes'!$F18="nominal",LOOKUP($F82,Nominal_to_Real,'Input|Rate of change'!X$26:X$32),INDEX('Input|Rate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</row>
    <row r="83" spans="1:48" outlineLevel="1">
      <c r="C83" s="121" t="str">
        <f>'Input|Step changes'!C19</f>
        <v/>
      </c>
      <c r="D83" s="110" t="s">
        <v>30</v>
      </c>
      <c r="E83" s="30" t="str">
        <f t="shared" si="12"/>
        <v>$millions</v>
      </c>
      <c r="F83" s="158">
        <f t="shared" si="13"/>
        <v>44348</v>
      </c>
      <c r="J83" s="127">
        <f>'Input|Step changes'!J19*IF('Input|Step changes'!$F19="nominal",LOOKUP($F83,Nominal_to_Real,'Input|Rate of change'!N$26:N$32),INDEX('Input|Rate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K83" s="127">
        <f>'Input|Step changes'!K19*IF('Input|Step changes'!$F19="nominal",LOOKUP($F83,Nominal_to_Real,'Input|Rate of change'!O$26:O$32),INDEX('Input|Rate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L83" s="127">
        <f>'Input|Step changes'!L19*IF('Input|Step changes'!$F19="nominal",LOOKUP($F83,Nominal_to_Real,'Input|Rate of change'!P$26:P$32),INDEX('Input|Rate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M83" s="127">
        <f>'Input|Step changes'!M19*IF('Input|Step changes'!$F19="nominal",LOOKUP($F83,Nominal_to_Real,'Input|Rate of change'!Q$26:Q$32),INDEX('Input|Rate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N83" s="127">
        <f>'Input|Step changes'!N19*IF('Input|Step changes'!$F19="nominal",LOOKUP($F83,Nominal_to_Real,'Input|Rate of change'!R$26:R$32),INDEX('Input|Rate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O83" s="127">
        <f>'Input|Step changes'!O19*IF('Input|Step changes'!$F19="nominal",LOOKUP($F83,Nominal_to_Real,'Input|Rate of change'!S$26:S$32),INDEX('Input|Rate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P83" s="127">
        <f>'Input|Step changes'!P19*IF('Input|Step changes'!$F19="nominal",LOOKUP($F83,Nominal_to_Real,'Input|Rate of change'!T$26:T$32),INDEX('Input|Rate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Q83" s="127">
        <f>'Input|Step changes'!Q19*IF('Input|Step changes'!$F19="nominal",LOOKUP($F83,Nominal_to_Real,'Input|Rate of change'!U$26:U$32),INDEX('Input|Rate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R83" s="127">
        <f>'Input|Step changes'!R19*IF('Input|Step changes'!$F19="nominal",LOOKUP($F83,Nominal_to_Real,'Input|Rate of change'!V$26:V$32),INDEX('Input|Rate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S83" s="127">
        <f>'Input|Step changes'!S19*IF('Input|Step changes'!$F19="nominal",LOOKUP($F83,Nominal_to_Real,'Input|Rate of change'!W$26:W$32),INDEX('Input|Rate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T83" s="127">
        <f>'Input|Step changes'!T19*IF('Input|Step changes'!$F19="nominal",LOOKUP($F83,Nominal_to_Real,'Input|Rate of change'!X$26:X$32),INDEX('Input|Rate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</row>
    <row r="84" spans="1:48" outlineLevel="1">
      <c r="C84" s="121" t="str">
        <f>'Input|Step changes'!C20</f>
        <v/>
      </c>
      <c r="D84" s="110" t="s">
        <v>30</v>
      </c>
      <c r="E84" s="30" t="str">
        <f t="shared" si="12"/>
        <v>$millions</v>
      </c>
      <c r="F84" s="158">
        <f t="shared" si="13"/>
        <v>44348</v>
      </c>
      <c r="J84" s="127">
        <f>'Input|Step changes'!J20*IF('Input|Step changes'!$F20="nominal",LOOKUP($F84,Nominal_to_Real,'Input|Rate of change'!N$26:N$32),INDEX('Input|Rate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K84" s="127">
        <f>'Input|Step changes'!K20*IF('Input|Step changes'!$F20="nominal",LOOKUP($F84,Nominal_to_Real,'Input|Rate of change'!O$26:O$32),INDEX('Input|Rate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L84" s="127">
        <f>'Input|Step changes'!L20*IF('Input|Step changes'!$F20="nominal",LOOKUP($F84,Nominal_to_Real,'Input|Rate of change'!P$26:P$32),INDEX('Input|Rate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M84" s="127">
        <f>'Input|Step changes'!M20*IF('Input|Step changes'!$F20="nominal",LOOKUP($F84,Nominal_to_Real,'Input|Rate of change'!Q$26:Q$32),INDEX('Input|Rate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N84" s="127">
        <f>'Input|Step changes'!N20*IF('Input|Step changes'!$F20="nominal",LOOKUP($F84,Nominal_to_Real,'Input|Rate of change'!R$26:R$32),INDEX('Input|Rate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O84" s="127">
        <f>'Input|Step changes'!O20*IF('Input|Step changes'!$F20="nominal",LOOKUP($F84,Nominal_to_Real,'Input|Rate of change'!S$26:S$32),INDEX('Input|Rate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P84" s="127">
        <f>'Input|Step changes'!P20*IF('Input|Step changes'!$F20="nominal",LOOKUP($F84,Nominal_to_Real,'Input|Rate of change'!T$26:T$32),INDEX('Input|Rate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Q84" s="127">
        <f>'Input|Step changes'!Q20*IF('Input|Step changes'!$F20="nominal",LOOKUP($F84,Nominal_to_Real,'Input|Rate of change'!U$26:U$32),INDEX('Input|Rate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R84" s="127">
        <f>'Input|Step changes'!R20*IF('Input|Step changes'!$F20="nominal",LOOKUP($F84,Nominal_to_Real,'Input|Rate of change'!V$26:V$32),INDEX('Input|Rate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S84" s="127">
        <f>'Input|Step changes'!S20*IF('Input|Step changes'!$F20="nominal",LOOKUP($F84,Nominal_to_Real,'Input|Rate of change'!W$26:W$32),INDEX('Input|Rate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T84" s="127">
        <f>'Input|Step changes'!T20*IF('Input|Step changes'!$F20="nominal",LOOKUP($F84,Nominal_to_Real,'Input|Rate of change'!X$26:X$32),INDEX('Input|Rate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</row>
    <row r="85" spans="1:48" outlineLevel="1">
      <c r="C85" s="121" t="str">
        <f>'Input|Step changes'!C21</f>
        <v/>
      </c>
      <c r="D85" s="110" t="s">
        <v>30</v>
      </c>
      <c r="E85" s="30" t="str">
        <f t="shared" si="12"/>
        <v>$millions</v>
      </c>
      <c r="F85" s="158">
        <f t="shared" si="13"/>
        <v>44348</v>
      </c>
      <c r="J85" s="127">
        <f>'Input|Step changes'!J21*IF('Input|Step changes'!$F21="nominal",LOOKUP($F85,Nominal_to_Real,'Input|Rate of change'!N$26:N$32),INDEX('Input|Rate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K85" s="127">
        <f>'Input|Step changes'!K21*IF('Input|Step changes'!$F21="nominal",LOOKUP($F85,Nominal_to_Real,'Input|Rate of change'!O$26:O$32),INDEX('Input|Rate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L85" s="127">
        <f>'Input|Step changes'!L21*IF('Input|Step changes'!$F21="nominal",LOOKUP($F85,Nominal_to_Real,'Input|Rate of change'!P$26:P$32),INDEX('Input|Rate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M85" s="127">
        <f>'Input|Step changes'!M21*IF('Input|Step changes'!$F21="nominal",LOOKUP($F85,Nominal_to_Real,'Input|Rate of change'!Q$26:Q$32),INDEX('Input|Rate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N85" s="127">
        <f>'Input|Step changes'!N21*IF('Input|Step changes'!$F21="nominal",LOOKUP($F85,Nominal_to_Real,'Input|Rate of change'!R$26:R$32),INDEX('Input|Rate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O85" s="127">
        <f>'Input|Step changes'!O21*IF('Input|Step changes'!$F21="nominal",LOOKUP($F85,Nominal_to_Real,'Input|Rate of change'!S$26:S$32),INDEX('Input|Rate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P85" s="127">
        <f>'Input|Step changes'!P21*IF('Input|Step changes'!$F21="nominal",LOOKUP($F85,Nominal_to_Real,'Input|Rate of change'!T$26:T$32),INDEX('Input|Rate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Q85" s="127">
        <f>'Input|Step changes'!Q21*IF('Input|Step changes'!$F21="nominal",LOOKUP($F85,Nominal_to_Real,'Input|Rate of change'!U$26:U$32),INDEX('Input|Rate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R85" s="127">
        <f>'Input|Step changes'!R21*IF('Input|Step changes'!$F21="nominal",LOOKUP($F85,Nominal_to_Real,'Input|Rate of change'!V$26:V$32),INDEX('Input|Rate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S85" s="127">
        <f>'Input|Step changes'!S21*IF('Input|Step changes'!$F21="nominal",LOOKUP($F85,Nominal_to_Real,'Input|Rate of change'!W$26:W$32),INDEX('Input|Rate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  <c r="T85" s="127">
        <f>'Input|Step changes'!T21*IF('Input|Step changes'!$F21="nominal",LOOKUP($F85,Nominal_to_Real,'Input|Rate of change'!X$26:X$32),INDEX('Input|Rate of change'!$C$14:$P$22,MATCH('Input|Step changes'!$F21,'Input|Rate of change'!$C$14:$C$22,0),MATCH('Calc|Opex forecast'!$F85,'Input|Rate of change'!$C$14:$P$14,0)))*IF('Input|Step changes'!$E21="$millions",1000000,IF('Input|Step changes'!$E21="$000",1000,1))/IF($E85="$millions",1000000,IF($E85="$000",1000,1))</f>
        <v>0</v>
      </c>
    </row>
    <row r="86" spans="1:48" outlineLevel="1">
      <c r="C86" s="121" t="str">
        <f>'Input|Step changes'!C22</f>
        <v/>
      </c>
      <c r="D86" s="110" t="s">
        <v>30</v>
      </c>
      <c r="E86" s="30" t="str">
        <f t="shared" si="12"/>
        <v>$millions</v>
      </c>
      <c r="F86" s="158">
        <f t="shared" si="13"/>
        <v>44348</v>
      </c>
      <c r="J86" s="127">
        <f>'Input|Step changes'!J22*IF('Input|Step changes'!$F22="nominal",LOOKUP($F86,Nominal_to_Real,'Input|Rate of change'!N$26:N$32),INDEX('Input|Rate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K86" s="127">
        <f>'Input|Step changes'!K22*IF('Input|Step changes'!$F22="nominal",LOOKUP($F86,Nominal_to_Real,'Input|Rate of change'!O$26:O$32),INDEX('Input|Rate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L86" s="127">
        <f>'Input|Step changes'!L22*IF('Input|Step changes'!$F22="nominal",LOOKUP($F86,Nominal_to_Real,'Input|Rate of change'!P$26:P$32),INDEX('Input|Rate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M86" s="127">
        <f>'Input|Step changes'!M22*IF('Input|Step changes'!$F22="nominal",LOOKUP($F86,Nominal_to_Real,'Input|Rate of change'!Q$26:Q$32),INDEX('Input|Rate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N86" s="127">
        <f>'Input|Step changes'!N22*IF('Input|Step changes'!$F22="nominal",LOOKUP($F86,Nominal_to_Real,'Input|Rate of change'!R$26:R$32),INDEX('Input|Rate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O86" s="127">
        <f>'Input|Step changes'!O22*IF('Input|Step changes'!$F22="nominal",LOOKUP($F86,Nominal_to_Real,'Input|Rate of change'!S$26:S$32),INDEX('Input|Rate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P86" s="127">
        <f>'Input|Step changes'!P22*IF('Input|Step changes'!$F22="nominal",LOOKUP($F86,Nominal_to_Real,'Input|Rate of change'!T$26:T$32),INDEX('Input|Rate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Q86" s="127">
        <f>'Input|Step changes'!Q22*IF('Input|Step changes'!$F22="nominal",LOOKUP($F86,Nominal_to_Real,'Input|Rate of change'!U$26:U$32),INDEX('Input|Rate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R86" s="127">
        <f>'Input|Step changes'!R22*IF('Input|Step changes'!$F22="nominal",LOOKUP($F86,Nominal_to_Real,'Input|Rate of change'!V$26:V$32),INDEX('Input|Rate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S86" s="127">
        <f>'Input|Step changes'!S22*IF('Input|Step changes'!$F22="nominal",LOOKUP($F86,Nominal_to_Real,'Input|Rate of change'!W$26:W$32),INDEX('Input|Rate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  <c r="T86" s="127">
        <f>'Input|Step changes'!T22*IF('Input|Step changes'!$F22="nominal",LOOKUP($F86,Nominal_to_Real,'Input|Rate of change'!X$26:X$32),INDEX('Input|Rate of change'!$C$14:$P$22,MATCH('Input|Step changes'!$F22,'Input|Rate of change'!$C$14:$C$22,0),MATCH('Calc|Opex forecast'!$F86,'Input|Rate of change'!$C$14:$P$14,0)))*IF('Input|Step changes'!$E22="$millions",1000000,IF('Input|Step changes'!$E22="$000",1000,1))/IF($E86="$millions",1000000,IF($E86="$000",1000,1))</f>
        <v>0</v>
      </c>
    </row>
    <row r="87" spans="1:48" outlineLevel="1">
      <c r="C87" s="121"/>
      <c r="D87" s="110"/>
      <c r="F87" s="112"/>
      <c r="J87" s="173"/>
      <c r="K87" s="173"/>
      <c r="L87" s="173"/>
      <c r="M87" s="173"/>
      <c r="N87" s="173"/>
      <c r="O87" s="173"/>
      <c r="P87" s="173"/>
      <c r="Q87" s="173"/>
      <c r="R87" s="173"/>
      <c r="S87" s="173"/>
      <c r="T87" s="173"/>
    </row>
    <row r="88" spans="1:48" outlineLevel="1">
      <c r="C88" s="113" t="s">
        <v>48</v>
      </c>
      <c r="D88" s="122" t="s">
        <v>30</v>
      </c>
      <c r="E88" s="122" t="str">
        <f>$E$8</f>
        <v>$millions</v>
      </c>
      <c r="F88" s="172">
        <f t="shared" si="13"/>
        <v>44348</v>
      </c>
      <c r="G88" s="32"/>
      <c r="H88" s="32"/>
      <c r="I88" s="32"/>
      <c r="J88" s="174">
        <f>SUM(J75:J87)</f>
        <v>0</v>
      </c>
      <c r="K88" s="174">
        <f t="shared" ref="K88:S88" si="14">SUM(K75:K87)</f>
        <v>0</v>
      </c>
      <c r="L88" s="174">
        <f t="shared" si="14"/>
        <v>0</v>
      </c>
      <c r="M88" s="174">
        <f t="shared" si="14"/>
        <v>0</v>
      </c>
      <c r="N88" s="174">
        <f t="shared" si="14"/>
        <v>0</v>
      </c>
      <c r="O88" s="174">
        <f t="shared" si="14"/>
        <v>0</v>
      </c>
      <c r="P88" s="174">
        <f t="shared" si="14"/>
        <v>12.915229429617224</v>
      </c>
      <c r="Q88" s="174">
        <f t="shared" si="14"/>
        <v>16.807848534817378</v>
      </c>
      <c r="R88" s="174">
        <f t="shared" si="14"/>
        <v>20.561109706590788</v>
      </c>
      <c r="S88" s="174">
        <f t="shared" si="14"/>
        <v>21.683737002593702</v>
      </c>
      <c r="T88" s="174">
        <f t="shared" ref="T88" si="15">SUM(T75:T87)</f>
        <v>23.189751658516403</v>
      </c>
    </row>
    <row r="89" spans="1:48">
      <c r="C89" s="123"/>
      <c r="D89" s="110"/>
      <c r="E89" s="110"/>
      <c r="F89" s="110"/>
      <c r="J89" s="107"/>
      <c r="K89" s="107"/>
      <c r="L89" s="107"/>
      <c r="M89" s="107"/>
      <c r="N89" s="23"/>
      <c r="O89" s="23"/>
      <c r="P89" s="23"/>
      <c r="Q89" s="23"/>
      <c r="R89" s="23"/>
      <c r="S89" s="23"/>
      <c r="T89" s="23"/>
    </row>
    <row r="90" spans="1:48" s="103" customFormat="1" ht="12.75">
      <c r="A90" s="94"/>
      <c r="B90" s="95" t="s">
        <v>114</v>
      </c>
      <c r="C90" s="94"/>
      <c r="D90" s="94"/>
      <c r="E90" s="94"/>
      <c r="F90" s="96"/>
      <c r="G90" s="96"/>
      <c r="H90" s="96"/>
      <c r="I90" s="96"/>
      <c r="J90" s="97"/>
      <c r="K90" s="98"/>
      <c r="L90" s="97"/>
      <c r="M90" s="98"/>
      <c r="N90" s="97"/>
      <c r="O90" s="97"/>
      <c r="P90" s="97"/>
      <c r="Q90" s="97"/>
      <c r="R90" s="97"/>
      <c r="S90" s="97"/>
      <c r="T90" s="97"/>
      <c r="U90" s="97"/>
      <c r="V90" s="97"/>
      <c r="W90" s="98"/>
      <c r="X90" s="98"/>
      <c r="Y90" s="99"/>
      <c r="Z90" s="99"/>
      <c r="AA90" s="99"/>
      <c r="AB90" s="99"/>
      <c r="AC90" s="100"/>
      <c r="AD90" s="101"/>
      <c r="AE90" s="101"/>
      <c r="AF90" s="102"/>
      <c r="AG90" s="102"/>
      <c r="AH90" s="102"/>
      <c r="AI90" s="102"/>
      <c r="AJ90" s="102"/>
      <c r="AK90" s="102"/>
      <c r="AL90" s="102"/>
      <c r="AM90" s="102"/>
      <c r="AN90" s="102"/>
      <c r="AO90" s="102"/>
      <c r="AP90" s="102"/>
      <c r="AQ90" s="102"/>
      <c r="AR90" s="102"/>
      <c r="AS90" s="102"/>
      <c r="AT90" s="102"/>
      <c r="AU90" s="102"/>
      <c r="AV90" s="102"/>
    </row>
    <row r="91" spans="1:48" outlineLevel="1">
      <c r="C91" s="106"/>
      <c r="J91" s="107"/>
      <c r="K91" s="107"/>
      <c r="L91" s="107"/>
    </row>
    <row r="92" spans="1:48" outlineLevel="1">
      <c r="C92" s="67" t="s">
        <v>109</v>
      </c>
      <c r="D92" s="32" t="s">
        <v>7</v>
      </c>
      <c r="E92" s="32" t="s">
        <v>8</v>
      </c>
      <c r="F92" s="32" t="s">
        <v>22</v>
      </c>
      <c r="J92" s="160"/>
      <c r="K92" s="160"/>
      <c r="L92" s="160"/>
      <c r="M92" s="160"/>
      <c r="N92" s="160"/>
      <c r="O92" s="160"/>
      <c r="P92" s="160">
        <f>P$4</f>
        <v>44713</v>
      </c>
      <c r="Q92" s="160">
        <f t="shared" ref="Q92:T92" si="16">Q$4</f>
        <v>45078</v>
      </c>
      <c r="R92" s="160">
        <f t="shared" si="16"/>
        <v>45444</v>
      </c>
      <c r="S92" s="160">
        <f t="shared" si="16"/>
        <v>45809</v>
      </c>
      <c r="T92" s="160">
        <f t="shared" si="16"/>
        <v>46174</v>
      </c>
    </row>
    <row r="93" spans="1:48" outlineLevel="1">
      <c r="C93" s="67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</row>
    <row r="94" spans="1:48" outlineLevel="1">
      <c r="C94" s="121" t="str">
        <f>'Input|Step changes'!C30</f>
        <v>GSL payment</v>
      </c>
      <c r="D94" s="110" t="s">
        <v>30</v>
      </c>
      <c r="E94" s="30" t="str">
        <f t="shared" si="12"/>
        <v>$millions</v>
      </c>
      <c r="F94" s="158">
        <f t="shared" ref="F94:F96" si="17">$F$8</f>
        <v>44348</v>
      </c>
      <c r="J94" s="127">
        <f>'Input|Step changes'!J30*IF('Input|Step changes'!$F30="nominal",LOOKUP($F94,Nominal_to_Real,'Input|Rate of change'!J$26:J$32),INDEX('Input|Rate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K94" s="127">
        <f>'Input|Step changes'!K30*IF('Input|Step changes'!$F30="nominal",LOOKUP($F94,Nominal_to_Real,'Input|Rate of change'!K$26:K$32),INDEX('Input|Rate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L94" s="127">
        <f>'Input|Step changes'!L30*IF('Input|Step changes'!$F30="nominal",LOOKUP($F94,Nominal_to_Real,'Input|Rate of change'!L$26:L$32),INDEX('Input|Rate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M94" s="127">
        <f>'Input|Step changes'!M30*IF('Input|Step changes'!$F30="nominal",LOOKUP($F94,Nominal_to_Real,'Input|Rate of change'!M$26:M$32),INDEX('Input|Rate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N94" s="127">
        <f>'Input|Step changes'!N30*IF('Input|Step changes'!$F30="nominal",LOOKUP($F94,Nominal_to_Real,'Input|Rate of change'!N$26:N$32),INDEX('Input|Rate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O94" s="127">
        <f>'Input|Step changes'!O30*IF('Input|Step changes'!$F30="nominal",LOOKUP($F94,Nominal_to_Real,'Input|Rate of change'!O$26:O$32),INDEX('Input|Rate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P94" s="127">
        <f>'Input|Step changes'!P30*IF('Input|Step changes'!$F30="nominal",LOOKUP($F94,Nominal_to_Real,'Input|Rate of change'!P$26:P$32),INDEX('Input|Rate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2.8944685902263974</v>
      </c>
      <c r="Q94" s="127">
        <f>'Input|Step changes'!Q30*IF('Input|Step changes'!$F30="nominal",LOOKUP($F94,Nominal_to_Real,'Input|Rate of change'!Q$26:Q$32),INDEX('Input|Rate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2.8944685902263974</v>
      </c>
      <c r="R94" s="127">
        <f>'Input|Step changes'!R30*IF('Input|Step changes'!$F30="nominal",LOOKUP($F94,Nominal_to_Real,'Input|Rate of change'!R$26:R$32),INDEX('Input|Rate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2.8944685902263974</v>
      </c>
      <c r="S94" s="127">
        <f>'Input|Step changes'!S30*IF('Input|Step changes'!$F30="nominal",LOOKUP($F94,Nominal_to_Real,'Input|Rate of change'!S$26:S$32),INDEX('Input|Rate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2.8944685902263974</v>
      </c>
      <c r="T94" s="127">
        <f>'Input|Step changes'!T30*IF('Input|Step changes'!$F30="nominal",LOOKUP($F94,Nominal_to_Real,'Input|Rate of change'!T$26:T$32),INDEX('Input|Rate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2.8944685902263974</v>
      </c>
    </row>
    <row r="95" spans="1:48" outlineLevel="1">
      <c r="C95" s="121">
        <f>'Input|Step changes'!C31</f>
        <v>0</v>
      </c>
      <c r="D95" s="110" t="s">
        <v>30</v>
      </c>
      <c r="E95" s="30" t="str">
        <f t="shared" si="12"/>
        <v>$millions</v>
      </c>
      <c r="F95" s="158">
        <f t="shared" si="17"/>
        <v>44348</v>
      </c>
      <c r="J95" s="127">
        <f>'Input|Step changes'!J31*IF('Input|Step changes'!$F31="nominal",LOOKUP($F95,Nominal_to_Real,'Input|Rate of change'!J$26:J$32),INDEX('Input|Rate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K95" s="127">
        <f>'Input|Step changes'!K31*IF('Input|Step changes'!$F31="nominal",LOOKUP($F95,Nominal_to_Real,'Input|Rate of change'!K$26:K$32),INDEX('Input|Rate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L95" s="127">
        <f>'Input|Step changes'!L31*IF('Input|Step changes'!$F31="nominal",LOOKUP($F95,Nominal_to_Real,'Input|Rate of change'!L$26:L$32),INDEX('Input|Rate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M95" s="127">
        <f>'Input|Step changes'!M31*IF('Input|Step changes'!$F31="nominal",LOOKUP($F95,Nominal_to_Real,'Input|Rate of change'!M$26:M$32),INDEX('Input|Rate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N95" s="127">
        <f>'Input|Step changes'!N31*IF('Input|Step changes'!$F31="nominal",LOOKUP($F95,Nominal_to_Real,'Input|Rate of change'!N$26:N$32),INDEX('Input|Rate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O95" s="127">
        <f>'Input|Step changes'!O31*IF('Input|Step changes'!$F31="nominal",LOOKUP($F95,Nominal_to_Real,'Input|Rate of change'!O$26:O$32),INDEX('Input|Rate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P95" s="127">
        <f>'Input|Step changes'!P31*IF('Input|Step changes'!$F31="nominal",LOOKUP($F95,Nominal_to_Real,'Input|Rate of change'!P$26:P$32),INDEX('Input|Rate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Q95" s="127">
        <f>'Input|Step changes'!Q31*IF('Input|Step changes'!$F31="nominal",LOOKUP($F95,Nominal_to_Real,'Input|Rate of change'!Q$26:Q$32),INDEX('Input|Rate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R95" s="127">
        <f>'Input|Step changes'!R31*IF('Input|Step changes'!$F31="nominal",LOOKUP($F95,Nominal_to_Real,'Input|Rate of change'!R$26:R$32),INDEX('Input|Rate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S95" s="127">
        <f>'Input|Step changes'!S31*IF('Input|Step changes'!$F31="nominal",LOOKUP($F95,Nominal_to_Real,'Input|Rate of change'!S$26:S$32),INDEX('Input|Rate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  <c r="T95" s="127">
        <f>'Input|Step changes'!T31*IF('Input|Step changes'!$F31="nominal",LOOKUP($F95,Nominal_to_Real,'Input|Rate of change'!T$26:T$32),INDEX('Input|Rate of change'!$C$14:$P$22,MATCH('Input|Step changes'!$F31,'Input|Rate of change'!$C$14:$C$22,0),MATCH('Calc|Opex forecast'!$F95,'Input|Rate of change'!$C$14:$P$14,0)))*IF('Input|Step changes'!$E31="$millions",1000000,IF('Input|Step changes'!$E31="$000",1000,1))/IF($E95="$millions",1000000,IF($E95="$000",1000,1))</f>
        <v>0</v>
      </c>
    </row>
    <row r="96" spans="1:48" outlineLevel="1">
      <c r="C96" s="121">
        <f>'Input|Step changes'!C32</f>
        <v>0</v>
      </c>
      <c r="D96" s="110" t="s">
        <v>30</v>
      </c>
      <c r="E96" s="30" t="str">
        <f t="shared" si="12"/>
        <v>$millions</v>
      </c>
      <c r="F96" s="158">
        <f t="shared" si="17"/>
        <v>44348</v>
      </c>
      <c r="J96" s="127">
        <f>'Input|Step changes'!J32*IF('Input|Step changes'!$F32="nominal",LOOKUP($F96,Nominal_to_Real,'Input|Rate of change'!J$26:J$32),INDEX('Input|Rate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K96" s="127">
        <f>'Input|Step changes'!K32*IF('Input|Step changes'!$F32="nominal",LOOKUP($F96,Nominal_to_Real,'Input|Rate of change'!K$26:K$32),INDEX('Input|Rate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L96" s="127">
        <f>'Input|Step changes'!L32*IF('Input|Step changes'!$F32="nominal",LOOKUP($F96,Nominal_to_Real,'Input|Rate of change'!L$26:L$32),INDEX('Input|Rate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M96" s="127">
        <f>'Input|Step changes'!M32*IF('Input|Step changes'!$F32="nominal",LOOKUP($F96,Nominal_to_Real,'Input|Rate of change'!M$26:M$32),INDEX('Input|Rate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N96" s="127">
        <f>'Input|Step changes'!N32*IF('Input|Step changes'!$F32="nominal",LOOKUP($F96,Nominal_to_Real,'Input|Rate of change'!N$26:N$32),INDEX('Input|Rate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O96" s="127">
        <f>'Input|Step changes'!O32*IF('Input|Step changes'!$F32="nominal",LOOKUP($F96,Nominal_to_Real,'Input|Rate of change'!O$26:O$32),INDEX('Input|Rate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P96" s="127">
        <f>'Input|Step changes'!P32*IF('Input|Step changes'!$F32="nominal",LOOKUP($F96,Nominal_to_Real,'Input|Rate of change'!P$26:P$32),INDEX('Input|Rate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Q96" s="127">
        <f>'Input|Step changes'!Q32*IF('Input|Step changes'!$F32="nominal",LOOKUP($F96,Nominal_to_Real,'Input|Rate of change'!Q$26:Q$32),INDEX('Input|Rate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R96" s="127">
        <f>'Input|Step changes'!R32*IF('Input|Step changes'!$F32="nominal",LOOKUP($F96,Nominal_to_Real,'Input|Rate of change'!R$26:R$32),INDEX('Input|Rate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S96" s="127">
        <f>'Input|Step changes'!S32*IF('Input|Step changes'!$F32="nominal",LOOKUP($F96,Nominal_to_Real,'Input|Rate of change'!S$26:S$32),INDEX('Input|Rate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  <c r="T96" s="127">
        <f>'Input|Step changes'!T32*IF('Input|Step changes'!$F32="nominal",LOOKUP($F96,Nominal_to_Real,'Input|Rate of change'!T$26:T$32),INDEX('Input|Rate of change'!$C$14:$P$22,MATCH('Input|Step changes'!$F32,'Input|Rate of change'!$C$14:$C$22,0),MATCH('Calc|Opex forecast'!$F96,'Input|Rate of change'!$C$14:$P$14,0)))*IF('Input|Step changes'!$E32="$millions",1000000,IF('Input|Step changes'!$E32="$000",1000,1))/IF($E96="$millions",1000000,IF($E96="$000",1000,1))</f>
        <v>0</v>
      </c>
    </row>
    <row r="97" spans="1:48" outlineLevel="1">
      <c r="C97" s="121"/>
      <c r="D97" s="108"/>
      <c r="F97" s="112"/>
      <c r="J97" s="173"/>
      <c r="K97" s="173"/>
      <c r="L97" s="173"/>
      <c r="M97" s="173"/>
      <c r="N97" s="173"/>
      <c r="O97" s="173"/>
      <c r="P97" s="173"/>
      <c r="Q97" s="173"/>
      <c r="R97" s="173"/>
      <c r="S97" s="173"/>
      <c r="T97" s="173"/>
      <c r="U97" s="107"/>
      <c r="V97" s="107"/>
      <c r="W97" s="107"/>
      <c r="X97" s="107"/>
      <c r="Y97" s="107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</row>
    <row r="98" spans="1:48" outlineLevel="1">
      <c r="C98" s="113" t="s">
        <v>115</v>
      </c>
      <c r="D98" s="122" t="s">
        <v>30</v>
      </c>
      <c r="E98" s="122" t="str">
        <f>$E$8</f>
        <v>$millions</v>
      </c>
      <c r="F98" s="172">
        <f t="shared" ref="F98" si="18">$F$8</f>
        <v>44348</v>
      </c>
      <c r="G98" s="32"/>
      <c r="H98" s="32"/>
      <c r="I98" s="32"/>
      <c r="J98" s="128">
        <f>SUM(J93:J97)</f>
        <v>0</v>
      </c>
      <c r="K98" s="128">
        <f t="shared" ref="K98:S98" si="19">SUM(K93:K97)</f>
        <v>0</v>
      </c>
      <c r="L98" s="128">
        <f t="shared" si="19"/>
        <v>0</v>
      </c>
      <c r="M98" s="128">
        <f t="shared" si="19"/>
        <v>0</v>
      </c>
      <c r="N98" s="128">
        <f t="shared" si="19"/>
        <v>0</v>
      </c>
      <c r="O98" s="128">
        <f t="shared" si="19"/>
        <v>0</v>
      </c>
      <c r="P98" s="128">
        <f t="shared" si="19"/>
        <v>2.8944685902263974</v>
      </c>
      <c r="Q98" s="128">
        <f t="shared" si="19"/>
        <v>2.8944685902263974</v>
      </c>
      <c r="R98" s="128">
        <f t="shared" si="19"/>
        <v>2.8944685902263974</v>
      </c>
      <c r="S98" s="128">
        <f t="shared" si="19"/>
        <v>2.8944685902263974</v>
      </c>
      <c r="T98" s="128">
        <f t="shared" ref="T98" si="20">SUM(T93:T97)</f>
        <v>2.8944685902263974</v>
      </c>
    </row>
    <row r="99" spans="1:48">
      <c r="C99" s="123"/>
      <c r="D99" s="110"/>
      <c r="E99" s="110"/>
      <c r="F99" s="110"/>
      <c r="J99" s="107"/>
      <c r="K99" s="107"/>
      <c r="L99" s="107"/>
      <c r="M99" s="107"/>
      <c r="N99" s="23"/>
      <c r="O99" s="23"/>
      <c r="P99" s="23"/>
      <c r="Q99" s="23"/>
      <c r="R99" s="23"/>
      <c r="S99" s="23"/>
      <c r="T99" s="23"/>
    </row>
    <row r="100" spans="1:48" s="103" customFormat="1" ht="12.75">
      <c r="A100" s="94"/>
      <c r="B100" s="95" t="s">
        <v>90</v>
      </c>
      <c r="C100" s="94"/>
      <c r="D100" s="94"/>
      <c r="E100" s="94"/>
      <c r="F100" s="96"/>
      <c r="G100" s="96"/>
      <c r="H100" s="96"/>
      <c r="I100" s="96"/>
      <c r="J100" s="97"/>
      <c r="K100" s="98"/>
      <c r="L100" s="97"/>
      <c r="M100" s="98"/>
      <c r="N100" s="97"/>
      <c r="O100" s="97"/>
      <c r="P100" s="97"/>
      <c r="Q100" s="97"/>
      <c r="R100" s="97"/>
      <c r="S100" s="97"/>
      <c r="T100" s="97"/>
      <c r="U100" s="97"/>
      <c r="V100" s="97"/>
      <c r="W100" s="98"/>
      <c r="X100" s="98"/>
      <c r="Y100" s="99"/>
      <c r="Z100" s="99"/>
      <c r="AA100" s="99"/>
      <c r="AB100" s="99"/>
      <c r="AC100" s="100"/>
      <c r="AD100" s="101"/>
      <c r="AE100" s="101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</row>
    <row r="101" spans="1:48" outlineLevel="1">
      <c r="C101" s="106"/>
      <c r="J101" s="107"/>
      <c r="K101" s="107"/>
      <c r="L101" s="107"/>
    </row>
    <row r="102" spans="1:48" outlineLevel="1">
      <c r="C102" s="67"/>
      <c r="J102" s="160"/>
      <c r="K102" s="160"/>
      <c r="L102" s="160"/>
      <c r="M102" s="160"/>
      <c r="N102" s="160"/>
      <c r="O102" s="160"/>
      <c r="P102" s="160">
        <f>P$4</f>
        <v>44713</v>
      </c>
      <c r="Q102" s="160">
        <f t="shared" ref="Q102:T102" si="21">Q$4</f>
        <v>45078</v>
      </c>
      <c r="R102" s="160">
        <f t="shared" si="21"/>
        <v>45444</v>
      </c>
      <c r="S102" s="160">
        <f t="shared" si="21"/>
        <v>45809</v>
      </c>
      <c r="T102" s="160">
        <f t="shared" si="21"/>
        <v>46174</v>
      </c>
    </row>
    <row r="103" spans="1:48" outlineLevel="1">
      <c r="C103" s="124"/>
      <c r="D103" s="110"/>
      <c r="E103" s="110"/>
      <c r="F103" s="110"/>
      <c r="J103" s="125"/>
      <c r="K103" s="125"/>
      <c r="L103" s="125"/>
      <c r="M103" s="125"/>
      <c r="N103" s="125"/>
      <c r="O103" s="125"/>
      <c r="P103" s="125"/>
      <c r="Q103" s="125"/>
      <c r="R103" s="125"/>
      <c r="S103" s="125"/>
      <c r="T103" s="125"/>
    </row>
    <row r="104" spans="1:48" outlineLevel="1">
      <c r="C104" s="123" t="s">
        <v>132</v>
      </c>
      <c r="D104" s="126" t="s">
        <v>30</v>
      </c>
      <c r="E104" s="126" t="str">
        <f>$E$8</f>
        <v>$millions</v>
      </c>
      <c r="F104" s="172">
        <f t="shared" ref="F104:F106" si="22">$F$8</f>
        <v>44348</v>
      </c>
      <c r="J104" s="149"/>
      <c r="K104" s="149"/>
      <c r="L104" s="149"/>
      <c r="M104" s="149"/>
      <c r="N104" s="149"/>
      <c r="O104" s="149"/>
      <c r="P104" s="149">
        <f ca="1">(1+P70)*SUM($J56:$S56)+P88</f>
        <v>267.64466194394589</v>
      </c>
      <c r="Q104" s="149">
        <f t="shared" ref="Q104:T104" ca="1" si="23">(1+Q70)*SUM($J56:$S56)+Q88</f>
        <v>273.67475794494663</v>
      </c>
      <c r="R104" s="149">
        <f t="shared" ca="1" si="23"/>
        <v>280.28425694381718</v>
      </c>
      <c r="S104" s="149">
        <f t="shared" ca="1" si="23"/>
        <v>284.77409694918816</v>
      </c>
      <c r="T104" s="149">
        <f t="shared" ca="1" si="23"/>
        <v>290.13015339316246</v>
      </c>
    </row>
    <row r="105" spans="1:48" outlineLevel="1">
      <c r="C105" s="123" t="s">
        <v>107</v>
      </c>
      <c r="D105" s="126" t="s">
        <v>30</v>
      </c>
      <c r="E105" s="126" t="str">
        <f>$E$8</f>
        <v>$millions</v>
      </c>
      <c r="F105" s="172">
        <f t="shared" si="22"/>
        <v>44348</v>
      </c>
      <c r="J105" s="149"/>
      <c r="K105" s="149"/>
      <c r="L105" s="149"/>
      <c r="M105" s="149"/>
      <c r="N105" s="149"/>
      <c r="O105" s="149"/>
      <c r="P105" s="149">
        <f ca="1">(1+P70)*SUM($J56:$S56)+P88+P98</f>
        <v>270.53913053417227</v>
      </c>
      <c r="Q105" s="149">
        <f t="shared" ref="Q105:T105" ca="1" si="24">(1+Q70)*SUM($J56:$S56)+Q88+Q98</f>
        <v>276.56922653517302</v>
      </c>
      <c r="R105" s="149">
        <f t="shared" ca="1" si="24"/>
        <v>283.17872553404356</v>
      </c>
      <c r="S105" s="149">
        <f t="shared" ca="1" si="24"/>
        <v>287.66856553941454</v>
      </c>
      <c r="T105" s="149">
        <f t="shared" ca="1" si="24"/>
        <v>293.02462198338884</v>
      </c>
    </row>
    <row r="106" spans="1:48" outlineLevel="1">
      <c r="C106" s="123" t="s">
        <v>108</v>
      </c>
      <c r="D106" s="126" t="s">
        <v>30</v>
      </c>
      <c r="E106" s="126" t="str">
        <f>$E$8</f>
        <v>$millions</v>
      </c>
      <c r="F106" s="172">
        <f t="shared" si="22"/>
        <v>44348</v>
      </c>
      <c r="J106" s="149"/>
      <c r="K106" s="149"/>
      <c r="L106" s="149"/>
      <c r="M106" s="149"/>
      <c r="N106" s="149"/>
      <c r="O106" s="149"/>
      <c r="P106" s="149">
        <f ca="1">P105+'Input|Step changes'!P40</f>
        <v>272.67354288101461</v>
      </c>
      <c r="Q106" s="149">
        <f ca="1">Q105+'Input|Step changes'!Q40</f>
        <v>278.79312540728284</v>
      </c>
      <c r="R106" s="149">
        <f ca="1">R105+'Input|Step changes'!R40</f>
        <v>285.50173811612575</v>
      </c>
      <c r="S106" s="149">
        <f ca="1">S105+'Input|Step changes'!S40</f>
        <v>290.04949986996547</v>
      </c>
      <c r="T106" s="149">
        <f ca="1">T105+'Input|Step changes'!T40</f>
        <v>295.43803044035553</v>
      </c>
    </row>
    <row r="107" spans="1:48">
      <c r="C107" s="123"/>
      <c r="D107" s="110"/>
      <c r="E107" s="110"/>
      <c r="F107" s="110"/>
      <c r="J107" s="107"/>
      <c r="K107" s="107"/>
      <c r="L107" s="107"/>
      <c r="M107" s="107"/>
      <c r="N107" s="23"/>
      <c r="O107" s="23"/>
      <c r="P107" s="23"/>
      <c r="Q107" s="23"/>
      <c r="R107" s="23"/>
      <c r="S107" s="23"/>
      <c r="T107" s="23"/>
    </row>
    <row r="108" spans="1:48" s="103" customFormat="1" ht="12.75">
      <c r="A108" s="94"/>
      <c r="B108" s="95" t="s">
        <v>21</v>
      </c>
      <c r="C108" s="94"/>
      <c r="D108" s="94"/>
      <c r="E108" s="94"/>
      <c r="F108" s="96"/>
      <c r="G108" s="96"/>
      <c r="H108" s="96"/>
      <c r="I108" s="96"/>
      <c r="J108" s="97"/>
      <c r="K108" s="98"/>
      <c r="L108" s="97"/>
      <c r="M108" s="98"/>
      <c r="N108" s="97"/>
      <c r="O108" s="97"/>
      <c r="P108" s="97"/>
      <c r="Q108" s="97"/>
      <c r="R108" s="97"/>
      <c r="S108" s="97"/>
      <c r="T108" s="97"/>
      <c r="U108" s="97"/>
      <c r="V108" s="97"/>
      <c r="W108" s="98"/>
      <c r="X108" s="98"/>
      <c r="Y108" s="99"/>
      <c r="Z108" s="99"/>
      <c r="AA108" s="99"/>
      <c r="AB108" s="99"/>
      <c r="AC108" s="100"/>
      <c r="AD108" s="101"/>
      <c r="AE108" s="101"/>
      <c r="AF108" s="102"/>
      <c r="AG108" s="102"/>
      <c r="AH108" s="102"/>
      <c r="AI108" s="102"/>
      <c r="AJ108" s="102"/>
      <c r="AK108" s="102"/>
      <c r="AL108" s="102"/>
      <c r="AM108" s="102"/>
      <c r="AN108" s="102"/>
      <c r="AO108" s="102"/>
      <c r="AP108" s="102"/>
      <c r="AQ108" s="102"/>
      <c r="AR108" s="102"/>
      <c r="AS108" s="102"/>
      <c r="AT108" s="102"/>
      <c r="AU108" s="102"/>
      <c r="AV108" s="102"/>
    </row>
    <row r="109" spans="1:48" hidden="1"/>
    <row r="110" spans="1:48" hidden="1"/>
    <row r="111" spans="1:48" hidden="1"/>
    <row r="112" spans="1:48" hidden="1"/>
    <row r="113" spans="4:9" hidden="1"/>
    <row r="114" spans="4:9" hidden="1"/>
    <row r="115" spans="4:9" hidden="1"/>
    <row r="116" spans="4:9" hidden="1"/>
    <row r="117" spans="4:9" hidden="1">
      <c r="D117" s="29"/>
      <c r="E117" s="29"/>
      <c r="F117" s="29"/>
      <c r="G117" s="29"/>
      <c r="H117" s="29"/>
      <c r="I117" s="29"/>
    </row>
    <row r="118" spans="4:9" hidden="1">
      <c r="D118" s="29"/>
      <c r="E118" s="29"/>
      <c r="F118" s="29"/>
      <c r="G118" s="29"/>
      <c r="H118" s="29"/>
      <c r="I118" s="29"/>
    </row>
    <row r="119" spans="4:9" hidden="1">
      <c r="D119" s="29"/>
      <c r="E119" s="29"/>
      <c r="F119" s="29"/>
      <c r="G119" s="29"/>
      <c r="H119" s="29"/>
      <c r="I119" s="29"/>
    </row>
    <row r="120" spans="4:9" hidden="1">
      <c r="D120" s="29"/>
      <c r="E120" s="29"/>
      <c r="F120" s="29"/>
      <c r="G120" s="29"/>
      <c r="H120" s="29"/>
      <c r="I120" s="29"/>
    </row>
    <row r="121" spans="4:9" hidden="1">
      <c r="D121" s="29"/>
      <c r="E121" s="29"/>
      <c r="F121" s="29"/>
      <c r="G121" s="29"/>
      <c r="H121" s="29"/>
      <c r="I121" s="29"/>
    </row>
    <row r="122" spans="4:9" hidden="1">
      <c r="D122" s="29"/>
      <c r="E122" s="29"/>
      <c r="F122" s="29"/>
      <c r="G122" s="29"/>
      <c r="H122" s="29"/>
      <c r="I122" s="29"/>
    </row>
    <row r="123" spans="4:9" hidden="1">
      <c r="D123" s="29"/>
      <c r="E123" s="29"/>
      <c r="F123" s="29"/>
      <c r="G123" s="29"/>
      <c r="H123" s="29"/>
      <c r="I123" s="29"/>
    </row>
    <row r="124" spans="4:9" hidden="1">
      <c r="D124" s="29"/>
      <c r="E124" s="29"/>
      <c r="F124" s="29"/>
      <c r="G124" s="29"/>
      <c r="H124" s="29"/>
      <c r="I124" s="29"/>
    </row>
    <row r="125" spans="4:9" hidden="1">
      <c r="D125" s="29"/>
      <c r="E125" s="29"/>
      <c r="F125" s="29"/>
      <c r="G125" s="29"/>
      <c r="H125" s="29"/>
      <c r="I125" s="29"/>
    </row>
    <row r="126" spans="4:9" hidden="1">
      <c r="D126" s="29"/>
      <c r="E126" s="29"/>
      <c r="F126" s="29"/>
      <c r="G126" s="29"/>
      <c r="H126" s="29"/>
      <c r="I126" s="29"/>
    </row>
    <row r="127" spans="4:9" hidden="1">
      <c r="D127" s="29"/>
      <c r="E127" s="29"/>
      <c r="F127" s="29"/>
      <c r="G127" s="29"/>
      <c r="H127" s="29"/>
      <c r="I127" s="29"/>
    </row>
    <row r="128" spans="4:9" hidden="1">
      <c r="D128" s="29"/>
      <c r="E128" s="29"/>
      <c r="F128" s="29"/>
      <c r="G128" s="29"/>
      <c r="H128" s="29"/>
      <c r="I128" s="29"/>
    </row>
    <row r="129" spans="4:9" hidden="1">
      <c r="D129" s="29"/>
      <c r="E129" s="29"/>
      <c r="F129" s="29"/>
      <c r="G129" s="29"/>
      <c r="H129" s="29"/>
      <c r="I129" s="29"/>
    </row>
    <row r="130" spans="4:9" hidden="1">
      <c r="D130" s="29"/>
      <c r="E130" s="29"/>
      <c r="F130" s="29"/>
      <c r="G130" s="29"/>
      <c r="H130" s="29"/>
      <c r="I130" s="29"/>
    </row>
    <row r="131" spans="4:9" hidden="1">
      <c r="D131" s="29"/>
      <c r="E131" s="29"/>
      <c r="F131" s="29"/>
      <c r="G131" s="29"/>
      <c r="H131" s="29"/>
      <c r="I131" s="29"/>
    </row>
    <row r="132" spans="4:9" hidden="1">
      <c r="D132" s="29"/>
      <c r="E132" s="29"/>
      <c r="F132" s="29"/>
      <c r="G132" s="29"/>
      <c r="H132" s="29"/>
      <c r="I132" s="29"/>
    </row>
    <row r="133" spans="4:9" hidden="1">
      <c r="D133" s="29"/>
      <c r="E133" s="29"/>
      <c r="F133" s="29"/>
      <c r="G133" s="29"/>
      <c r="H133" s="29"/>
      <c r="I133" s="29"/>
    </row>
    <row r="134" spans="4:9" hidden="1">
      <c r="D134" s="29"/>
      <c r="E134" s="29"/>
      <c r="F134" s="29"/>
      <c r="G134" s="29"/>
      <c r="H134" s="29"/>
      <c r="I134" s="29"/>
    </row>
    <row r="135" spans="4:9" hidden="1">
      <c r="D135" s="29"/>
      <c r="E135" s="29"/>
      <c r="F135" s="29"/>
      <c r="G135" s="29"/>
      <c r="H135" s="29"/>
      <c r="I135" s="29"/>
    </row>
    <row r="136" spans="4:9" hidden="1">
      <c r="D136" s="29"/>
      <c r="E136" s="29"/>
      <c r="F136" s="29"/>
      <c r="G136" s="29"/>
      <c r="H136" s="29"/>
      <c r="I136" s="29"/>
    </row>
    <row r="137" spans="4:9" hidden="1">
      <c r="D137" s="29"/>
      <c r="E137" s="29"/>
      <c r="F137" s="29"/>
      <c r="G137" s="29"/>
      <c r="H137" s="29"/>
      <c r="I137" s="29"/>
    </row>
    <row r="138" spans="4:9" hidden="1">
      <c r="D138" s="29"/>
      <c r="E138" s="29"/>
      <c r="F138" s="29"/>
      <c r="G138" s="29"/>
      <c r="H138" s="29"/>
      <c r="I138" s="29"/>
    </row>
    <row r="139" spans="4:9" hidden="1">
      <c r="D139" s="29"/>
      <c r="E139" s="29"/>
      <c r="F139" s="29"/>
      <c r="G139" s="29"/>
      <c r="H139" s="29"/>
      <c r="I139" s="29"/>
    </row>
    <row r="140" spans="4:9" hidden="1">
      <c r="D140" s="29"/>
      <c r="E140" s="29"/>
      <c r="F140" s="29"/>
      <c r="G140" s="29"/>
      <c r="H140" s="29"/>
      <c r="I140" s="29"/>
    </row>
    <row r="141" spans="4:9" hidden="1">
      <c r="D141" s="29"/>
      <c r="E141" s="29"/>
      <c r="F141" s="29"/>
      <c r="G141" s="29"/>
      <c r="H141" s="29"/>
      <c r="I141" s="29"/>
    </row>
    <row r="142" spans="4:9" hidden="1">
      <c r="D142" s="29"/>
      <c r="E142" s="29"/>
      <c r="F142" s="29"/>
      <c r="G142" s="29"/>
      <c r="H142" s="29"/>
      <c r="I142" s="29"/>
    </row>
    <row r="143" spans="4:9" hidden="1">
      <c r="D143" s="29"/>
      <c r="E143" s="29"/>
      <c r="F143" s="29"/>
      <c r="G143" s="29"/>
      <c r="H143" s="29"/>
      <c r="I143" s="29"/>
    </row>
    <row r="144" spans="4:9" hidden="1">
      <c r="D144" s="29"/>
      <c r="E144" s="29"/>
      <c r="F144" s="29"/>
      <c r="G144" s="29"/>
      <c r="H144" s="29"/>
      <c r="I144" s="29"/>
    </row>
    <row r="145" spans="4:9" hidden="1">
      <c r="D145" s="29"/>
      <c r="E145" s="29"/>
      <c r="F145" s="29"/>
      <c r="G145" s="29"/>
      <c r="H145" s="29"/>
      <c r="I145" s="29"/>
    </row>
    <row r="146" spans="4:9" hidden="1">
      <c r="D146" s="29"/>
      <c r="E146" s="29"/>
      <c r="F146" s="29"/>
      <c r="G146" s="29"/>
      <c r="H146" s="29"/>
      <c r="I146" s="29"/>
    </row>
    <row r="147" spans="4:9" hidden="1">
      <c r="D147" s="29"/>
      <c r="E147" s="29"/>
      <c r="F147" s="29"/>
      <c r="G147" s="29"/>
      <c r="H147" s="29"/>
      <c r="I147" s="29"/>
    </row>
    <row r="148" spans="4:9" hidden="1">
      <c r="D148" s="29"/>
      <c r="E148" s="29"/>
      <c r="F148" s="29"/>
      <c r="G148" s="29"/>
      <c r="H148" s="29"/>
      <c r="I148" s="29"/>
    </row>
    <row r="149" spans="4:9" hidden="1">
      <c r="D149" s="29"/>
      <c r="E149" s="29"/>
      <c r="F149" s="29"/>
      <c r="G149" s="29"/>
      <c r="H149" s="29"/>
      <c r="I149" s="29"/>
    </row>
    <row r="150" spans="4:9" hidden="1">
      <c r="D150" s="29"/>
      <c r="E150" s="29"/>
      <c r="F150" s="29"/>
      <c r="G150" s="29"/>
      <c r="H150" s="29"/>
      <c r="I150" s="29"/>
    </row>
    <row r="151" spans="4:9" hidden="1">
      <c r="D151" s="29"/>
      <c r="E151" s="29"/>
      <c r="F151" s="29"/>
      <c r="G151" s="29"/>
      <c r="H151" s="29"/>
      <c r="I151" s="29"/>
    </row>
    <row r="152" spans="4:9" hidden="1">
      <c r="D152" s="29"/>
      <c r="E152" s="29"/>
      <c r="F152" s="29"/>
      <c r="G152" s="29"/>
      <c r="H152" s="29"/>
      <c r="I152" s="29"/>
    </row>
    <row r="153" spans="4:9" hidden="1">
      <c r="D153" s="29"/>
      <c r="E153" s="29"/>
      <c r="F153" s="29"/>
      <c r="G153" s="29"/>
      <c r="H153" s="29"/>
      <c r="I153" s="29"/>
    </row>
    <row r="154" spans="4:9" hidden="1">
      <c r="D154" s="29"/>
      <c r="E154" s="29"/>
      <c r="F154" s="29"/>
      <c r="G154" s="29"/>
      <c r="H154" s="29"/>
      <c r="I154" s="29"/>
    </row>
    <row r="155" spans="4:9" hidden="1">
      <c r="D155" s="29"/>
      <c r="E155" s="29"/>
      <c r="F155" s="29"/>
      <c r="G155" s="29"/>
      <c r="H155" s="29"/>
      <c r="I155" s="29"/>
    </row>
    <row r="156" spans="4:9" hidden="1">
      <c r="D156" s="29"/>
      <c r="E156" s="29"/>
      <c r="F156" s="29"/>
      <c r="G156" s="29"/>
      <c r="H156" s="29"/>
      <c r="I156" s="29"/>
    </row>
    <row r="157" spans="4:9" hidden="1">
      <c r="D157" s="29"/>
      <c r="E157" s="29"/>
      <c r="F157" s="29"/>
      <c r="G157" s="29"/>
      <c r="H157" s="29"/>
      <c r="I157" s="29"/>
    </row>
    <row r="158" spans="4:9" hidden="1">
      <c r="D158" s="29"/>
      <c r="E158" s="29"/>
      <c r="F158" s="29"/>
      <c r="G158" s="29"/>
      <c r="H158" s="29"/>
      <c r="I158" s="29"/>
    </row>
    <row r="159" spans="4:9" hidden="1">
      <c r="D159" s="29"/>
      <c r="E159" s="29"/>
      <c r="F159" s="29"/>
      <c r="G159" s="29"/>
      <c r="H159" s="29"/>
      <c r="I159" s="29"/>
    </row>
    <row r="160" spans="4:9" hidden="1">
      <c r="D160" s="29"/>
      <c r="E160" s="29"/>
      <c r="F160" s="29"/>
      <c r="G160" s="29"/>
      <c r="H160" s="29"/>
      <c r="I160" s="29"/>
    </row>
    <row r="161" spans="4:9" hidden="1">
      <c r="D161" s="29"/>
      <c r="E161" s="29"/>
      <c r="F161" s="29"/>
      <c r="G161" s="29"/>
      <c r="H161" s="29"/>
      <c r="I161" s="29"/>
    </row>
    <row r="162" spans="4:9" hidden="1">
      <c r="D162" s="29"/>
      <c r="E162" s="29"/>
      <c r="F162" s="29"/>
      <c r="G162" s="29"/>
      <c r="H162" s="29"/>
      <c r="I162" s="29"/>
    </row>
    <row r="163" spans="4:9" hidden="1">
      <c r="D163" s="29"/>
      <c r="E163" s="29"/>
      <c r="F163" s="29"/>
      <c r="G163" s="29"/>
      <c r="H163" s="29"/>
      <c r="I163" s="29"/>
    </row>
    <row r="164" spans="4:9" hidden="1">
      <c r="D164" s="29"/>
      <c r="E164" s="29"/>
      <c r="F164" s="29"/>
      <c r="G164" s="29"/>
      <c r="H164" s="29"/>
      <c r="I164" s="29"/>
    </row>
    <row r="165" spans="4:9" hidden="1">
      <c r="D165" s="29"/>
      <c r="E165" s="29"/>
      <c r="F165" s="29"/>
      <c r="G165" s="29"/>
      <c r="H165" s="29"/>
      <c r="I165" s="29"/>
    </row>
    <row r="166" spans="4:9" hidden="1">
      <c r="D166" s="29"/>
      <c r="E166" s="29"/>
      <c r="F166" s="29"/>
      <c r="G166" s="29"/>
      <c r="H166" s="29"/>
      <c r="I166" s="29"/>
    </row>
    <row r="167" spans="4:9" hidden="1">
      <c r="D167" s="29"/>
      <c r="E167" s="29"/>
      <c r="F167" s="29"/>
      <c r="G167" s="29"/>
      <c r="H167" s="29"/>
      <c r="I167" s="29"/>
    </row>
    <row r="168" spans="4:9" hidden="1">
      <c r="D168" s="29"/>
      <c r="E168" s="29"/>
      <c r="F168" s="29"/>
      <c r="G168" s="29"/>
      <c r="H168" s="29"/>
      <c r="I168" s="29"/>
    </row>
    <row r="169" spans="4:9" hidden="1">
      <c r="D169" s="29"/>
      <c r="E169" s="29"/>
      <c r="F169" s="29"/>
      <c r="G169" s="29"/>
      <c r="H169" s="29"/>
      <c r="I169" s="29"/>
    </row>
    <row r="170" spans="4:9" hidden="1">
      <c r="D170" s="29"/>
      <c r="E170" s="29"/>
      <c r="F170" s="29"/>
      <c r="G170" s="29"/>
      <c r="H170" s="29"/>
      <c r="I170" s="29"/>
    </row>
    <row r="171" spans="4:9" hidden="1">
      <c r="D171" s="29"/>
      <c r="E171" s="29"/>
      <c r="F171" s="29"/>
      <c r="G171" s="29"/>
      <c r="H171" s="29"/>
      <c r="I171" s="29"/>
    </row>
    <row r="172" spans="4:9" hidden="1">
      <c r="D172" s="29"/>
      <c r="E172" s="29"/>
      <c r="F172" s="29"/>
      <c r="G172" s="29"/>
      <c r="H172" s="29"/>
      <c r="I172" s="29"/>
    </row>
    <row r="173" spans="4:9" hidden="1">
      <c r="D173" s="29"/>
      <c r="E173" s="29"/>
      <c r="F173" s="29"/>
      <c r="G173" s="29"/>
      <c r="H173" s="29"/>
      <c r="I173" s="29"/>
    </row>
    <row r="174" spans="4:9" hidden="1">
      <c r="D174" s="29"/>
      <c r="E174" s="29"/>
      <c r="F174" s="29"/>
      <c r="G174" s="29"/>
      <c r="H174" s="29"/>
      <c r="I174" s="29"/>
    </row>
    <row r="175" spans="4:9" hidden="1">
      <c r="D175" s="29"/>
      <c r="E175" s="29"/>
      <c r="F175" s="29"/>
      <c r="G175" s="29"/>
      <c r="H175" s="29"/>
      <c r="I175" s="29"/>
    </row>
    <row r="176" spans="4:9" hidden="1">
      <c r="D176" s="29"/>
      <c r="E176" s="29"/>
      <c r="F176" s="29"/>
      <c r="G176" s="29"/>
      <c r="H176" s="29"/>
      <c r="I176" s="29"/>
    </row>
    <row r="177" spans="4:9" hidden="1">
      <c r="D177" s="29"/>
      <c r="E177" s="29"/>
      <c r="F177" s="29"/>
      <c r="G177" s="29"/>
      <c r="H177" s="29"/>
      <c r="I177" s="29"/>
    </row>
    <row r="178" spans="4:9" hidden="1">
      <c r="D178" s="29"/>
      <c r="E178" s="29"/>
      <c r="F178" s="29"/>
      <c r="G178" s="29"/>
      <c r="H178" s="29"/>
      <c r="I178" s="29"/>
    </row>
    <row r="179" spans="4:9" hidden="1">
      <c r="D179" s="29"/>
      <c r="E179" s="29"/>
      <c r="F179" s="29"/>
      <c r="G179" s="29"/>
      <c r="H179" s="29"/>
      <c r="I179" s="29"/>
    </row>
    <row r="180" spans="4:9" hidden="1">
      <c r="D180" s="29"/>
      <c r="E180" s="29"/>
      <c r="F180" s="29"/>
      <c r="G180" s="29"/>
      <c r="H180" s="29"/>
      <c r="I180" s="29"/>
    </row>
    <row r="181" spans="4:9" hidden="1">
      <c r="D181" s="29"/>
      <c r="E181" s="29"/>
      <c r="F181" s="29"/>
      <c r="G181" s="29"/>
      <c r="H181" s="29"/>
      <c r="I181" s="29"/>
    </row>
    <row r="182" spans="4:9" hidden="1">
      <c r="D182" s="29"/>
      <c r="E182" s="29"/>
      <c r="F182" s="29"/>
      <c r="G182" s="29"/>
      <c r="H182" s="29"/>
      <c r="I182" s="29"/>
    </row>
    <row r="183" spans="4:9" hidden="1">
      <c r="D183" s="29"/>
      <c r="E183" s="29"/>
      <c r="F183" s="29"/>
      <c r="G183" s="29"/>
      <c r="H183" s="29"/>
      <c r="I183" s="29"/>
    </row>
    <row r="184" spans="4:9" hidden="1">
      <c r="D184" s="29"/>
      <c r="E184" s="29"/>
      <c r="F184" s="29"/>
      <c r="G184" s="29"/>
      <c r="H184" s="29"/>
      <c r="I184" s="29"/>
    </row>
    <row r="185" spans="4:9" hidden="1">
      <c r="D185" s="29"/>
      <c r="E185" s="29"/>
      <c r="F185" s="29"/>
      <c r="G185" s="29"/>
      <c r="H185" s="29"/>
      <c r="I185" s="29"/>
    </row>
    <row r="186" spans="4:9" hidden="1">
      <c r="D186" s="29"/>
      <c r="E186" s="29"/>
      <c r="F186" s="29"/>
      <c r="G186" s="29"/>
      <c r="H186" s="29"/>
      <c r="I186" s="29"/>
    </row>
    <row r="187" spans="4:9" hidden="1">
      <c r="D187" s="29"/>
      <c r="E187" s="29"/>
      <c r="F187" s="29"/>
      <c r="G187" s="29"/>
      <c r="H187" s="29"/>
      <c r="I187" s="29"/>
    </row>
    <row r="188" spans="4:9" hidden="1">
      <c r="D188" s="29"/>
      <c r="E188" s="29"/>
      <c r="F188" s="29"/>
      <c r="G188" s="29"/>
      <c r="H188" s="29"/>
      <c r="I188" s="29"/>
    </row>
    <row r="189" spans="4:9" hidden="1">
      <c r="D189" s="29"/>
      <c r="E189" s="29"/>
      <c r="F189" s="29"/>
      <c r="G189" s="29"/>
      <c r="H189" s="29"/>
      <c r="I189" s="29"/>
    </row>
    <row r="190" spans="4:9" hidden="1">
      <c r="D190" s="29"/>
      <c r="E190" s="29"/>
      <c r="F190" s="29"/>
      <c r="G190" s="29"/>
      <c r="H190" s="29"/>
      <c r="I190" s="29"/>
    </row>
    <row r="191" spans="4:9" hidden="1">
      <c r="D191" s="29"/>
      <c r="E191" s="29"/>
      <c r="F191" s="29"/>
      <c r="G191" s="29"/>
      <c r="H191" s="29"/>
      <c r="I191" s="29"/>
    </row>
    <row r="192" spans="4:9" hidden="1">
      <c r="D192" s="29"/>
      <c r="E192" s="29"/>
      <c r="F192" s="29"/>
      <c r="G192" s="29"/>
      <c r="H192" s="29"/>
      <c r="I192" s="29"/>
    </row>
    <row r="193" spans="4:9" hidden="1">
      <c r="D193" s="29"/>
      <c r="E193" s="29"/>
      <c r="F193" s="29"/>
      <c r="G193" s="29"/>
      <c r="H193" s="29"/>
      <c r="I193" s="29"/>
    </row>
    <row r="194" spans="4:9" hidden="1"/>
    <row r="195" spans="4:9" hidden="1"/>
    <row r="196" spans="4:9" hidden="1"/>
  </sheetData>
  <mergeCells count="1">
    <mergeCell ref="N3:S3"/>
  </mergeCells>
  <conditionalFormatting sqref="S1:T1">
    <cfRule type="cellIs" dxfId="110" priority="123" operator="equal">
      <formula>"Check"</formula>
    </cfRule>
    <cfRule type="cellIs" dxfId="109" priority="124" operator="equal">
      <formula>"Ok"</formula>
    </cfRule>
  </conditionalFormatting>
  <conditionalFormatting sqref="W1">
    <cfRule type="cellIs" dxfId="108" priority="125" operator="equal">
      <formula>"Check"</formula>
    </cfRule>
    <cfRule type="cellIs" dxfId="107" priority="126" operator="equal">
      <formula>"Ok"</formula>
    </cfRule>
  </conditionalFormatting>
  <conditionalFormatting sqref="R41:T41 R44:T44 R47:T47 R50:T50 J12:T19">
    <cfRule type="cellIs" dxfId="106" priority="122" operator="equal">
      <formula>0</formula>
    </cfRule>
  </conditionalFormatting>
  <conditionalFormatting sqref="J13:T13">
    <cfRule type="cellIs" dxfId="105" priority="121" operator="equal">
      <formula>0</formula>
    </cfRule>
  </conditionalFormatting>
  <conditionalFormatting sqref="J14:T14">
    <cfRule type="cellIs" dxfId="104" priority="120" operator="equal">
      <formula>0</formula>
    </cfRule>
  </conditionalFormatting>
  <conditionalFormatting sqref="J15:T16">
    <cfRule type="cellIs" dxfId="103" priority="119" operator="equal">
      <formula>0</formula>
    </cfRule>
  </conditionalFormatting>
  <conditionalFormatting sqref="J17:T17">
    <cfRule type="cellIs" dxfId="102" priority="118" operator="equal">
      <formula>0</formula>
    </cfRule>
  </conditionalFormatting>
  <conditionalFormatting sqref="J18:T19">
    <cfRule type="cellIs" dxfId="101" priority="117" operator="equal">
      <formula>0</formula>
    </cfRule>
  </conditionalFormatting>
  <conditionalFormatting sqref="J63:T67">
    <cfRule type="cellIs" dxfId="100" priority="116" operator="equal">
      <formula>0</formula>
    </cfRule>
  </conditionalFormatting>
  <conditionalFormatting sqref="J94:T96 J76:T86">
    <cfRule type="cellIs" dxfId="99" priority="114" operator="equal">
      <formula>0</formula>
    </cfRule>
  </conditionalFormatting>
  <conditionalFormatting sqref="J38:T38 J53:T56 J35:T36">
    <cfRule type="cellIs" dxfId="98" priority="111" operator="equal">
      <formula>0</formula>
    </cfRule>
  </conditionalFormatting>
  <conditionalFormatting sqref="J105:T106">
    <cfRule type="cellIs" dxfId="97" priority="110" operator="equal">
      <formula>0</formula>
    </cfRule>
  </conditionalFormatting>
  <conditionalFormatting sqref="J105:T106">
    <cfRule type="cellIs" dxfId="96" priority="109" operator="equal">
      <formula>0</formula>
    </cfRule>
  </conditionalFormatting>
  <conditionalFormatting sqref="J48:T48">
    <cfRule type="cellIs" dxfId="95" priority="72" operator="equal">
      <formula>0</formula>
    </cfRule>
  </conditionalFormatting>
  <conditionalFormatting sqref="J41:Q41 J44:Q44 J47:Q47">
    <cfRule type="cellIs" dxfId="94" priority="90" operator="equal">
      <formula>0</formula>
    </cfRule>
  </conditionalFormatting>
  <conditionalFormatting sqref="J41:Q41 J44:Q44 J47:Q47">
    <cfRule type="cellIs" dxfId="93" priority="89" operator="equal">
      <formula>0</formula>
    </cfRule>
  </conditionalFormatting>
  <conditionalFormatting sqref="J39:T39">
    <cfRule type="cellIs" dxfId="92" priority="85" operator="equal">
      <formula>0</formula>
    </cfRule>
  </conditionalFormatting>
  <conditionalFormatting sqref="J39:T39">
    <cfRule type="cellIs" dxfId="91" priority="84" operator="equal">
      <formula>0</formula>
    </cfRule>
  </conditionalFormatting>
  <conditionalFormatting sqref="J50:Q50">
    <cfRule type="cellIs" dxfId="90" priority="75" operator="equal">
      <formula>0</formula>
    </cfRule>
  </conditionalFormatting>
  <conditionalFormatting sqref="J50:Q50">
    <cfRule type="cellIs" dxfId="89" priority="74" operator="equal">
      <formula>0</formula>
    </cfRule>
  </conditionalFormatting>
  <conditionalFormatting sqref="J42:T42">
    <cfRule type="cellIs" dxfId="88" priority="81" operator="equal">
      <formula>0</formula>
    </cfRule>
  </conditionalFormatting>
  <conditionalFormatting sqref="J42:T42">
    <cfRule type="cellIs" dxfId="87" priority="80" operator="equal">
      <formula>0</formula>
    </cfRule>
  </conditionalFormatting>
  <conditionalFormatting sqref="J48:T48">
    <cfRule type="cellIs" dxfId="86" priority="73" operator="equal">
      <formula>0</formula>
    </cfRule>
  </conditionalFormatting>
  <conditionalFormatting sqref="J45:T45">
    <cfRule type="cellIs" dxfId="85" priority="77" operator="equal">
      <formula>0</formula>
    </cfRule>
  </conditionalFormatting>
  <conditionalFormatting sqref="J45:T45">
    <cfRule type="cellIs" dxfId="84" priority="76" operator="equal">
      <formula>0</formula>
    </cfRule>
  </conditionalFormatting>
  <conditionalFormatting sqref="J51:T51">
    <cfRule type="cellIs" dxfId="83" priority="67" operator="equal">
      <formula>0</formula>
    </cfRule>
  </conditionalFormatting>
  <conditionalFormatting sqref="J51:T51">
    <cfRule type="cellIs" dxfId="82" priority="68" operator="equal">
      <formula>0</formula>
    </cfRule>
  </conditionalFormatting>
  <conditionalFormatting sqref="T40">
    <cfRule type="cellIs" dxfId="81" priority="66" operator="equal">
      <formula>0</formula>
    </cfRule>
  </conditionalFormatting>
  <conditionalFormatting sqref="T40">
    <cfRule type="cellIs" dxfId="80" priority="65" operator="equal">
      <formula>0</formula>
    </cfRule>
  </conditionalFormatting>
  <conditionalFormatting sqref="T43">
    <cfRule type="cellIs" dxfId="79" priority="64" operator="equal">
      <formula>0</formula>
    </cfRule>
  </conditionalFormatting>
  <conditionalFormatting sqref="T43">
    <cfRule type="cellIs" dxfId="78" priority="63" operator="equal">
      <formula>0</formula>
    </cfRule>
  </conditionalFormatting>
  <conditionalFormatting sqref="T46">
    <cfRule type="cellIs" dxfId="77" priority="62" operator="equal">
      <formula>0</formula>
    </cfRule>
  </conditionalFormatting>
  <conditionalFormatting sqref="T46">
    <cfRule type="cellIs" dxfId="76" priority="61" operator="equal">
      <formula>0</formula>
    </cfRule>
  </conditionalFormatting>
  <conditionalFormatting sqref="T49">
    <cfRule type="cellIs" dxfId="75" priority="60" operator="equal">
      <formula>0</formula>
    </cfRule>
  </conditionalFormatting>
  <conditionalFormatting sqref="T49">
    <cfRule type="cellIs" dxfId="74" priority="59" operator="equal">
      <formula>0</formula>
    </cfRule>
  </conditionalFormatting>
  <conditionalFormatting sqref="T52">
    <cfRule type="cellIs" dxfId="73" priority="58" operator="equal">
      <formula>0</formula>
    </cfRule>
  </conditionalFormatting>
  <conditionalFormatting sqref="T52">
    <cfRule type="cellIs" dxfId="72" priority="57" operator="equal">
      <formula>0</formula>
    </cfRule>
  </conditionalFormatting>
  <conditionalFormatting sqref="J104:T104">
    <cfRule type="cellIs" dxfId="71" priority="46" operator="equal">
      <formula>0</formula>
    </cfRule>
  </conditionalFormatting>
  <conditionalFormatting sqref="J104:T104">
    <cfRule type="cellIs" dxfId="70" priority="45" operator="equal">
      <formula>0</formula>
    </cfRule>
  </conditionalFormatting>
  <conditionalFormatting sqref="J10:T10">
    <cfRule type="expression" dxfId="69" priority="44">
      <formula>J$10=J$4</formula>
    </cfRule>
  </conditionalFormatting>
  <conditionalFormatting sqref="J27:T27">
    <cfRule type="expression" dxfId="68" priority="43">
      <formula>J$10=J$4</formula>
    </cfRule>
  </conditionalFormatting>
  <conditionalFormatting sqref="J56:T56">
    <cfRule type="expression" dxfId="67" priority="42">
      <formula>J$10=J$4</formula>
    </cfRule>
  </conditionalFormatting>
  <conditionalFormatting sqref="J32:T32 J28:T30">
    <cfRule type="cellIs" dxfId="66" priority="39" operator="equal">
      <formula>0</formula>
    </cfRule>
  </conditionalFormatting>
  <conditionalFormatting sqref="J33:T34">
    <cfRule type="cellIs" dxfId="65" priority="38" operator="equal">
      <formula>0</formula>
    </cfRule>
  </conditionalFormatting>
  <conditionalFormatting sqref="J70:T70">
    <cfRule type="cellIs" dxfId="64" priority="35" operator="equal">
      <formula>0</formula>
    </cfRule>
  </conditionalFormatting>
  <conditionalFormatting sqref="J37:T37">
    <cfRule type="cellIs" dxfId="63" priority="34" operator="equal">
      <formula>0</formula>
    </cfRule>
  </conditionalFormatting>
  <conditionalFormatting sqref="J37:T37">
    <cfRule type="cellIs" dxfId="62" priority="33" operator="equal">
      <formula>0</formula>
    </cfRule>
  </conditionalFormatting>
  <conditionalFormatting sqref="T31">
    <cfRule type="cellIs" dxfId="61" priority="32" operator="equal">
      <formula>0</formula>
    </cfRule>
  </conditionalFormatting>
  <conditionalFormatting sqref="T31">
    <cfRule type="cellIs" dxfId="60" priority="31" operator="equal">
      <formula>0</formula>
    </cfRule>
  </conditionalFormatting>
  <conditionalFormatting sqref="J20:T20 J22:T22 T21 T23 J24:T24">
    <cfRule type="cellIs" dxfId="59" priority="30" operator="equal">
      <formula>0</formula>
    </cfRule>
  </conditionalFormatting>
  <conditionalFormatting sqref="T21">
    <cfRule type="cellIs" dxfId="58" priority="29" operator="equal">
      <formula>0</formula>
    </cfRule>
  </conditionalFormatting>
  <conditionalFormatting sqref="J22:T22">
    <cfRule type="cellIs" dxfId="57" priority="28" operator="equal">
      <formula>0</formula>
    </cfRule>
  </conditionalFormatting>
  <conditionalFormatting sqref="T23">
    <cfRule type="cellIs" dxfId="56" priority="27" operator="equal">
      <formula>0</formula>
    </cfRule>
  </conditionalFormatting>
  <conditionalFormatting sqref="J24:T24">
    <cfRule type="cellIs" dxfId="55" priority="26" operator="equal">
      <formula>0</formula>
    </cfRule>
  </conditionalFormatting>
  <conditionalFormatting sqref="J15:S16 K16:T16">
    <cfRule type="cellIs" dxfId="54" priority="24" operator="equal">
      <formula>0</formula>
    </cfRule>
  </conditionalFormatting>
  <conditionalFormatting sqref="J18:T18">
    <cfRule type="cellIs" dxfId="53" priority="23" operator="equal">
      <formula>0</formula>
    </cfRule>
  </conditionalFormatting>
  <conditionalFormatting sqref="J21:S21">
    <cfRule type="cellIs" dxfId="52" priority="22" operator="equal">
      <formula>0</formula>
    </cfRule>
  </conditionalFormatting>
  <conditionalFormatting sqref="J21:S21">
    <cfRule type="cellIs" dxfId="51" priority="21" operator="equal">
      <formula>0</formula>
    </cfRule>
  </conditionalFormatting>
  <conditionalFormatting sqref="J23:S23">
    <cfRule type="cellIs" dxfId="50" priority="20" operator="equal">
      <formula>0</formula>
    </cfRule>
  </conditionalFormatting>
  <conditionalFormatting sqref="J23:S23">
    <cfRule type="cellIs" dxfId="49" priority="19" operator="equal">
      <formula>0</formula>
    </cfRule>
  </conditionalFormatting>
  <conditionalFormatting sqref="J26:T26">
    <cfRule type="cellIs" dxfId="48" priority="18" operator="equal">
      <formula>0</formula>
    </cfRule>
  </conditionalFormatting>
  <conditionalFormatting sqref="J26:T26">
    <cfRule type="cellIs" dxfId="47" priority="17" operator="equal">
      <formula>0</formula>
    </cfRule>
  </conditionalFormatting>
  <conditionalFormatting sqref="J31:S31">
    <cfRule type="cellIs" dxfId="46" priority="16" operator="equal">
      <formula>0</formula>
    </cfRule>
  </conditionalFormatting>
  <conditionalFormatting sqref="J31:S31">
    <cfRule type="cellIs" dxfId="45" priority="15" operator="equal">
      <formula>0</formula>
    </cfRule>
  </conditionalFormatting>
  <conditionalFormatting sqref="J40:S40">
    <cfRule type="cellIs" dxfId="44" priority="14" operator="equal">
      <formula>0</formula>
    </cfRule>
  </conditionalFormatting>
  <conditionalFormatting sqref="J40:S40">
    <cfRule type="cellIs" dxfId="43" priority="13" operator="equal">
      <formula>0</formula>
    </cfRule>
  </conditionalFormatting>
  <conditionalFormatting sqref="J43:S43">
    <cfRule type="cellIs" dxfId="42" priority="12" operator="equal">
      <formula>0</formula>
    </cfRule>
  </conditionalFormatting>
  <conditionalFormatting sqref="J43:S43">
    <cfRule type="cellIs" dxfId="41" priority="11" operator="equal">
      <formula>0</formula>
    </cfRule>
  </conditionalFormatting>
  <conditionalFormatting sqref="J46:S46">
    <cfRule type="cellIs" dxfId="40" priority="10" operator="equal">
      <formula>0</formula>
    </cfRule>
  </conditionalFormatting>
  <conditionalFormatting sqref="J46:S46">
    <cfRule type="cellIs" dxfId="39" priority="9" operator="equal">
      <formula>0</formula>
    </cfRule>
  </conditionalFormatting>
  <conditionalFormatting sqref="J49:S49">
    <cfRule type="cellIs" dxfId="38" priority="8" operator="equal">
      <formula>0</formula>
    </cfRule>
  </conditionalFormatting>
  <conditionalFormatting sqref="J49:S49">
    <cfRule type="cellIs" dxfId="37" priority="7" operator="equal">
      <formula>0</formula>
    </cfRule>
  </conditionalFormatting>
  <conditionalFormatting sqref="J52:S52">
    <cfRule type="cellIs" dxfId="36" priority="6" operator="equal">
      <formula>0</formula>
    </cfRule>
  </conditionalFormatting>
  <conditionalFormatting sqref="J52:S52">
    <cfRule type="cellIs" dxfId="35" priority="5" operator="equal">
      <formula>0</formula>
    </cfRule>
  </conditionalFormatting>
  <conditionalFormatting sqref="J17:T17">
    <cfRule type="cellIs" dxfId="34" priority="3" operator="equal">
      <formula>0</formula>
    </cfRule>
  </conditionalFormatting>
  <conditionalFormatting sqref="J69:T69">
    <cfRule type="expression" dxfId="33" priority="138">
      <formula>J$60=J$4</formula>
    </cfRule>
    <cfRule type="cellIs" dxfId="32" priority="139" operator="equal">
      <formula>0</formula>
    </cfRule>
  </conditionalFormatting>
  <conditionalFormatting sqref="J98:T98">
    <cfRule type="expression" dxfId="31" priority="140">
      <formula>J$92=J$4</formula>
    </cfRule>
    <cfRule type="cellIs" dxfId="30" priority="141" operator="equal">
      <formula>0</formula>
    </cfRule>
  </conditionalFormatting>
  <conditionalFormatting sqref="J88:T88">
    <cfRule type="expression" dxfId="29" priority="142">
      <formula>J$74=J$4</formula>
    </cfRule>
    <cfRule type="cellIs" dxfId="28" priority="143" operator="equal">
      <formula>0</formula>
    </cfRule>
  </conditionalFormatting>
  <conditionalFormatting sqref="J60:T60 J74:T74 J92:T92 P102:T102">
    <cfRule type="expression" dxfId="27" priority="144">
      <formula>J$60=J$4</formula>
    </cfRule>
  </conditionalFormatting>
  <conditionalFormatting sqref="J102:O102">
    <cfRule type="expression" dxfId="26" priority="147">
      <formula>J$102=J$4</formula>
    </cfRule>
  </conditionalFormatting>
  <conditionalFormatting sqref="J25:T25">
    <cfRule type="cellIs" dxfId="25" priority="2" operator="equal">
      <formula>0</formula>
    </cfRule>
  </conditionalFormatting>
  <conditionalFormatting sqref="J25:T25">
    <cfRule type="cellIs" dxfId="24" priority="1" operator="equal">
      <formula>0</formula>
    </cfRule>
  </conditionalFormatting>
  <dataValidations disablePrompts="1" count="2">
    <dataValidation type="list" allowBlank="1" showInputMessage="1" showErrorMessage="1" sqref="F99 F97 F107 F89" xr:uid="{00000000-0002-0000-0600-000000000000}">
      <formula1>"Real 2010,Real 2011,Real 2012,Real 2013,Real 2014,Real 2015,Nominal"</formula1>
    </dataValidation>
    <dataValidation type="list" allowBlank="1" showInputMessage="1" showErrorMessage="1" sqref="F87" xr:uid="{00000000-0002-0000-0600-000001000000}">
      <formula1>$G$62:$G$68</formula1>
    </dataValidation>
  </dataValidations>
  <hyperlinks>
    <hyperlink ref="J1" location="Index!A1" display="Back to Index" xr:uid="{00000000-0004-0000-0600-000000000000}"/>
    <hyperlink ref="V1" location="'Check|List'!A1" display="Overall Check:" xr:uid="{00000000-0004-0000-06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600-000002000000}">
          <x14:formula1>
            <xm:f>'Lookup|Tables'!$G$10:$G$12</xm:f>
          </x14:formula1>
          <xm:sqref>E8</xm:sqref>
        </x14:dataValidation>
        <x14:dataValidation type="list" allowBlank="1" showInputMessage="1" showErrorMessage="1" xr:uid="{00000000-0002-0000-0600-000003000000}">
          <x14:formula1>
            <xm:f>'Lookup|Tables'!$H$65:$H$71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>
    <tabColor theme="3" tint="0.59999389629810485"/>
  </sheetPr>
  <dimension ref="A1:AV53"/>
  <sheetViews>
    <sheetView showGridLines="0" workbookViewId="0">
      <selection activeCell="B1" sqref="B1"/>
    </sheetView>
  </sheetViews>
  <sheetFormatPr defaultColWidth="0" defaultRowHeight="11.25" zeroHeight="1"/>
  <cols>
    <col min="1" max="2" width="1.5" style="29" customWidth="1"/>
    <col min="3" max="3" width="59.664062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4" width="10.83203125" style="29" customWidth="1"/>
    <col min="25" max="48" width="0" style="29" hidden="1" customWidth="1"/>
    <col min="49" max="16384" width="10.5" style="29" hidden="1"/>
  </cols>
  <sheetData>
    <row r="1" spans="1:27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P1" s="227" t="s">
        <v>225</v>
      </c>
      <c r="S1" s="72" t="s">
        <v>81</v>
      </c>
      <c r="T1" s="76" t="s">
        <v>36</v>
      </c>
      <c r="V1" s="185" t="s">
        <v>24</v>
      </c>
      <c r="W1" s="76" t="str">
        <f>'Check|List'!$S$1</f>
        <v>Check</v>
      </c>
    </row>
    <row r="2" spans="1:27" s="77" customFormat="1" ht="13.5" thickBot="1">
      <c r="B2" s="78" t="e">
        <f>Index!#REF!</f>
        <v>#REF!</v>
      </c>
      <c r="C2" s="78"/>
      <c r="D2" s="78"/>
      <c r="E2" s="78"/>
      <c r="F2" s="79"/>
      <c r="G2" s="79"/>
      <c r="H2" s="79"/>
      <c r="I2" s="79"/>
    </row>
    <row r="3" spans="1:27" s="80" customFormat="1">
      <c r="C3" s="81"/>
      <c r="D3" s="180"/>
      <c r="E3" s="180"/>
      <c r="F3" s="180"/>
      <c r="G3" s="180"/>
      <c r="H3" s="180"/>
      <c r="I3" s="180"/>
      <c r="J3" s="170" t="s">
        <v>117</v>
      </c>
      <c r="K3" s="170"/>
      <c r="L3" s="170"/>
      <c r="M3" s="180"/>
      <c r="N3" s="249"/>
      <c r="O3" s="249"/>
      <c r="P3" s="249"/>
      <c r="Q3" s="249"/>
      <c r="R3" s="249"/>
      <c r="S3" s="249"/>
      <c r="T3" s="249"/>
      <c r="U3" s="82"/>
      <c r="V3" s="82"/>
      <c r="W3" s="82"/>
      <c r="X3" s="82"/>
      <c r="Y3" s="82"/>
      <c r="Z3" s="82"/>
      <c r="AA3" s="82"/>
    </row>
    <row r="4" spans="1:2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27" s="27" customFormat="1" ht="3" customHeight="1">
      <c r="D5" s="28"/>
      <c r="E5" s="28"/>
      <c r="F5" s="28"/>
      <c r="G5" s="28"/>
      <c r="H5" s="28"/>
      <c r="I5" s="28"/>
    </row>
    <row r="6" spans="1:27" s="27" customFormat="1" ht="9" customHeight="1">
      <c r="D6" s="28"/>
      <c r="E6" s="28"/>
      <c r="F6" s="28"/>
      <c r="G6" s="28"/>
      <c r="H6" s="28"/>
      <c r="I6" s="28"/>
    </row>
    <row r="7" spans="1:27" s="27" customFormat="1" ht="3" customHeight="1">
      <c r="D7" s="28"/>
      <c r="E7" s="28"/>
      <c r="F7" s="28"/>
      <c r="G7" s="28"/>
      <c r="H7" s="28"/>
      <c r="I7" s="28"/>
    </row>
    <row r="8" spans="1:27" s="103" customFormat="1" ht="12.75">
      <c r="A8" s="94"/>
      <c r="B8" s="95" t="s">
        <v>54</v>
      </c>
      <c r="C8" s="94"/>
      <c r="D8" s="94"/>
      <c r="E8" s="68" t="s">
        <v>15</v>
      </c>
      <c r="F8" s="204">
        <v>44348</v>
      </c>
      <c r="G8" s="96"/>
      <c r="H8" s="96"/>
      <c r="I8" s="96"/>
      <c r="J8" s="147" t="s">
        <v>55</v>
      </c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</row>
    <row r="9" spans="1:27" ht="4.5" customHeight="1"/>
    <row r="10" spans="1:27">
      <c r="M10" s="107"/>
      <c r="N10" s="107"/>
      <c r="O10" s="107"/>
      <c r="P10" s="107"/>
      <c r="Q10" s="107"/>
      <c r="R10" s="107"/>
      <c r="S10" s="107"/>
      <c r="T10" s="107"/>
    </row>
    <row r="11" spans="1:27">
      <c r="C11" s="67" t="s">
        <v>45</v>
      </c>
      <c r="D11" s="32" t="s">
        <v>7</v>
      </c>
      <c r="E11" s="32" t="s">
        <v>8</v>
      </c>
      <c r="F11" s="32" t="s">
        <v>22</v>
      </c>
      <c r="H11" s="32"/>
      <c r="I11" s="32"/>
      <c r="J11" s="160" t="str">
        <f>IF(YEAR(J$4)&gt;='Input|General'!$G$15,IF(YEAR(J$4)&lt;='Input|General'!$G$16,J$4,""),"")</f>
        <v/>
      </c>
      <c r="K11" s="160" t="str">
        <f>IF(YEAR(K$4)&gt;='Input|General'!$G$15,IF(YEAR(K$4)&lt;='Input|General'!$G$16,K$4,""),"")</f>
        <v/>
      </c>
      <c r="L11" s="160" t="str">
        <f>IF(YEAR(L$4)&gt;='Input|General'!$G$15,IF(YEAR(L$4)&lt;='Input|General'!$G$16,L$4,""),"")</f>
        <v/>
      </c>
      <c r="M11" s="160" t="str">
        <f>IF(YEAR(M$4)&gt;='Input|General'!$G$15,IF(YEAR(M$4)&lt;='Input|General'!$G$16,M$4,""),"")</f>
        <v/>
      </c>
      <c r="N11" s="160" t="str">
        <f>IF(YEAR(N$4)&gt;='Input|General'!$G$15,IF(YEAR(N$4)&lt;='Input|General'!$G$16,N$4,""),"")</f>
        <v/>
      </c>
      <c r="O11" s="160" t="str">
        <f>IF(YEAR(O$4)&gt;='Input|General'!$G$15,IF(YEAR(O$4)&lt;='Input|General'!$G$16,O$4,""),"")</f>
        <v/>
      </c>
      <c r="P11" s="160">
        <f>IF(YEAR(P$4)&gt;=FPFirstYear,IF(YEAR(P$4)&lt;=FPLastYear,P$4,""),"")</f>
        <v>44713</v>
      </c>
      <c r="Q11" s="160">
        <f>IF(YEAR(Q$4)&gt;=FPFirstYear,IF(YEAR(Q$4)&lt;=FPLastYear,Q$4,""),"")</f>
        <v>45078</v>
      </c>
      <c r="R11" s="160">
        <f>IF(YEAR(R$4)&gt;=FPFirstYear,IF(YEAR(R$4)&lt;=FPLastYear,R$4,""),"")</f>
        <v>45444</v>
      </c>
      <c r="S11" s="160">
        <f>IF(YEAR(S$4)&gt;=FPFirstYear,IF(YEAR(S$4)&lt;=FPLastYear,S$4,""),"")</f>
        <v>45809</v>
      </c>
      <c r="T11" s="160">
        <f>IF(YEAR(T$4)&gt;=FPFirstYear,IF(YEAR(T$4)&lt;=FPLastYear,T$4,""),"")</f>
        <v>46174</v>
      </c>
      <c r="V11" s="137" t="s">
        <v>53</v>
      </c>
      <c r="W11" s="138"/>
      <c r="X11" s="138"/>
    </row>
    <row r="12" spans="1:27">
      <c r="C12" s="67"/>
      <c r="D12" s="32"/>
      <c r="E12" s="32"/>
      <c r="F12" s="32"/>
      <c r="H12" s="32"/>
      <c r="I12" s="32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V12" s="124"/>
      <c r="W12" s="142"/>
      <c r="X12" s="142"/>
    </row>
    <row r="13" spans="1:27">
      <c r="C13" s="111" t="str">
        <f>'Calc|Opex forecast'!C104</f>
        <v>Total forecast opex, excluding category specific forecasts</v>
      </c>
      <c r="D13" s="34" t="s">
        <v>103</v>
      </c>
      <c r="E13" s="30" t="str">
        <f>$E$8</f>
        <v>$millions</v>
      </c>
      <c r="F13" s="158">
        <f>$F$8</f>
        <v>44348</v>
      </c>
      <c r="H13" s="32"/>
      <c r="I13" s="32"/>
      <c r="J13" s="178">
        <f>IF(J$11="",0,'Calc|Opex forecast'!J104*INDEX('Input|Rate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K13" s="178">
        <f>IF(K$11="",0,'Calc|Opex forecast'!K104*INDEX('Input|Rate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L13" s="178">
        <f>IF(L$11="",0,'Calc|Opex forecast'!L104*INDEX('Input|Rate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M13" s="178">
        <f>IF(M$11="",0,'Calc|Opex forecast'!M104*INDEX('Input|Rate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N13" s="178">
        <f>IF(N$11="",0,'Calc|Opex forecast'!N104*INDEX('Input|Rate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O13" s="178">
        <f>IF(O$11="",0,'Calc|Opex forecast'!O104*INDEX('Input|Rate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0</v>
      </c>
      <c r="P13" s="178">
        <f ca="1">IF(P$11="",0,'Calc|Opex forecast'!P104*INDEX('Input|Rate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267.64466194394589</v>
      </c>
      <c r="Q13" s="178">
        <f ca="1">IF(Q$11="",0,'Calc|Opex forecast'!Q104*INDEX('Input|Rate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273.67475794494663</v>
      </c>
      <c r="R13" s="178">
        <f ca="1">IF(R$11="",0,'Calc|Opex forecast'!R104*INDEX('Input|Rate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280.28425694381718</v>
      </c>
      <c r="S13" s="178">
        <f ca="1">IF(S$11="",0,'Calc|Opex forecast'!S104*INDEX('Input|Rate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284.77409694918816</v>
      </c>
      <c r="T13" s="178">
        <f ca="1">IF(T$11="",0,'Calc|Opex forecast'!T104*INDEX('Input|Rate of change'!$C$14:$P$22,MATCH('Calc|Opex forecast'!$F$104,'Input|Rate of change'!$C$14:$C$22,0),MATCH('Output|Models'!$F13,'Input|Rate of change'!$C$14:$P$14,0))*IF('Calc|Opex forecast'!$E$104="$millions",1000000,IF('Calc|Opex forecast'!$E$104="$000",1000,1))/IF($E13="$millions",1000000,IF($E13="$000",1000,1)))</f>
        <v>290.1301533931624</v>
      </c>
      <c r="U13" s="111"/>
      <c r="V13" s="150"/>
    </row>
    <row r="14" spans="1:27">
      <c r="C14" s="111" t="str">
        <f>'Input|Step changes'!C30</f>
        <v>GSL payment</v>
      </c>
      <c r="D14" s="34" t="s">
        <v>103</v>
      </c>
      <c r="E14" s="30" t="str">
        <f t="shared" ref="E14:E16" si="0">$E$8</f>
        <v>$millions</v>
      </c>
      <c r="F14" s="158">
        <f t="shared" ref="F14:F16" si="1">$F$8</f>
        <v>44348</v>
      </c>
      <c r="H14" s="32"/>
      <c r="I14" s="32"/>
      <c r="J14" s="178">
        <f>IF(J$11="",0,'Calc|Opex forecast'!J94*INDEX('Input|Rate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K14" s="178">
        <f>IF(K$11="",0,'Calc|Opex forecast'!K94*INDEX('Input|Rate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L14" s="178">
        <f>IF(L$11="",0,'Calc|Opex forecast'!L94*INDEX('Input|Rate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M14" s="178">
        <f>IF(M$11="",0,'Calc|Opex forecast'!M94*INDEX('Input|Rate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N14" s="178">
        <f>IF(N$11="",0,'Calc|Opex forecast'!N94*INDEX('Input|Rate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O14" s="178">
        <f>IF(O$11="",0,'Calc|Opex forecast'!O94*INDEX('Input|Rate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0</v>
      </c>
      <c r="P14" s="178">
        <f>IF(P$11="",0,'Calc|Opex forecast'!P94*INDEX('Input|Rate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2.8944685902263974</v>
      </c>
      <c r="Q14" s="178">
        <f>IF(Q$11="",0,'Calc|Opex forecast'!Q94*INDEX('Input|Rate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2.8944685902263974</v>
      </c>
      <c r="R14" s="178">
        <f>IF(R$11="",0,'Calc|Opex forecast'!R94*INDEX('Input|Rate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2.8944685902263974</v>
      </c>
      <c r="S14" s="178">
        <f>IF(S$11="",0,'Calc|Opex forecast'!S94*INDEX('Input|Rate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2.8944685902263974</v>
      </c>
      <c r="T14" s="178">
        <f>IF(T$11="",0,'Calc|Opex forecast'!T94*INDEX('Input|Rate of change'!$C$14:$P$22,MATCH('Calc|Opex forecast'!$F$94,'Input|Rate of change'!$C$14:$C$22,0),MATCH('Output|Models'!$F14,'Input|Rate of change'!$C$14:$P$14,0))*IF('Calc|Opex forecast'!$E$94="$millions",1000000,IF('Calc|Opex forecast'!$E$94="$000",1000,1))/IF($E14="$millions",1000000,IF($E14="$000",1000,1)))</f>
        <v>2.8944685902263974</v>
      </c>
      <c r="U14" s="111"/>
      <c r="V14" s="150"/>
    </row>
    <row r="15" spans="1:27">
      <c r="C15" s="111">
        <f>'Input|Step changes'!C31</f>
        <v>0</v>
      </c>
      <c r="D15" s="34" t="s">
        <v>103</v>
      </c>
      <c r="E15" s="30" t="str">
        <f t="shared" si="0"/>
        <v>$millions</v>
      </c>
      <c r="F15" s="158">
        <f t="shared" si="1"/>
        <v>44348</v>
      </c>
      <c r="H15" s="32"/>
      <c r="I15" s="32"/>
      <c r="J15" s="178">
        <f>IF(J$11="",0,'Calc|Opex forecast'!J95*INDEX('Input|Rate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K15" s="178">
        <f>IF(K$11="",0,'Calc|Opex forecast'!K95*INDEX('Input|Rate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L15" s="178">
        <f>IF(L$11="",0,'Calc|Opex forecast'!L95*INDEX('Input|Rate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M15" s="178">
        <f>IF(M$11="",0,'Calc|Opex forecast'!M95*INDEX('Input|Rate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N15" s="178">
        <f>IF(N$11="",0,'Calc|Opex forecast'!N95*INDEX('Input|Rate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O15" s="178">
        <f>IF(O$11="",0,'Calc|Opex forecast'!O95*INDEX('Input|Rate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P15" s="178">
        <f>IF(P$11="",0,'Calc|Opex forecast'!P95*INDEX('Input|Rate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Q15" s="178">
        <f>IF(Q$11="",0,'Calc|Opex forecast'!Q95*INDEX('Input|Rate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R15" s="178">
        <f>IF(R$11="",0,'Calc|Opex forecast'!R95*INDEX('Input|Rate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S15" s="178">
        <f>IF(S$11="",0,'Calc|Opex forecast'!S95*INDEX('Input|Rate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T15" s="178">
        <f>IF(T$11="",0,'Calc|Opex forecast'!T95*INDEX('Input|Rate of change'!$C$14:$P$22,MATCH('Calc|Opex forecast'!$F$94,'Input|Rate of change'!$C$14:$C$22,0),MATCH('Output|Models'!$F15,'Input|Rate of change'!$C$14:$P$14,0))*IF('Calc|Opex forecast'!$E$94="$millions",1000000,IF('Calc|Opex forecast'!$E$94="$000",1000,1))/IF($E15="$millions",1000000,IF($E15="$000",1000,1)))</f>
        <v>0</v>
      </c>
      <c r="U15" s="111"/>
      <c r="V15" s="150"/>
    </row>
    <row r="16" spans="1:27">
      <c r="C16" s="111">
        <f>'Input|Step changes'!C32</f>
        <v>0</v>
      </c>
      <c r="D16" s="34" t="s">
        <v>103</v>
      </c>
      <c r="E16" s="30" t="str">
        <f t="shared" si="0"/>
        <v>$millions</v>
      </c>
      <c r="F16" s="158">
        <f t="shared" si="1"/>
        <v>44348</v>
      </c>
      <c r="H16" s="32"/>
      <c r="I16" s="32"/>
      <c r="J16" s="178">
        <f>IF(J$11="",0,'Calc|Opex forecast'!J96*INDEX('Input|Rate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K16" s="178">
        <f>IF(K$11="",0,'Calc|Opex forecast'!K96*INDEX('Input|Rate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L16" s="178">
        <f>IF(L$11="",0,'Calc|Opex forecast'!L96*INDEX('Input|Rate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M16" s="178">
        <f>IF(M$11="",0,'Calc|Opex forecast'!M96*INDEX('Input|Rate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N16" s="178">
        <f>IF(N$11="",0,'Calc|Opex forecast'!N96*INDEX('Input|Rate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O16" s="178">
        <f>IF(O$11="",0,'Calc|Opex forecast'!O96*INDEX('Input|Rate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P16" s="178">
        <f>IF(P$11="",0,'Calc|Opex forecast'!P96*INDEX('Input|Rate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Q16" s="178">
        <f>IF(Q$11="",0,'Calc|Opex forecast'!Q96*INDEX('Input|Rate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R16" s="178">
        <f>IF(R$11="",0,'Calc|Opex forecast'!R96*INDEX('Input|Rate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S16" s="178">
        <f>IF(S$11="",0,'Calc|Opex forecast'!S96*INDEX('Input|Rate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T16" s="178">
        <f>IF(T$11="",0,'Calc|Opex forecast'!T96*INDEX('Input|Rate of change'!$C$14:$P$22,MATCH('Calc|Opex forecast'!$F$94,'Input|Rate of change'!$C$14:$C$22,0),MATCH('Output|Models'!$F16,'Input|Rate of change'!$C$14:$P$14,0))*IF('Calc|Opex forecast'!$E$94="$millions",1000000,IF('Calc|Opex forecast'!$E$94="$000",1000,1))/IF($E16="$millions",1000000,IF($E16="$000",1000,1)))</f>
        <v>0</v>
      </c>
      <c r="U16" s="111"/>
      <c r="V16" s="205"/>
    </row>
    <row r="17" spans="1:24">
      <c r="D17" s="34"/>
      <c r="H17" s="32"/>
      <c r="I17" s="32"/>
      <c r="N17" s="142"/>
      <c r="T17" s="23"/>
    </row>
    <row r="18" spans="1:24" s="103" customFormat="1" ht="12.75">
      <c r="A18" s="94"/>
      <c r="B18" s="95" t="s">
        <v>21</v>
      </c>
      <c r="C18" s="94"/>
      <c r="D18" s="94"/>
      <c r="E18" s="94"/>
      <c r="F18" s="96"/>
      <c r="G18" s="96"/>
      <c r="H18" s="96"/>
      <c r="I18" s="96"/>
      <c r="J18" s="97"/>
      <c r="K18" s="98"/>
      <c r="L18" s="97"/>
      <c r="M18" s="98"/>
      <c r="N18" s="97"/>
      <c r="O18" s="97"/>
      <c r="P18" s="97"/>
      <c r="Q18" s="97"/>
      <c r="R18" s="97"/>
      <c r="S18" s="97"/>
      <c r="T18" s="97"/>
      <c r="U18" s="97"/>
      <c r="V18" s="97"/>
      <c r="W18" s="98"/>
      <c r="X18" s="98"/>
    </row>
    <row r="19" spans="1:24" hidden="1"/>
    <row r="20" spans="1:24" hidden="1"/>
    <row r="21" spans="1:24" hidden="1"/>
    <row r="22" spans="1:24" hidden="1"/>
    <row r="23" spans="1:24" hidden="1"/>
    <row r="24" spans="1:24" hidden="1">
      <c r="M24" s="145"/>
      <c r="N24" s="145"/>
      <c r="O24" s="145"/>
      <c r="P24" s="145"/>
      <c r="Q24" s="145"/>
      <c r="R24" s="145"/>
      <c r="S24" s="145"/>
      <c r="T24" s="145"/>
    </row>
    <row r="25" spans="1:24" hidden="1"/>
    <row r="26" spans="1:24" hidden="1"/>
    <row r="27" spans="1:24" hidden="1"/>
    <row r="28" spans="1:24" hidden="1"/>
    <row r="29" spans="1:24" hidden="1"/>
    <row r="30" spans="1:24" hidden="1"/>
    <row r="31" spans="1:24" hidden="1"/>
    <row r="32" spans="1:24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</sheetData>
  <mergeCells count="1">
    <mergeCell ref="N3:T3"/>
  </mergeCells>
  <conditionalFormatting sqref="W1">
    <cfRule type="cellIs" dxfId="23" priority="13" operator="equal">
      <formula>"Check"</formula>
    </cfRule>
    <cfRule type="cellIs" dxfId="22" priority="14" operator="equal">
      <formula>"Ok"</formula>
    </cfRule>
  </conditionalFormatting>
  <conditionalFormatting sqref="J13:T16">
    <cfRule type="expression" dxfId="21" priority="3">
      <formula>AND($C13=0,J$11=J$4)</formula>
    </cfRule>
    <cfRule type="expression" dxfId="20" priority="4">
      <formula>NOT(J$11=J$4)</formula>
    </cfRule>
    <cfRule type="expression" dxfId="19" priority="5">
      <formula>J$11=J$4</formula>
    </cfRule>
  </conditionalFormatting>
  <conditionalFormatting sqref="J11:T11">
    <cfRule type="expression" dxfId="18" priority="7">
      <formula>J$11=J$4</formula>
    </cfRule>
  </conditionalFormatting>
  <conditionalFormatting sqref="T1">
    <cfRule type="cellIs" dxfId="17" priority="1" operator="equal">
      <formula>"Check"</formula>
    </cfRule>
    <cfRule type="cellIs" dxfId="16" priority="2" operator="equal">
      <formula>"Ok"</formula>
    </cfRule>
  </conditionalFormatting>
  <dataValidations count="2">
    <dataValidation type="list" allowBlank="1" showInputMessage="1" showErrorMessage="1" sqref="F13:F16" xr:uid="{00000000-0002-0000-0700-000000000000}">
      <formula1>$G$20:$G$26</formula1>
    </dataValidation>
    <dataValidation type="list" allowBlank="1" showInputMessage="1" showErrorMessage="1" sqref="F17" xr:uid="{00000000-0002-0000-0700-000001000000}">
      <formula1>#REF!</formula1>
    </dataValidation>
  </dataValidations>
  <hyperlinks>
    <hyperlink ref="J1" location="Index!A1" display="Back to Index" xr:uid="{00000000-0004-0000-0700-000000000000}"/>
    <hyperlink ref="D13" location="'Calc|Opex forecast'!A1" display="Calc | Opex forecast" xr:uid="{00000000-0004-0000-0700-000001000000}"/>
    <hyperlink ref="D14" location="'Calc|Opex forecast'!A1" display="Calc | Opex forecast" xr:uid="{00000000-0004-0000-0700-000002000000}"/>
    <hyperlink ref="D15" location="'Calc|Opex forecast'!A1" display="Calc | Opex forecast" xr:uid="{00000000-0004-0000-0700-000003000000}"/>
    <hyperlink ref="D16" location="'Calc|Opex forecast'!A1" display="Calc | Opex forecast" xr:uid="{00000000-0004-0000-0700-000004000000}"/>
    <hyperlink ref="V1" location="'Check|List'!A1" display="Overall Check:" xr:uid="{00000000-0004-0000-0700-000005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700-000002000000}">
          <x14:formula1>
            <xm:f>'Lookup|Tables'!$G$10:$G$12</xm:f>
          </x14:formula1>
          <xm:sqref>E8</xm:sqref>
        </x14:dataValidation>
        <x14:dataValidation type="list" allowBlank="1" showInputMessage="1" showErrorMessage="1" xr:uid="{00000000-0002-0000-0700-000003000000}">
          <x14:formula1>
            <xm:f>'Lookup|Tables'!$H$41:$H$60</xm:f>
          </x14:formula1>
          <xm:sqref>F8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theme="1"/>
  </sheetPr>
  <dimension ref="A1:XER119"/>
  <sheetViews>
    <sheetView showGridLines="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1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47" s="38" customFormat="1" ht="15.75">
      <c r="B1" s="35" t="str">
        <f>Index!$B$1</f>
        <v>AER opex model v1.9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P1" s="227" t="s">
        <v>225</v>
      </c>
      <c r="R1" s="39"/>
      <c r="S1" s="40"/>
      <c r="U1" s="179" t="s">
        <v>24</v>
      </c>
      <c r="V1" s="40" t="str">
        <f>'Check|List'!$S$1</f>
        <v>Check</v>
      </c>
    </row>
    <row r="2" spans="1:47" s="38" customFormat="1" ht="12.75">
      <c r="B2" s="53" t="str">
        <f>Index!$C$14</f>
        <v>Lookup | Tables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>
      <c r="D4" s="20"/>
      <c r="E4" s="20"/>
    </row>
    <row r="5" spans="1:47" s="6" customFormat="1" ht="9" customHeight="1">
      <c r="D5" s="20"/>
      <c r="E5" s="20"/>
    </row>
    <row r="6" spans="1:47" s="6" customFormat="1" ht="3" customHeight="1">
      <c r="D6" s="20"/>
      <c r="E6" s="20"/>
    </row>
    <row r="7" spans="1:47" customFormat="1" ht="12.75">
      <c r="A7" s="43"/>
      <c r="B7" s="51" t="s">
        <v>19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tr">
        <f>B7</f>
        <v>Unit Denominations</v>
      </c>
      <c r="D9" s="21" t="s">
        <v>7</v>
      </c>
      <c r="E9" s="21"/>
      <c r="F9" s="14"/>
      <c r="G9" s="14" t="s">
        <v>9</v>
      </c>
      <c r="H9" s="14"/>
    </row>
    <row r="10" spans="1:47">
      <c r="C10" s="15" t="s">
        <v>10</v>
      </c>
      <c r="D10" s="16" t="s">
        <v>68</v>
      </c>
      <c r="E10" s="16"/>
      <c r="F10" s="16"/>
      <c r="G10" s="52" t="s">
        <v>12</v>
      </c>
    </row>
    <row r="11" spans="1:47">
      <c r="C11" s="15" t="s">
        <v>13</v>
      </c>
      <c r="D11" s="16" t="s">
        <v>68</v>
      </c>
      <c r="E11" s="16"/>
      <c r="F11" s="16"/>
      <c r="G11" s="52" t="s">
        <v>20</v>
      </c>
    </row>
    <row r="12" spans="1:47">
      <c r="C12" s="15" t="s">
        <v>14</v>
      </c>
      <c r="D12" s="16" t="s">
        <v>68</v>
      </c>
      <c r="E12" s="16"/>
      <c r="F12" s="16"/>
      <c r="G12" s="52" t="s">
        <v>15</v>
      </c>
      <c r="T12" s="17"/>
    </row>
    <row r="13" spans="1:47">
      <c r="F13" s="8"/>
      <c r="G13" s="8"/>
    </row>
    <row r="14" spans="1:47">
      <c r="C14" s="15" t="s">
        <v>16</v>
      </c>
      <c r="D14" s="16" t="s">
        <v>68</v>
      </c>
      <c r="E14" s="16"/>
      <c r="F14" s="16"/>
      <c r="G14" s="52" t="s">
        <v>31</v>
      </c>
    </row>
    <row r="15" spans="1:47">
      <c r="C15" s="15" t="s">
        <v>8</v>
      </c>
      <c r="D15" s="16" t="s">
        <v>68</v>
      </c>
      <c r="E15" s="16"/>
      <c r="F15" s="16"/>
      <c r="G15" s="52" t="s">
        <v>11</v>
      </c>
    </row>
    <row r="16" spans="1:47">
      <c r="C16" s="15" t="s">
        <v>17</v>
      </c>
      <c r="D16" s="16" t="s">
        <v>68</v>
      </c>
      <c r="E16" s="16"/>
      <c r="F16" s="16"/>
      <c r="G16" s="52" t="s">
        <v>18</v>
      </c>
    </row>
    <row r="17" spans="1:47">
      <c r="C17" s="15" t="s">
        <v>37</v>
      </c>
      <c r="D17" s="16" t="s">
        <v>68</v>
      </c>
      <c r="E17" s="16"/>
      <c r="F17" s="16"/>
      <c r="G17" s="52" t="s">
        <v>38</v>
      </c>
    </row>
    <row r="18" spans="1:47">
      <c r="C18" s="15"/>
      <c r="D18" s="16"/>
      <c r="E18" s="16"/>
      <c r="F18" s="16"/>
      <c r="G18" s="8"/>
    </row>
    <row r="19" spans="1:47">
      <c r="C19" s="15" t="s">
        <v>23</v>
      </c>
      <c r="D19" s="16" t="s">
        <v>68</v>
      </c>
      <c r="E19" s="16"/>
      <c r="F19" s="16"/>
      <c r="G19" s="52" t="s">
        <v>23</v>
      </c>
    </row>
    <row r="20" spans="1:47">
      <c r="C20" s="15" t="s">
        <v>73</v>
      </c>
      <c r="D20" s="16" t="s">
        <v>68</v>
      </c>
      <c r="E20" s="16"/>
      <c r="F20" s="16"/>
      <c r="G20" s="52" t="s">
        <v>73</v>
      </c>
    </row>
    <row r="21" spans="1:47">
      <c r="C21" s="15"/>
      <c r="D21" s="16"/>
      <c r="E21" s="16"/>
      <c r="F21" s="16"/>
      <c r="G21" s="8"/>
    </row>
    <row r="22" spans="1:47" customFormat="1" ht="12.75">
      <c r="A22" s="43"/>
      <c r="B22" s="51" t="s">
        <v>118</v>
      </c>
      <c r="C22" s="43"/>
      <c r="D22" s="43"/>
      <c r="E22" s="43"/>
      <c r="F22" s="44"/>
      <c r="G22" s="44"/>
      <c r="H22" s="44"/>
      <c r="I22" s="44"/>
      <c r="J22" s="45"/>
      <c r="K22" s="46"/>
      <c r="L22" s="45"/>
      <c r="M22" s="46"/>
      <c r="N22" s="45"/>
      <c r="O22" s="45"/>
      <c r="P22" s="45"/>
      <c r="Q22" s="45"/>
      <c r="R22" s="45"/>
      <c r="S22" s="45"/>
      <c r="T22" s="45"/>
      <c r="U22" s="45"/>
      <c r="V22" s="46"/>
      <c r="W22" s="46"/>
      <c r="X22" s="47"/>
      <c r="Y22" s="47"/>
      <c r="Z22" s="47"/>
      <c r="AA22" s="47"/>
      <c r="AB22" s="48"/>
      <c r="AC22" s="49"/>
      <c r="AD22" s="49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</row>
    <row r="23" spans="1:47"/>
    <row r="24" spans="1:47">
      <c r="C24" s="13" t="str">
        <f>B22</f>
        <v>Months</v>
      </c>
      <c r="D24" s="21" t="s">
        <v>7</v>
      </c>
      <c r="E24" s="21"/>
      <c r="F24" s="14"/>
      <c r="G24" s="14" t="s">
        <v>9</v>
      </c>
      <c r="H24" s="14"/>
    </row>
    <row r="25" spans="1:47">
      <c r="C25" s="15" t="s">
        <v>119</v>
      </c>
      <c r="D25" s="16" t="s">
        <v>68</v>
      </c>
      <c r="E25" s="16"/>
      <c r="F25" s="16"/>
      <c r="G25" s="151">
        <v>36526</v>
      </c>
      <c r="H25" s="14"/>
    </row>
    <row r="26" spans="1:47">
      <c r="C26" s="15" t="s">
        <v>120</v>
      </c>
      <c r="D26" s="16" t="s">
        <v>68</v>
      </c>
      <c r="E26" s="16"/>
      <c r="F26" s="16"/>
      <c r="G26" s="151">
        <v>36557</v>
      </c>
      <c r="H26" s="14"/>
    </row>
    <row r="27" spans="1:47">
      <c r="C27" s="15" t="s">
        <v>121</v>
      </c>
      <c r="D27" s="16" t="s">
        <v>68</v>
      </c>
      <c r="E27" s="16"/>
      <c r="F27" s="16"/>
      <c r="G27" s="151">
        <v>36586</v>
      </c>
      <c r="H27" s="14"/>
    </row>
    <row r="28" spans="1:47">
      <c r="C28" s="15" t="s">
        <v>122</v>
      </c>
      <c r="D28" s="16" t="s">
        <v>68</v>
      </c>
      <c r="E28" s="16"/>
      <c r="F28" s="16"/>
      <c r="G28" s="151">
        <v>36617</v>
      </c>
    </row>
    <row r="29" spans="1:47">
      <c r="C29" s="15" t="s">
        <v>123</v>
      </c>
      <c r="D29" s="16" t="s">
        <v>68</v>
      </c>
      <c r="E29" s="16"/>
      <c r="F29" s="16"/>
      <c r="G29" s="151">
        <v>36647</v>
      </c>
    </row>
    <row r="30" spans="1:47">
      <c r="C30" s="15" t="s">
        <v>124</v>
      </c>
      <c r="D30" s="16" t="s">
        <v>68</v>
      </c>
      <c r="E30" s="16"/>
      <c r="F30" s="16"/>
      <c r="G30" s="151">
        <v>36678</v>
      </c>
      <c r="T30" s="17"/>
    </row>
    <row r="31" spans="1:47">
      <c r="C31" s="15" t="s">
        <v>125</v>
      </c>
      <c r="D31" s="16" t="s">
        <v>68</v>
      </c>
      <c r="E31" s="16"/>
      <c r="F31" s="16"/>
      <c r="G31" s="151">
        <v>36708</v>
      </c>
      <c r="T31" s="17"/>
    </row>
    <row r="32" spans="1:47">
      <c r="C32" s="15" t="s">
        <v>126</v>
      </c>
      <c r="D32" s="16" t="s">
        <v>68</v>
      </c>
      <c r="E32" s="16"/>
      <c r="F32" s="16"/>
      <c r="G32" s="151">
        <v>36739</v>
      </c>
      <c r="T32" s="17"/>
    </row>
    <row r="33" spans="1:47">
      <c r="C33" s="15" t="s">
        <v>127</v>
      </c>
      <c r="D33" s="16" t="s">
        <v>68</v>
      </c>
      <c r="E33" s="16"/>
      <c r="F33" s="16"/>
      <c r="G33" s="151">
        <v>36770</v>
      </c>
      <c r="T33" s="17"/>
    </row>
    <row r="34" spans="1:47">
      <c r="C34" s="15" t="s">
        <v>128</v>
      </c>
      <c r="D34" s="16" t="s">
        <v>68</v>
      </c>
      <c r="E34" s="16"/>
      <c r="F34" s="16"/>
      <c r="G34" s="151">
        <v>36800</v>
      </c>
      <c r="T34" s="17"/>
    </row>
    <row r="35" spans="1:47">
      <c r="C35" s="15" t="s">
        <v>129</v>
      </c>
      <c r="D35" s="16" t="s">
        <v>68</v>
      </c>
      <c r="E35" s="16"/>
      <c r="F35" s="16"/>
      <c r="G35" s="151">
        <v>36831</v>
      </c>
      <c r="T35" s="17"/>
    </row>
    <row r="36" spans="1:47">
      <c r="C36" s="15" t="s">
        <v>130</v>
      </c>
      <c r="D36" s="16" t="s">
        <v>68</v>
      </c>
      <c r="E36" s="16"/>
      <c r="F36" s="16"/>
      <c r="G36" s="151">
        <v>36861</v>
      </c>
      <c r="T36" s="17"/>
    </row>
    <row r="37" spans="1:47">
      <c r="C37" s="15"/>
      <c r="D37" s="16"/>
      <c r="E37" s="16"/>
      <c r="F37" s="16"/>
      <c r="T37" s="17"/>
    </row>
    <row r="38" spans="1:47" customFormat="1" ht="12.75">
      <c r="A38" s="43"/>
      <c r="B38" s="51" t="s">
        <v>69</v>
      </c>
      <c r="C38" s="43"/>
      <c r="D38" s="43"/>
      <c r="E38" s="43"/>
      <c r="F38" s="44"/>
      <c r="G38" s="44"/>
      <c r="H38" s="44"/>
      <c r="I38" s="44"/>
      <c r="J38" s="45"/>
      <c r="K38" s="46"/>
      <c r="L38" s="45"/>
      <c r="M38" s="46"/>
      <c r="N38" s="45"/>
      <c r="O38" s="45"/>
      <c r="P38" s="45"/>
      <c r="Q38" s="45"/>
      <c r="R38" s="45"/>
      <c r="S38" s="45"/>
      <c r="T38" s="45"/>
      <c r="U38" s="45"/>
      <c r="V38" s="46"/>
      <c r="W38" s="46"/>
      <c r="X38" s="47"/>
      <c r="Y38" s="47"/>
      <c r="Z38" s="47"/>
      <c r="AA38" s="47"/>
      <c r="AB38" s="48"/>
      <c r="AC38" s="49"/>
      <c r="AD38" s="49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</row>
    <row r="39" spans="1:47"/>
    <row r="40" spans="1:47">
      <c r="C40" s="13" t="str">
        <f>B38</f>
        <v>Years</v>
      </c>
      <c r="D40" s="21" t="s">
        <v>7</v>
      </c>
      <c r="E40" s="21"/>
      <c r="F40" s="14"/>
      <c r="G40" s="14" t="s">
        <v>152</v>
      </c>
      <c r="H40" s="14" t="s">
        <v>150</v>
      </c>
      <c r="I40" s="14" t="s">
        <v>151</v>
      </c>
    </row>
    <row r="41" spans="1:47">
      <c r="C41" s="157">
        <v>40695</v>
      </c>
      <c r="D41" s="16" t="s">
        <v>68</v>
      </c>
      <c r="E41" s="16"/>
      <c r="F41" s="16"/>
      <c r="G41" s="152">
        <v>2011</v>
      </c>
      <c r="H41" s="183">
        <f>DATE(G41,MONTH('Input|General'!$G$9),1)</f>
        <v>40878</v>
      </c>
      <c r="I41" s="181" t="str">
        <f>G41-1&amp;"–"&amp;RIGHT(G41,2)</f>
        <v>2010–11</v>
      </c>
    </row>
    <row r="42" spans="1:47">
      <c r="C42" s="157">
        <v>41061</v>
      </c>
      <c r="D42" s="16" t="s">
        <v>68</v>
      </c>
      <c r="E42" s="16"/>
      <c r="F42" s="16"/>
      <c r="G42" s="152">
        <v>2012</v>
      </c>
      <c r="H42" s="183">
        <f>DATE(G42,MONTH('Input|General'!$G$9),1)</f>
        <v>41244</v>
      </c>
      <c r="I42" s="181" t="str">
        <f t="shared" ref="I42:I60" si="0">G42-1&amp;"–"&amp;RIGHT(G42,2)</f>
        <v>2011–12</v>
      </c>
    </row>
    <row r="43" spans="1:47">
      <c r="C43" s="157">
        <v>41426</v>
      </c>
      <c r="D43" s="16" t="s">
        <v>68</v>
      </c>
      <c r="E43" s="16"/>
      <c r="F43" s="16"/>
      <c r="G43" s="152">
        <v>2013</v>
      </c>
      <c r="H43" s="183">
        <f>DATE(G43,MONTH('Input|General'!$G$9),1)</f>
        <v>41609</v>
      </c>
      <c r="I43" s="181" t="str">
        <f t="shared" si="0"/>
        <v>2012–13</v>
      </c>
    </row>
    <row r="44" spans="1:47">
      <c r="C44" s="157">
        <v>41791</v>
      </c>
      <c r="D44" s="16" t="s">
        <v>68</v>
      </c>
      <c r="E44" s="16"/>
      <c r="F44" s="16"/>
      <c r="G44" s="152">
        <v>2014</v>
      </c>
      <c r="H44" s="183">
        <f>DATE(G44,MONTH('Input|General'!$G$9),1)</f>
        <v>41974</v>
      </c>
      <c r="I44" s="181" t="str">
        <f t="shared" si="0"/>
        <v>2013–14</v>
      </c>
    </row>
    <row r="45" spans="1:47">
      <c r="C45" s="157">
        <v>42156</v>
      </c>
      <c r="D45" s="16" t="s">
        <v>68</v>
      </c>
      <c r="E45" s="16"/>
      <c r="F45" s="16"/>
      <c r="G45" s="152">
        <v>2015</v>
      </c>
      <c r="H45" s="183">
        <f>DATE(G45,MONTH('Input|General'!$G$9),1)</f>
        <v>42339</v>
      </c>
      <c r="I45" s="181" t="str">
        <f t="shared" si="0"/>
        <v>2014–15</v>
      </c>
      <c r="T45" s="17"/>
    </row>
    <row r="46" spans="1:47">
      <c r="C46" s="157">
        <v>42522</v>
      </c>
      <c r="D46" s="16" t="s">
        <v>68</v>
      </c>
      <c r="E46" s="16"/>
      <c r="F46" s="16"/>
      <c r="G46" s="152">
        <v>2016</v>
      </c>
      <c r="H46" s="183">
        <f>DATE(G46,MONTH('Input|General'!$G$9),1)</f>
        <v>42705</v>
      </c>
      <c r="I46" s="181" t="str">
        <f t="shared" si="0"/>
        <v>2015–16</v>
      </c>
      <c r="T46" s="17"/>
    </row>
    <row r="47" spans="1:47">
      <c r="C47" s="157">
        <v>42887</v>
      </c>
      <c r="D47" s="16" t="s">
        <v>68</v>
      </c>
      <c r="E47" s="16"/>
      <c r="F47" s="16"/>
      <c r="G47" s="152">
        <v>2017</v>
      </c>
      <c r="H47" s="183">
        <f>DATE(G47,MONTH('Input|General'!$G$9),1)</f>
        <v>43070</v>
      </c>
      <c r="I47" s="181" t="str">
        <f t="shared" si="0"/>
        <v>2016–17</v>
      </c>
      <c r="T47" s="17"/>
    </row>
    <row r="48" spans="1:47">
      <c r="C48" s="157">
        <v>43252</v>
      </c>
      <c r="D48" s="16" t="s">
        <v>68</v>
      </c>
      <c r="E48" s="16"/>
      <c r="F48" s="16"/>
      <c r="G48" s="152">
        <v>2018</v>
      </c>
      <c r="H48" s="183">
        <f>DATE(G48,MONTH('Input|General'!$G$9),1)</f>
        <v>43435</v>
      </c>
      <c r="I48" s="181" t="str">
        <f t="shared" si="0"/>
        <v>2017–18</v>
      </c>
      <c r="T48" s="17"/>
    </row>
    <row r="49" spans="1:47">
      <c r="C49" s="157">
        <v>43617</v>
      </c>
      <c r="D49" s="16" t="s">
        <v>68</v>
      </c>
      <c r="E49" s="16"/>
      <c r="F49" s="16"/>
      <c r="G49" s="152">
        <v>2019</v>
      </c>
      <c r="H49" s="183">
        <f>DATE(G49,MONTH('Input|General'!$G$9),1)</f>
        <v>43800</v>
      </c>
      <c r="I49" s="181" t="str">
        <f t="shared" si="0"/>
        <v>2018–19</v>
      </c>
      <c r="T49" s="17"/>
    </row>
    <row r="50" spans="1:47">
      <c r="C50" s="157">
        <v>43983</v>
      </c>
      <c r="D50" s="16" t="s">
        <v>68</v>
      </c>
      <c r="E50" s="16"/>
      <c r="F50" s="16"/>
      <c r="G50" s="152">
        <v>2020</v>
      </c>
      <c r="H50" s="183">
        <f>DATE(G50,MONTH('Input|General'!$G$9),1)</f>
        <v>44166</v>
      </c>
      <c r="I50" s="181" t="str">
        <f t="shared" si="0"/>
        <v>2019–20</v>
      </c>
      <c r="T50" s="17"/>
    </row>
    <row r="51" spans="1:47">
      <c r="C51" s="157">
        <v>44348</v>
      </c>
      <c r="D51" s="16" t="s">
        <v>68</v>
      </c>
      <c r="E51" s="16"/>
      <c r="F51" s="16"/>
      <c r="G51" s="152">
        <v>2021</v>
      </c>
      <c r="H51" s="183">
        <f>DATE(G51,MONTH('Input|General'!$G$10),1)</f>
        <v>44348</v>
      </c>
      <c r="I51" s="181" t="str">
        <f t="shared" si="0"/>
        <v>2020–21</v>
      </c>
      <c r="T51" s="17"/>
    </row>
    <row r="52" spans="1:47">
      <c r="C52" s="157">
        <v>44713</v>
      </c>
      <c r="D52" s="16" t="s">
        <v>68</v>
      </c>
      <c r="E52" s="16"/>
      <c r="F52" s="16"/>
      <c r="G52" s="152">
        <v>2022</v>
      </c>
      <c r="H52" s="183">
        <f>DATE(G52,MONTH('Input|General'!$G$10),1)</f>
        <v>44713</v>
      </c>
      <c r="I52" s="181" t="str">
        <f t="shared" si="0"/>
        <v>2021–22</v>
      </c>
      <c r="T52" s="17"/>
    </row>
    <row r="53" spans="1:47">
      <c r="C53" s="157">
        <v>45078</v>
      </c>
      <c r="D53" s="16" t="s">
        <v>68</v>
      </c>
      <c r="E53" s="16"/>
      <c r="F53" s="16"/>
      <c r="G53" s="152">
        <v>2023</v>
      </c>
      <c r="H53" s="183">
        <f>DATE(G53,MONTH('Input|General'!$G$10),1)</f>
        <v>45078</v>
      </c>
      <c r="I53" s="181" t="str">
        <f t="shared" si="0"/>
        <v>2022–23</v>
      </c>
      <c r="T53" s="17"/>
    </row>
    <row r="54" spans="1:47">
      <c r="C54" s="157">
        <v>45444</v>
      </c>
      <c r="D54" s="16" t="s">
        <v>68</v>
      </c>
      <c r="E54" s="16"/>
      <c r="F54" s="16"/>
      <c r="G54" s="152">
        <v>2024</v>
      </c>
      <c r="H54" s="183">
        <f>DATE(G54,MONTH('Input|General'!$G$10),1)</f>
        <v>45444</v>
      </c>
      <c r="I54" s="181" t="str">
        <f t="shared" si="0"/>
        <v>2023–24</v>
      </c>
      <c r="T54" s="17"/>
    </row>
    <row r="55" spans="1:47">
      <c r="C55" s="157">
        <v>45809</v>
      </c>
      <c r="D55" s="16" t="s">
        <v>68</v>
      </c>
      <c r="E55" s="16"/>
      <c r="F55" s="16"/>
      <c r="G55" s="152">
        <v>2025</v>
      </c>
      <c r="H55" s="183">
        <f>DATE(G55,MONTH('Input|General'!$G$10),1)</f>
        <v>45809</v>
      </c>
      <c r="I55" s="181" t="str">
        <f t="shared" si="0"/>
        <v>2024–25</v>
      </c>
      <c r="T55" s="17"/>
    </row>
    <row r="56" spans="1:47">
      <c r="C56" s="157">
        <v>46174</v>
      </c>
      <c r="D56" s="16" t="s">
        <v>68</v>
      </c>
      <c r="E56" s="16"/>
      <c r="F56" s="16"/>
      <c r="G56" s="152">
        <v>2026</v>
      </c>
      <c r="H56" s="183">
        <f>DATE(G56,MONTH('Input|General'!$G$10),1)</f>
        <v>46174</v>
      </c>
      <c r="I56" s="181" t="str">
        <f t="shared" si="0"/>
        <v>2025–26</v>
      </c>
      <c r="T56" s="17"/>
    </row>
    <row r="57" spans="1:47">
      <c r="C57" s="157">
        <v>46539</v>
      </c>
      <c r="D57" s="16" t="s">
        <v>68</v>
      </c>
      <c r="E57" s="16"/>
      <c r="F57" s="16"/>
      <c r="G57" s="152">
        <v>2027</v>
      </c>
      <c r="H57" s="183">
        <f>DATE(G57,MONTH('Input|General'!$G$10),1)</f>
        <v>46539</v>
      </c>
      <c r="I57" s="181" t="str">
        <f t="shared" si="0"/>
        <v>2026–27</v>
      </c>
      <c r="T57" s="17"/>
    </row>
    <row r="58" spans="1:47">
      <c r="C58" s="157">
        <v>46905</v>
      </c>
      <c r="D58" s="16" t="s">
        <v>68</v>
      </c>
      <c r="E58" s="16"/>
      <c r="F58" s="16"/>
      <c r="G58" s="152">
        <v>2028</v>
      </c>
      <c r="H58" s="183">
        <f>DATE(G58,MONTH('Input|General'!$G$10),1)</f>
        <v>46905</v>
      </c>
      <c r="I58" s="181" t="str">
        <f t="shared" si="0"/>
        <v>2027–28</v>
      </c>
      <c r="T58" s="17"/>
    </row>
    <row r="59" spans="1:47">
      <c r="C59" s="157">
        <v>47270</v>
      </c>
      <c r="D59" s="16" t="s">
        <v>68</v>
      </c>
      <c r="E59" s="16"/>
      <c r="F59" s="16"/>
      <c r="G59" s="152">
        <v>2029</v>
      </c>
      <c r="H59" s="183">
        <f>DATE(G59,MONTH('Input|General'!$G$10),1)</f>
        <v>47270</v>
      </c>
      <c r="I59" s="181" t="str">
        <f t="shared" si="0"/>
        <v>2028–29</v>
      </c>
      <c r="T59" s="17"/>
    </row>
    <row r="60" spans="1:47">
      <c r="C60" s="157">
        <v>47635</v>
      </c>
      <c r="D60" s="16" t="s">
        <v>68</v>
      </c>
      <c r="E60" s="16"/>
      <c r="F60" s="16"/>
      <c r="G60" s="152">
        <v>2030</v>
      </c>
      <c r="H60" s="183">
        <f>DATE(G60,MONTH('Input|General'!$G$10),1)</f>
        <v>47635</v>
      </c>
      <c r="I60" s="181" t="str">
        <f t="shared" si="0"/>
        <v>2029–30</v>
      </c>
      <c r="T60" s="17"/>
    </row>
    <row r="61" spans="1:47"/>
    <row r="62" spans="1:47" customFormat="1" ht="12.75">
      <c r="A62" s="43"/>
      <c r="B62" s="51" t="s">
        <v>148</v>
      </c>
      <c r="C62" s="43"/>
      <c r="D62" s="43"/>
      <c r="E62" s="43"/>
      <c r="F62" s="44"/>
      <c r="G62" s="44"/>
      <c r="H62" s="44"/>
      <c r="I62" s="44"/>
      <c r="J62" s="45"/>
      <c r="K62" s="46"/>
      <c r="L62" s="45"/>
      <c r="M62" s="46"/>
      <c r="N62" s="45"/>
      <c r="O62" s="45"/>
      <c r="P62" s="45"/>
      <c r="Q62" s="45"/>
      <c r="R62" s="45"/>
      <c r="S62" s="45"/>
      <c r="T62" s="45"/>
      <c r="U62" s="45"/>
      <c r="V62" s="46"/>
      <c r="W62" s="46"/>
      <c r="X62" s="47"/>
      <c r="Y62" s="47"/>
      <c r="Z62" s="47"/>
      <c r="AA62" s="47"/>
      <c r="AB62" s="48"/>
      <c r="AC62" s="49"/>
      <c r="AD62" s="49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</row>
    <row r="63" spans="1:47"/>
    <row r="64" spans="1:47">
      <c r="C64" s="13" t="str">
        <f>B62</f>
        <v>Regulatory years</v>
      </c>
      <c r="D64" s="21" t="s">
        <v>7</v>
      </c>
      <c r="E64" s="21"/>
      <c r="F64" s="14"/>
      <c r="G64" s="14" t="s">
        <v>149</v>
      </c>
      <c r="H64" s="14" t="s">
        <v>117</v>
      </c>
    </row>
    <row r="65" spans="1:47">
      <c r="C65" s="15" t="s">
        <v>183</v>
      </c>
      <c r="D65" s="16" t="s">
        <v>97</v>
      </c>
      <c r="E65" s="21"/>
      <c r="F65" s="14"/>
      <c r="G65" s="181">
        <v>2015</v>
      </c>
      <c r="H65" s="183">
        <f>DATE(G65,12,1)</f>
        <v>42339</v>
      </c>
    </row>
    <row r="66" spans="1:47">
      <c r="C66" s="15" t="s">
        <v>137</v>
      </c>
      <c r="D66" s="16" t="s">
        <v>97</v>
      </c>
      <c r="E66" s="16"/>
      <c r="F66" s="16"/>
      <c r="G66" s="181">
        <v>2016</v>
      </c>
      <c r="H66" s="183">
        <f t="shared" ref="H66:H70" si="1">DATE(G66,12,1)</f>
        <v>42705</v>
      </c>
    </row>
    <row r="67" spans="1:47">
      <c r="C67" s="15" t="s">
        <v>138</v>
      </c>
      <c r="D67" s="16" t="s">
        <v>97</v>
      </c>
      <c r="E67" s="16"/>
      <c r="F67" s="16"/>
      <c r="G67" s="181">
        <v>2017</v>
      </c>
      <c r="H67" s="183">
        <f t="shared" si="1"/>
        <v>43070</v>
      </c>
    </row>
    <row r="68" spans="1:47">
      <c r="C68" s="15" t="s">
        <v>139</v>
      </c>
      <c r="D68" s="16" t="s">
        <v>97</v>
      </c>
      <c r="E68" s="16"/>
      <c r="F68" s="16"/>
      <c r="G68" s="181">
        <v>2018</v>
      </c>
      <c r="H68" s="183">
        <f t="shared" si="1"/>
        <v>43435</v>
      </c>
    </row>
    <row r="69" spans="1:47">
      <c r="C69" s="15" t="s">
        <v>140</v>
      </c>
      <c r="D69" s="16" t="s">
        <v>97</v>
      </c>
      <c r="E69" s="16"/>
      <c r="F69" s="16"/>
      <c r="G69" s="181">
        <v>2019</v>
      </c>
      <c r="H69" s="183">
        <f t="shared" si="1"/>
        <v>43800</v>
      </c>
    </row>
    <row r="70" spans="1:47">
      <c r="C70" s="15" t="s">
        <v>141</v>
      </c>
      <c r="D70" s="16" t="s">
        <v>97</v>
      </c>
      <c r="E70" s="16"/>
      <c r="F70" s="16"/>
      <c r="G70" s="181">
        <v>2020</v>
      </c>
      <c r="H70" s="183">
        <f t="shared" si="1"/>
        <v>44166</v>
      </c>
    </row>
    <row r="71" spans="1:47">
      <c r="C71" s="15" t="s">
        <v>187</v>
      </c>
      <c r="D71" s="16" t="s">
        <v>97</v>
      </c>
      <c r="E71" s="16"/>
      <c r="F71" s="16"/>
      <c r="G71" s="181" t="s">
        <v>188</v>
      </c>
      <c r="H71" s="183">
        <f>DATE(YEAR(H70)+1,6,1)</f>
        <v>44348</v>
      </c>
    </row>
    <row r="72" spans="1:47">
      <c r="C72" s="15" t="s">
        <v>142</v>
      </c>
      <c r="D72" s="16" t="s">
        <v>97</v>
      </c>
      <c r="E72" s="16"/>
      <c r="F72" s="16"/>
      <c r="G72" s="182" t="str">
        <f>I52</f>
        <v>2021–22</v>
      </c>
      <c r="H72" s="183">
        <f t="shared" ref="H72:H76" si="2">DATE(YEAR(H71)+1,6,1)</f>
        <v>44713</v>
      </c>
      <c r="T72" s="17"/>
    </row>
    <row r="73" spans="1:47">
      <c r="C73" s="15" t="s">
        <v>143</v>
      </c>
      <c r="D73" s="16" t="s">
        <v>97</v>
      </c>
      <c r="E73" s="16"/>
      <c r="F73" s="16"/>
      <c r="G73" s="182" t="str">
        <f t="shared" ref="G73:G76" si="3">I53</f>
        <v>2022–23</v>
      </c>
      <c r="H73" s="183">
        <f t="shared" si="2"/>
        <v>45078</v>
      </c>
      <c r="T73" s="17"/>
    </row>
    <row r="74" spans="1:47">
      <c r="C74" s="15" t="s">
        <v>144</v>
      </c>
      <c r="D74" s="16" t="s">
        <v>97</v>
      </c>
      <c r="E74" s="16"/>
      <c r="F74" s="16"/>
      <c r="G74" s="182" t="str">
        <f t="shared" si="3"/>
        <v>2023–24</v>
      </c>
      <c r="H74" s="183">
        <f t="shared" si="2"/>
        <v>45444</v>
      </c>
      <c r="T74" s="17"/>
    </row>
    <row r="75" spans="1:47">
      <c r="C75" s="15" t="s">
        <v>145</v>
      </c>
      <c r="D75" s="16" t="s">
        <v>97</v>
      </c>
      <c r="E75" s="16"/>
      <c r="F75" s="16"/>
      <c r="G75" s="182" t="str">
        <f t="shared" si="3"/>
        <v>2024–25</v>
      </c>
      <c r="H75" s="183">
        <f t="shared" si="2"/>
        <v>45809</v>
      </c>
      <c r="T75" s="17"/>
    </row>
    <row r="76" spans="1:47">
      <c r="C76" s="15" t="s">
        <v>146</v>
      </c>
      <c r="D76" s="16" t="s">
        <v>97</v>
      </c>
      <c r="E76" s="16"/>
      <c r="F76" s="16"/>
      <c r="G76" s="182" t="str">
        <f t="shared" si="3"/>
        <v>2025–26</v>
      </c>
      <c r="H76" s="183">
        <f t="shared" si="2"/>
        <v>46174</v>
      </c>
      <c r="T76" s="17"/>
    </row>
    <row r="77" spans="1:47">
      <c r="C77" s="15"/>
      <c r="D77" s="16"/>
      <c r="E77" s="16"/>
      <c r="F77" s="16"/>
      <c r="G77" s="210"/>
      <c r="H77" s="211"/>
      <c r="T77" s="17"/>
    </row>
    <row r="78" spans="1:47" customFormat="1" ht="12.75">
      <c r="A78" s="43"/>
      <c r="B78" s="51" t="s">
        <v>42</v>
      </c>
      <c r="C78" s="43"/>
      <c r="D78" s="43"/>
      <c r="E78" s="43"/>
      <c r="F78" s="44"/>
      <c r="G78" s="44"/>
      <c r="H78" s="44"/>
      <c r="I78" s="44"/>
      <c r="J78" s="45"/>
      <c r="K78" s="46"/>
      <c r="L78" s="45"/>
      <c r="M78" s="46"/>
      <c r="N78" s="45"/>
      <c r="O78" s="45"/>
      <c r="P78" s="45"/>
      <c r="Q78" s="45"/>
      <c r="R78" s="45"/>
      <c r="S78" s="45"/>
      <c r="T78" s="45"/>
      <c r="U78" s="45"/>
      <c r="V78" s="46"/>
      <c r="W78" s="46"/>
      <c r="X78" s="47"/>
      <c r="Y78" s="47"/>
      <c r="Z78" s="47"/>
      <c r="AA78" s="47"/>
      <c r="AB78" s="48"/>
      <c r="AC78" s="49"/>
      <c r="AD78" s="49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U78" s="50"/>
    </row>
    <row r="79" spans="1:47"/>
    <row r="80" spans="1:47">
      <c r="C80" s="13" t="str">
        <f>B78</f>
        <v>Rate of change</v>
      </c>
      <c r="D80" s="21" t="s">
        <v>7</v>
      </c>
      <c r="E80" s="21"/>
      <c r="F80" s="14"/>
      <c r="G80" s="14" t="s">
        <v>149</v>
      </c>
      <c r="H80" s="212"/>
    </row>
    <row r="81" spans="1:47">
      <c r="C81" s="15" t="s">
        <v>177</v>
      </c>
      <c r="D81" s="16" t="s">
        <v>68</v>
      </c>
      <c r="E81" s="16"/>
      <c r="F81" s="16"/>
      <c r="G81" s="181" t="s">
        <v>106</v>
      </c>
      <c r="H81" s="211"/>
    </row>
    <row r="82" spans="1:47">
      <c r="C82" s="15" t="s">
        <v>178</v>
      </c>
      <c r="D82" s="16" t="s">
        <v>68</v>
      </c>
      <c r="E82" s="16"/>
      <c r="F82" s="16"/>
      <c r="G82" s="182" t="s">
        <v>179</v>
      </c>
      <c r="H82" s="211"/>
    </row>
    <row r="83" spans="1:47"/>
    <row r="84" spans="1:47" customFormat="1" ht="12.75">
      <c r="A84" s="43"/>
      <c r="B84" s="51" t="s">
        <v>21</v>
      </c>
      <c r="C84" s="43"/>
      <c r="D84" s="43"/>
      <c r="E84" s="43"/>
      <c r="F84" s="44"/>
      <c r="G84" s="44"/>
      <c r="H84" s="44"/>
      <c r="I84" s="44"/>
      <c r="J84" s="45"/>
      <c r="K84" s="46"/>
      <c r="L84" s="45"/>
      <c r="M84" s="46"/>
      <c r="N84" s="45"/>
      <c r="O84" s="45"/>
      <c r="P84" s="45"/>
      <c r="Q84" s="45"/>
      <c r="R84" s="45"/>
      <c r="S84" s="45"/>
      <c r="T84" s="45"/>
      <c r="U84" s="45"/>
      <c r="V84" s="46"/>
      <c r="W84" s="46"/>
      <c r="X84" s="47"/>
      <c r="Y84" s="47"/>
      <c r="Z84" s="47"/>
      <c r="AA84" s="47"/>
      <c r="AB84" s="48"/>
      <c r="AC84" s="49"/>
      <c r="AD84" s="49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AT84" s="50"/>
      <c r="AU84" s="50"/>
    </row>
    <row r="85" spans="1:47" hidden="1"/>
    <row r="86" spans="1:47" hidden="1"/>
    <row r="87" spans="1:47" hidden="1"/>
    <row r="88" spans="1:47" hidden="1"/>
    <row r="89" spans="1:47" hidden="1"/>
    <row r="90" spans="1:47" hidden="1"/>
    <row r="91" spans="1:47" hidden="1"/>
    <row r="92" spans="1:47" hidden="1"/>
    <row r="93" spans="1:47" hidden="1"/>
    <row r="94" spans="1:47" hidden="1"/>
    <row r="95" spans="1:47" hidden="1"/>
    <row r="96" spans="1:47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</sheetData>
  <conditionalFormatting sqref="P14:Q21">
    <cfRule type="expression" dxfId="15" priority="56" stopIfTrue="1">
      <formula>#REF!="Actual"</formula>
    </cfRule>
  </conditionalFormatting>
  <conditionalFormatting sqref="P14:P21">
    <cfRule type="expression" dxfId="14" priority="55" stopIfTrue="1">
      <formula>#REF!="Actual"</formula>
    </cfRule>
  </conditionalFormatting>
  <conditionalFormatting sqref="P83">
    <cfRule type="expression" dxfId="13" priority="53" stopIfTrue="1">
      <formula>#REF!="Actual"</formula>
    </cfRule>
  </conditionalFormatting>
  <conditionalFormatting sqref="Q83">
    <cfRule type="expression" dxfId="12" priority="50" stopIfTrue="1">
      <formula>#REF!="Actual"</formula>
    </cfRule>
  </conditionalFormatting>
  <conditionalFormatting sqref="V1">
    <cfRule type="cellIs" dxfId="11" priority="5" operator="equal">
      <formula>"Check"</formula>
    </cfRule>
    <cfRule type="cellIs" dxfId="10" priority="6" operator="equal">
      <formula>"Ok"</formula>
    </cfRule>
  </conditionalFormatting>
  <conditionalFormatting sqref="S1">
    <cfRule type="cellIs" dxfId="9" priority="3" operator="equal">
      <formula>"Check"</formula>
    </cfRule>
    <cfRule type="cellIs" dxfId="8" priority="4" operator="equal">
      <formula>"Ok"</formula>
    </cfRule>
  </conditionalFormatting>
  <conditionalFormatting sqref="P61">
    <cfRule type="expression" dxfId="7" priority="2" stopIfTrue="1">
      <formula>#REF!="Actual"</formula>
    </cfRule>
  </conditionalFormatting>
  <conditionalFormatting sqref="Q61">
    <cfRule type="expression" dxfId="6" priority="1" stopIfTrue="1">
      <formula>#REF!="Actual"</formula>
    </cfRule>
  </conditionalFormatting>
  <hyperlinks>
    <hyperlink ref="J1" location="Index!A1" display="Back to Index" xr:uid="{00000000-0004-0000-0800-000000000000}"/>
    <hyperlink ref="U1" location="'Check|List'!A1" display="Overall Check:" xr:uid="{00000000-0004-0000-0800-000001000000}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theme="1"/>
  </sheetPr>
  <dimension ref="A1:AU28"/>
  <sheetViews>
    <sheetView showGridLines="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26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47" s="38" customFormat="1" ht="15.75">
      <c r="B1" s="35" t="str">
        <f>Index!$B$1</f>
        <v>AER opex model v1.9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P1" s="227" t="s">
        <v>225</v>
      </c>
      <c r="R1" s="179" t="s">
        <v>24</v>
      </c>
      <c r="S1" s="40" t="str">
        <f>IF(COUNTIF(G10:G16,"Check")=0,"Ok","Check")</f>
        <v>Check</v>
      </c>
      <c r="U1" s="39"/>
      <c r="V1" s="40"/>
    </row>
    <row r="2" spans="1:47" s="38" customFormat="1" ht="12.75">
      <c r="B2" s="53" t="str">
        <f>Index!$C$15</f>
        <v>Check | List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/>
    <row r="5" spans="1:47" s="6" customFormat="1" ht="9" customHeight="1"/>
    <row r="6" spans="1:47" s="6" customFormat="1" ht="3" customHeight="1"/>
    <row r="7" spans="1:47" customFormat="1" ht="12.75">
      <c r="A7" s="43"/>
      <c r="B7" s="51" t="s">
        <v>26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47">
      <c r="C10" s="15" t="str">
        <f>Index!C7</f>
        <v>Input | General</v>
      </c>
      <c r="D10" s="34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47">
      <c r="C11" s="15" t="str">
        <f>Index!C8</f>
        <v>Input | Inflation</v>
      </c>
      <c r="D11" s="164" t="str">
        <f>C11</f>
        <v>Input | Inflation</v>
      </c>
      <c r="E11" s="16" t="s">
        <v>28</v>
      </c>
      <c r="F11" s="16"/>
      <c r="G11" s="18" t="str">
        <f>'Input|Inflation'!T1</f>
        <v>OK</v>
      </c>
      <c r="T11" s="17"/>
    </row>
    <row r="12" spans="1:47">
      <c r="C12" s="15" t="str">
        <f>Index!C9</f>
        <v>Input | Reported opex</v>
      </c>
      <c r="D12" s="34" t="str">
        <f t="shared" ref="D12:D16" si="0">C12</f>
        <v>Input | Reported opex</v>
      </c>
      <c r="E12" s="16" t="s">
        <v>28</v>
      </c>
      <c r="G12" s="18" t="str">
        <f>'Input|Reported opex'!S1</f>
        <v>OK</v>
      </c>
      <c r="H12" s="16"/>
      <c r="T12" s="17"/>
    </row>
    <row r="13" spans="1:47">
      <c r="C13" s="15" t="str">
        <f>Index!C10</f>
        <v>Input | Rate of change</v>
      </c>
      <c r="D13" s="34" t="str">
        <f t="shared" si="0"/>
        <v>Input | Rate of change</v>
      </c>
      <c r="E13" s="16" t="s">
        <v>28</v>
      </c>
      <c r="F13" s="16"/>
      <c r="G13" s="18" t="str">
        <f>'Input|Rate of change'!T1</f>
        <v>Check</v>
      </c>
      <c r="H13" s="16"/>
      <c r="T13" s="17"/>
    </row>
    <row r="14" spans="1:47">
      <c r="C14" s="15" t="str">
        <f>Index!C11</f>
        <v>Input | Step changes</v>
      </c>
      <c r="D14" s="34" t="str">
        <f t="shared" si="0"/>
        <v>Input | Step changes</v>
      </c>
      <c r="E14" s="16" t="s">
        <v>28</v>
      </c>
      <c r="F14" s="16"/>
      <c r="G14" s="18" t="str">
        <f>'Input|Step changes'!S1</f>
        <v>OK</v>
      </c>
      <c r="H14" s="16"/>
      <c r="T14" s="17"/>
    </row>
    <row r="15" spans="1:47">
      <c r="C15" s="15" t="str">
        <f>Index!C12</f>
        <v>Calc | Opex Forecast</v>
      </c>
      <c r="D15" s="34" t="str">
        <f t="shared" si="0"/>
        <v>Calc | Opex Forecast</v>
      </c>
      <c r="E15" s="16" t="s">
        <v>28</v>
      </c>
      <c r="F15" s="16"/>
      <c r="G15" s="18" t="str">
        <f>'Calc|Opex forecast'!S1</f>
        <v>n/a</v>
      </c>
      <c r="H15" s="16"/>
      <c r="T15" s="17"/>
    </row>
    <row r="16" spans="1:47">
      <c r="C16" s="15" t="str">
        <f>Index!C13</f>
        <v>Output | Models</v>
      </c>
      <c r="D16" s="34" t="str">
        <f t="shared" si="0"/>
        <v>Output | Models</v>
      </c>
      <c r="E16" s="16" t="s">
        <v>28</v>
      </c>
      <c r="F16" s="16"/>
      <c r="G16" s="18" t="str">
        <f>'Output|Models'!T1</f>
        <v>n/a</v>
      </c>
      <c r="H16" s="16"/>
      <c r="T16" s="17"/>
    </row>
    <row r="17" spans="1:47">
      <c r="C17" s="15"/>
    </row>
    <row r="18" spans="1:47" customFormat="1" ht="12.75">
      <c r="A18" s="43"/>
      <c r="B18" s="51" t="s">
        <v>21</v>
      </c>
      <c r="C18" s="43"/>
      <c r="D18" s="43"/>
      <c r="E18" s="43"/>
      <c r="F18" s="44"/>
      <c r="G18" s="44"/>
      <c r="H18" s="44"/>
      <c r="I18" s="44"/>
      <c r="J18" s="45"/>
      <c r="K18" s="46"/>
      <c r="L18" s="45"/>
      <c r="M18" s="46"/>
      <c r="N18" s="45"/>
      <c r="O18" s="45"/>
      <c r="P18" s="45"/>
      <c r="Q18" s="45"/>
      <c r="R18" s="45"/>
      <c r="S18" s="45"/>
      <c r="T18" s="45"/>
      <c r="U18" s="45"/>
      <c r="V18" s="46"/>
      <c r="W18" s="46"/>
      <c r="X18" s="47"/>
      <c r="Y18" s="47"/>
      <c r="Z18" s="47"/>
      <c r="AA18" s="47"/>
      <c r="AB18" s="48"/>
      <c r="AC18" s="49"/>
      <c r="AD18" s="49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</row>
    <row r="19" spans="1:47" hidden="1">
      <c r="C19" s="15"/>
    </row>
    <row r="20" spans="1:47" hidden="1">
      <c r="C20" s="15"/>
    </row>
    <row r="21" spans="1:47" hidden="1">
      <c r="C21" s="15"/>
    </row>
    <row r="22" spans="1:47" hidden="1">
      <c r="C22" s="15"/>
    </row>
    <row r="23" spans="1:47" hidden="1"/>
    <row r="24" spans="1:47" hidden="1"/>
    <row r="25" spans="1:47" hidden="1"/>
    <row r="26" spans="1:47" hidden="1"/>
    <row r="27" spans="1:47" hidden="1"/>
    <row r="28" spans="1:47" hidden="1"/>
  </sheetData>
  <conditionalFormatting sqref="G10:G16">
    <cfRule type="cellIs" dxfId="5" priority="13" operator="equal">
      <formula>"Check"</formula>
    </cfRule>
    <cfRule type="cellIs" dxfId="4" priority="14" operator="equal">
      <formula>"Ok"</formula>
    </cfRule>
  </conditionalFormatting>
  <conditionalFormatting sqref="V1">
    <cfRule type="cellIs" dxfId="3" priority="3" operator="equal">
      <formula>"Check"</formula>
    </cfRule>
    <cfRule type="cellIs" dxfId="2" priority="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 xr:uid="{00000000-0004-0000-0900-000000000000}"/>
    <hyperlink ref="D10" location="'Input|General'!A1" display="'Input|General'!A1" xr:uid="{00000000-0004-0000-0900-000001000000}"/>
    <hyperlink ref="D12" location="'Input|Reported opex'!A1" display="'Input|Reported opex'!A1" xr:uid="{00000000-0004-0000-0900-000002000000}"/>
    <hyperlink ref="D13" location="'Input|Rate of change'!A1" display="'Input|Rate of change'!A1" xr:uid="{00000000-0004-0000-0900-000003000000}"/>
    <hyperlink ref="D15" location="'Calc|Opex forecast'!A1" display="'Calc|Opex forecast'!A1" xr:uid="{00000000-0004-0000-0900-000004000000}"/>
    <hyperlink ref="D11" location="'Input|Inflation'!A1" display="'Input|Inflation'!A1" xr:uid="{00000000-0004-0000-0900-000005000000}"/>
    <hyperlink ref="R1" location="'Check|List'!A1" display="Overall Check:" xr:uid="{00000000-0004-0000-0900-000006000000}"/>
    <hyperlink ref="D14" location="'Input|Step changes'!A1" display="'Input|Step changes'!A1" xr:uid="{00000000-0004-0000-0900-000007000000}"/>
    <hyperlink ref="D16" location="'Output|Models'!A1" display="'Output|Models'!A1" xr:uid="{00000000-0004-0000-0900-000008000000}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16</vt:i4>
      </vt:variant>
    </vt:vector>
  </HeadingPairs>
  <TitlesOfParts>
    <vt:vector size="27" baseType="lpstr">
      <vt:lpstr>Index</vt:lpstr>
      <vt:lpstr>Amendments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BaseYear</vt:lpstr>
      <vt:lpstr>dollars</vt:lpstr>
      <vt:lpstr>factor</vt:lpstr>
      <vt:lpstr>FPFirstYear</vt:lpstr>
      <vt:lpstr>FPLastYear</vt:lpstr>
      <vt:lpstr>InterveningPeriod</vt:lpstr>
      <vt:lpstr>millions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Douglas, Fenella</dc:creator>
  <cp:lastModifiedBy>Fenella Douglas</cp:lastModifiedBy>
  <dcterms:created xsi:type="dcterms:W3CDTF">2020-09-06T23:14:51Z</dcterms:created>
  <dcterms:modified xsi:type="dcterms:W3CDTF">2021-03-24T05:32:02Z</dcterms:modified>
</cp:coreProperties>
</file>