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filterPrivacy="1" codeName="ThisWorkbook" defaultThemeVersion="124226"/>
  <xr:revisionPtr revIDLastSave="0" documentId="13_ncr:1_{305C9C4E-895F-4BA0-A6CF-74EF0360C329}" xr6:coauthVersionLast="41" xr6:coauthVersionMax="41" xr10:uidLastSave="{00000000-0000-0000-0000-000000000000}"/>
  <bookViews>
    <workbookView xWindow="990" yWindow="-120" windowWidth="27930" windowHeight="16440" tabRatio="748" activeTab="1" xr2:uid="{00000000-000D-0000-FFFF-FFFF00000000}"/>
  </bookViews>
  <sheets>
    <sheet name="Assumptions" sheetId="15" r:id="rId1"/>
    <sheet name="Output" sheetId="14" r:id="rId2"/>
    <sheet name="Profile" sheetId="13" r:id="rId3"/>
    <sheet name="T3 ACRs" sheetId="27" r:id="rId4"/>
    <sheet name="T3 surge arrestors" sheetId="20" r:id="rId5"/>
    <sheet name="OtherAssets" sheetId="16" r:id="rId6"/>
    <sheet name="Underground cable" sheetId="22" r:id="rId7"/>
    <sheet name="T1-T3 old UG cable" sheetId="31" r:id="rId8"/>
    <sheet name="Other_ACRs" sheetId="23" r:id="rId9"/>
    <sheet name="T3 Distribution_Depn" sheetId="28" r:id="rId10"/>
    <sheet name="REFCL_Data" sheetId="19" r:id="rId11"/>
    <sheet name="ACRs_data" sheetId="29" r:id="rId12"/>
    <sheet name="UG_cable_data" sheetId="32" r:id="rId13"/>
  </sheets>
  <externalReferences>
    <externalReference r:id="rId14"/>
    <externalReference r:id="rId15"/>
    <externalReference r:id="rId16"/>
  </externalReferences>
  <definedNames>
    <definedName name="_xlnm._FilterDatabase" localSheetId="2" hidden="1">Profile!$B$8:$L$16</definedName>
    <definedName name="_xlnm._FilterDatabase" localSheetId="7" hidden="1">'T1-T3 old UG cable'!$B$11:$I$11</definedName>
    <definedName name="_xlnm._FilterDatabase" localSheetId="6" hidden="1">'Underground cable'!$C$14:$E$14</definedName>
    <definedName name="_xlnm.Print_Area" localSheetId="8">Other_ACRs!$B$1:$I$46</definedName>
    <definedName name="_xlnm.Print_Area" localSheetId="10">REFCL_Data!$A$1:$Z$35</definedName>
    <definedName name="_xlnm.Print_Area" localSheetId="7">'T1-T3 old UG cable'!$B$1:$I$48</definedName>
    <definedName name="_xlnm.Print_Area" localSheetId="3">'T3 ACRs'!$B$1:$I$42</definedName>
    <definedName name="_xlnm.Print_Area" localSheetId="9">'T3 Distribution_Depn'!$A$1:$T$67</definedName>
    <definedName name="_xlnm.Print_Area" localSheetId="4">'T3 surge arrestors'!$B$1:$H$26</definedName>
    <definedName name="_xlnm.Print_Area" localSheetId="6">'Underground cable'!$B$1:$L$67</definedName>
  </definedNames>
  <calcPr calcId="191029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20" l="1"/>
  <c r="F16" i="20"/>
  <c r="E10" i="20"/>
  <c r="G16" i="20"/>
  <c r="H16" i="20"/>
  <c r="F17" i="20"/>
  <c r="G17" i="20"/>
  <c r="H17" i="20"/>
  <c r="F18" i="20"/>
  <c r="G18" i="20"/>
  <c r="H18" i="20"/>
  <c r="F19" i="20"/>
  <c r="G19" i="20"/>
  <c r="H19" i="20"/>
  <c r="F20" i="20"/>
  <c r="G20" i="20"/>
  <c r="H20" i="20"/>
  <c r="F21" i="20"/>
  <c r="G21" i="20"/>
  <c r="H21" i="20"/>
  <c r="F22" i="20"/>
  <c r="G22" i="20"/>
  <c r="H22" i="20"/>
  <c r="G13" i="13"/>
  <c r="F23" i="20"/>
  <c r="G23" i="20"/>
  <c r="H23" i="20"/>
  <c r="G14" i="13"/>
  <c r="H13" i="19"/>
  <c r="D7" i="23"/>
  <c r="E13" i="23"/>
  <c r="E14" i="23"/>
  <c r="E15" i="23"/>
  <c r="E16" i="23"/>
  <c r="E17" i="23"/>
  <c r="E18" i="23"/>
  <c r="E19" i="23"/>
  <c r="E20" i="23"/>
  <c r="E21" i="23"/>
  <c r="E22" i="23"/>
  <c r="E23" i="23"/>
  <c r="E24" i="23"/>
  <c r="E25" i="23"/>
  <c r="E26" i="23"/>
  <c r="E27" i="23"/>
  <c r="E28" i="23"/>
  <c r="E29" i="23"/>
  <c r="E30" i="23"/>
  <c r="E31" i="23"/>
  <c r="E32" i="23"/>
  <c r="E33" i="23"/>
  <c r="E34" i="23"/>
  <c r="E35" i="23"/>
  <c r="E36" i="23"/>
  <c r="E37" i="23"/>
  <c r="E38" i="23"/>
  <c r="E39" i="23"/>
  <c r="E40" i="23"/>
  <c r="E41" i="23"/>
  <c r="E42" i="23"/>
  <c r="E43" i="23"/>
  <c r="E44" i="23"/>
  <c r="E45" i="23"/>
  <c r="E46" i="23"/>
  <c r="E47" i="23"/>
  <c r="E49" i="23"/>
  <c r="G15" i="13"/>
  <c r="H23" i="19"/>
  <c r="D8" i="22"/>
  <c r="E16" i="22"/>
  <c r="H16" i="22"/>
  <c r="E17" i="22"/>
  <c r="H17" i="22"/>
  <c r="E18" i="22"/>
  <c r="H18" i="22"/>
  <c r="E19" i="22"/>
  <c r="H19" i="22"/>
  <c r="E20" i="22"/>
  <c r="H20" i="22"/>
  <c r="E21" i="22"/>
  <c r="H21" i="22"/>
  <c r="E22" i="22"/>
  <c r="H22" i="22"/>
  <c r="E23" i="22"/>
  <c r="H23" i="22"/>
  <c r="E24" i="22"/>
  <c r="H24" i="22"/>
  <c r="E25" i="22"/>
  <c r="H25" i="22"/>
  <c r="E26" i="22"/>
  <c r="H26" i="22"/>
  <c r="E27" i="22"/>
  <c r="H27" i="22"/>
  <c r="E28" i="22"/>
  <c r="H28" i="22"/>
  <c r="E29" i="22"/>
  <c r="H29" i="22"/>
  <c r="E30" i="22"/>
  <c r="H30" i="22"/>
  <c r="E31" i="22"/>
  <c r="H31" i="22"/>
  <c r="E32" i="22"/>
  <c r="H32" i="22"/>
  <c r="E33" i="22"/>
  <c r="H33" i="22"/>
  <c r="H66" i="22"/>
  <c r="E15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I33" i="22"/>
  <c r="E34" i="22"/>
  <c r="I34" i="22"/>
  <c r="E35" i="22"/>
  <c r="I35" i="22"/>
  <c r="E36" i="22"/>
  <c r="I36" i="22"/>
  <c r="E37" i="22"/>
  <c r="I37" i="22"/>
  <c r="E38" i="22"/>
  <c r="I38" i="22"/>
  <c r="E39" i="22"/>
  <c r="I39" i="22"/>
  <c r="E40" i="22"/>
  <c r="I40" i="22"/>
  <c r="E41" i="22"/>
  <c r="I41" i="22"/>
  <c r="E42" i="22"/>
  <c r="I42" i="22"/>
  <c r="E43" i="22"/>
  <c r="I43" i="22"/>
  <c r="E44" i="22"/>
  <c r="I44" i="22"/>
  <c r="E45" i="22"/>
  <c r="I45" i="22"/>
  <c r="E46" i="22"/>
  <c r="I46" i="22"/>
  <c r="E47" i="22"/>
  <c r="I47" i="22"/>
  <c r="E48" i="22"/>
  <c r="I48" i="22"/>
  <c r="E49" i="22"/>
  <c r="I49" i="22"/>
  <c r="E50" i="22"/>
  <c r="I50" i="22"/>
  <c r="E51" i="22"/>
  <c r="I51" i="22"/>
  <c r="E52" i="22"/>
  <c r="I52" i="22"/>
  <c r="E53" i="22"/>
  <c r="I53" i="22"/>
  <c r="E54" i="22"/>
  <c r="I54" i="22"/>
  <c r="E55" i="22"/>
  <c r="I55" i="22"/>
  <c r="E56" i="22"/>
  <c r="I56" i="22"/>
  <c r="E57" i="22"/>
  <c r="I57" i="22"/>
  <c r="E58" i="22"/>
  <c r="I58" i="22"/>
  <c r="E59" i="22"/>
  <c r="I59" i="22"/>
  <c r="E60" i="22"/>
  <c r="I60" i="22"/>
  <c r="E61" i="22"/>
  <c r="I61" i="22"/>
  <c r="E62" i="22"/>
  <c r="I62" i="22"/>
  <c r="E63" i="22"/>
  <c r="I63" i="22"/>
  <c r="E64" i="22"/>
  <c r="I64" i="22"/>
  <c r="I66" i="22"/>
  <c r="G16" i="13"/>
  <c r="G17" i="13"/>
  <c r="G8" i="14"/>
  <c r="G12" i="14"/>
  <c r="A1" i="31"/>
  <c r="A1" i="32"/>
  <c r="A1" i="29"/>
  <c r="A1" i="27"/>
  <c r="A2" i="19"/>
  <c r="H26" i="13"/>
  <c r="I26" i="13"/>
  <c r="A1" i="16"/>
  <c r="G12" i="13"/>
  <c r="N12" i="19"/>
  <c r="N13" i="19"/>
  <c r="N14" i="19"/>
  <c r="N15" i="19"/>
  <c r="N16" i="19"/>
  <c r="N17" i="19"/>
  <c r="N18" i="19"/>
  <c r="N19" i="19"/>
  <c r="N20" i="19"/>
  <c r="N21" i="19"/>
  <c r="N22" i="19"/>
  <c r="N11" i="19"/>
  <c r="AH23" i="19"/>
  <c r="AI23" i="19"/>
  <c r="AJ23" i="19"/>
  <c r="AK23" i="19"/>
  <c r="AL23" i="19"/>
  <c r="AM23" i="19"/>
  <c r="AN23" i="19"/>
  <c r="M23" i="19"/>
  <c r="L23" i="19"/>
  <c r="K23" i="19"/>
  <c r="M22" i="19"/>
  <c r="L22" i="19"/>
  <c r="K22" i="19"/>
  <c r="AH21" i="19"/>
  <c r="AI21" i="19"/>
  <c r="AJ21" i="19"/>
  <c r="AK21" i="19"/>
  <c r="AL21" i="19"/>
  <c r="AM21" i="19"/>
  <c r="AN21" i="19"/>
  <c r="M21" i="19"/>
  <c r="L21" i="19"/>
  <c r="K21" i="19"/>
  <c r="AH20" i="19"/>
  <c r="AI20" i="19"/>
  <c r="AJ20" i="19"/>
  <c r="AK20" i="19"/>
  <c r="AL20" i="19"/>
  <c r="AM20" i="19"/>
  <c r="AN20" i="19"/>
  <c r="M20" i="19"/>
  <c r="L20" i="19"/>
  <c r="K20" i="19"/>
  <c r="AH19" i="19"/>
  <c r="AI19" i="19"/>
  <c r="AJ19" i="19"/>
  <c r="AK19" i="19"/>
  <c r="AL19" i="19"/>
  <c r="AM19" i="19"/>
  <c r="AN19" i="19"/>
  <c r="M19" i="19"/>
  <c r="L19" i="19"/>
  <c r="K19" i="19"/>
  <c r="AH18" i="19"/>
  <c r="AI18" i="19"/>
  <c r="AJ18" i="19"/>
  <c r="AK18" i="19"/>
  <c r="AL18" i="19"/>
  <c r="AM18" i="19"/>
  <c r="AN18" i="19"/>
  <c r="M18" i="19"/>
  <c r="L18" i="19"/>
  <c r="K18" i="19"/>
  <c r="AH17" i="19"/>
  <c r="AI17" i="19"/>
  <c r="AJ17" i="19"/>
  <c r="AK17" i="19"/>
  <c r="AL17" i="19"/>
  <c r="AM17" i="19"/>
  <c r="AN17" i="19"/>
  <c r="M17" i="19"/>
  <c r="L17" i="19"/>
  <c r="K17" i="19"/>
  <c r="AH16" i="19"/>
  <c r="AI16" i="19"/>
  <c r="AJ16" i="19"/>
  <c r="AK16" i="19"/>
  <c r="AL16" i="19"/>
  <c r="AM16" i="19"/>
  <c r="AN16" i="19"/>
  <c r="M16" i="19"/>
  <c r="L16" i="19"/>
  <c r="K16" i="19"/>
  <c r="AH15" i="19"/>
  <c r="AI15" i="19"/>
  <c r="AJ15" i="19"/>
  <c r="AK15" i="19"/>
  <c r="AL15" i="19"/>
  <c r="AM15" i="19"/>
  <c r="AN15" i="19"/>
  <c r="M15" i="19"/>
  <c r="L15" i="19"/>
  <c r="K15" i="19"/>
  <c r="AH14" i="19"/>
  <c r="AI14" i="19"/>
  <c r="AJ14" i="19"/>
  <c r="AK14" i="19"/>
  <c r="AL14" i="19"/>
  <c r="AM14" i="19"/>
  <c r="AN14" i="19"/>
  <c r="M14" i="19"/>
  <c r="L14" i="19"/>
  <c r="K14" i="19"/>
  <c r="AH13" i="19"/>
  <c r="AI13" i="19"/>
  <c r="AJ13" i="19"/>
  <c r="AK13" i="19"/>
  <c r="AL13" i="19"/>
  <c r="AM13" i="19"/>
  <c r="AN13" i="19"/>
  <c r="M13" i="19"/>
  <c r="L13" i="19"/>
  <c r="K13" i="19"/>
  <c r="AH12" i="19"/>
  <c r="AI12" i="19"/>
  <c r="AJ12" i="19"/>
  <c r="AK12" i="19"/>
  <c r="AL12" i="19"/>
  <c r="AM12" i="19"/>
  <c r="AN12" i="19"/>
  <c r="M12" i="19"/>
  <c r="L12" i="19"/>
  <c r="K12" i="19"/>
  <c r="AH11" i="19"/>
  <c r="AI11" i="19"/>
  <c r="AJ11" i="19"/>
  <c r="AK11" i="19"/>
  <c r="AL11" i="19"/>
  <c r="AM11" i="19"/>
  <c r="AN11" i="19"/>
  <c r="M11" i="19"/>
  <c r="L11" i="19"/>
  <c r="K11" i="19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29" i="22"/>
  <c r="C30" i="22"/>
  <c r="C31" i="22"/>
  <c r="C32" i="22"/>
  <c r="C33" i="22"/>
  <c r="C34" i="22"/>
  <c r="C35" i="22"/>
  <c r="C36" i="22"/>
  <c r="C37" i="22"/>
  <c r="C38" i="22"/>
  <c r="C39" i="22"/>
  <c r="C40" i="22"/>
  <c r="C41" i="22"/>
  <c r="C42" i="22"/>
  <c r="C43" i="22"/>
  <c r="C44" i="22"/>
  <c r="C45" i="22"/>
  <c r="C46" i="22"/>
  <c r="C47" i="22"/>
  <c r="C48" i="22"/>
  <c r="C49" i="22"/>
  <c r="C50" i="22"/>
  <c r="C51" i="22"/>
  <c r="C52" i="22"/>
  <c r="C53" i="22"/>
  <c r="C54" i="22"/>
  <c r="C55" i="22"/>
  <c r="C56" i="22"/>
  <c r="C57" i="22"/>
  <c r="C58" i="22"/>
  <c r="C59" i="22"/>
  <c r="C60" i="22"/>
  <c r="C61" i="22"/>
  <c r="C62" i="22"/>
  <c r="C63" i="22"/>
  <c r="C64" i="22"/>
  <c r="C15" i="22"/>
  <c r="C5" i="13"/>
  <c r="A1" i="15"/>
  <c r="A2" i="15"/>
  <c r="A1" i="13"/>
  <c r="G9" i="13"/>
  <c r="L12" i="15"/>
  <c r="K12" i="15"/>
  <c r="F10" i="13"/>
  <c r="G10" i="13"/>
  <c r="E11" i="13"/>
  <c r="F11" i="13"/>
  <c r="G11" i="13"/>
  <c r="E12" i="13"/>
  <c r="F12" i="13"/>
  <c r="J12" i="15"/>
  <c r="I12" i="15"/>
  <c r="H12" i="15"/>
  <c r="G12" i="15"/>
  <c r="D14" i="15"/>
  <c r="I13" i="13"/>
  <c r="D13" i="23"/>
  <c r="D14" i="23"/>
  <c r="D15" i="23"/>
  <c r="D16" i="23"/>
  <c r="D17" i="23"/>
  <c r="D18" i="23"/>
  <c r="D19" i="23"/>
  <c r="D20" i="23"/>
  <c r="D21" i="23"/>
  <c r="D22" i="23"/>
  <c r="D23" i="23"/>
  <c r="D24" i="23"/>
  <c r="D25" i="23"/>
  <c r="D26" i="23"/>
  <c r="D27" i="23"/>
  <c r="D28" i="23"/>
  <c r="D29" i="23"/>
  <c r="D30" i="23"/>
  <c r="D31" i="23"/>
  <c r="D32" i="23"/>
  <c r="D33" i="23"/>
  <c r="D34" i="23"/>
  <c r="D35" i="23"/>
  <c r="D36" i="23"/>
  <c r="D37" i="23"/>
  <c r="D38" i="23"/>
  <c r="D39" i="23"/>
  <c r="D40" i="23"/>
  <c r="D41" i="23"/>
  <c r="D42" i="23"/>
  <c r="D43" i="23"/>
  <c r="D44" i="23"/>
  <c r="D45" i="23"/>
  <c r="D46" i="23"/>
  <c r="D47" i="23"/>
  <c r="O22" i="19"/>
  <c r="J23" i="19"/>
  <c r="N23" i="19"/>
  <c r="O23" i="19"/>
  <c r="D7" i="22"/>
  <c r="D10" i="22"/>
  <c r="F15" i="22"/>
  <c r="H15" i="22"/>
  <c r="B16" i="22"/>
  <c r="D16" i="22"/>
  <c r="B17" i="22"/>
  <c r="D17" i="22"/>
  <c r="B18" i="22"/>
  <c r="D18" i="22"/>
  <c r="B19" i="22"/>
  <c r="D19" i="22"/>
  <c r="B20" i="22"/>
  <c r="D20" i="22"/>
  <c r="B21" i="22"/>
  <c r="D21" i="22"/>
  <c r="B22" i="22"/>
  <c r="D22" i="22"/>
  <c r="B23" i="22"/>
  <c r="D23" i="22"/>
  <c r="B24" i="22"/>
  <c r="D24" i="22"/>
  <c r="B25" i="22"/>
  <c r="D25" i="22"/>
  <c r="B26" i="22"/>
  <c r="D26" i="22"/>
  <c r="B27" i="22"/>
  <c r="D27" i="22"/>
  <c r="B28" i="22"/>
  <c r="D28" i="22"/>
  <c r="B29" i="22"/>
  <c r="D29" i="22"/>
  <c r="B30" i="22"/>
  <c r="D30" i="22"/>
  <c r="B31" i="22"/>
  <c r="D31" i="22"/>
  <c r="B32" i="22"/>
  <c r="D32" i="22"/>
  <c r="B33" i="22"/>
  <c r="D33" i="22"/>
  <c r="D15" i="22"/>
  <c r="B34" i="22"/>
  <c r="D34" i="22"/>
  <c r="B35" i="22"/>
  <c r="D35" i="22"/>
  <c r="B36" i="22"/>
  <c r="D36" i="22"/>
  <c r="B37" i="22"/>
  <c r="D37" i="22"/>
  <c r="B38" i="22"/>
  <c r="D38" i="22"/>
  <c r="B39" i="22"/>
  <c r="D39" i="22"/>
  <c r="B40" i="22"/>
  <c r="D40" i="22"/>
  <c r="B41" i="22"/>
  <c r="D41" i="22"/>
  <c r="B42" i="22"/>
  <c r="D42" i="22"/>
  <c r="B43" i="22"/>
  <c r="D43" i="22"/>
  <c r="B44" i="22"/>
  <c r="D44" i="22"/>
  <c r="B45" i="22"/>
  <c r="D45" i="22"/>
  <c r="B46" i="22"/>
  <c r="D46" i="22"/>
  <c r="B47" i="22"/>
  <c r="D47" i="22"/>
  <c r="B48" i="22"/>
  <c r="D48" i="22"/>
  <c r="B49" i="22"/>
  <c r="D49" i="22"/>
  <c r="B50" i="22"/>
  <c r="D50" i="22"/>
  <c r="B51" i="22"/>
  <c r="D51" i="22"/>
  <c r="B52" i="22"/>
  <c r="D52" i="22"/>
  <c r="B53" i="22"/>
  <c r="D53" i="22"/>
  <c r="B54" i="22"/>
  <c r="D54" i="22"/>
  <c r="B55" i="22"/>
  <c r="D55" i="22"/>
  <c r="B56" i="22"/>
  <c r="D56" i="22"/>
  <c r="B57" i="22"/>
  <c r="D57" i="22"/>
  <c r="B58" i="22"/>
  <c r="D58" i="22"/>
  <c r="B59" i="22"/>
  <c r="D59" i="22"/>
  <c r="B60" i="22"/>
  <c r="D60" i="22"/>
  <c r="B61" i="22"/>
  <c r="D61" i="22"/>
  <c r="B62" i="22"/>
  <c r="D62" i="22"/>
  <c r="B63" i="22"/>
  <c r="D63" i="22"/>
  <c r="B64" i="22"/>
  <c r="D64" i="22"/>
  <c r="J13" i="13"/>
  <c r="K13" i="13"/>
  <c r="K17" i="13"/>
  <c r="K9" i="14"/>
  <c r="L13" i="13"/>
  <c r="L17" i="13"/>
  <c r="L9" i="14"/>
  <c r="B21" i="13"/>
  <c r="B22" i="13"/>
  <c r="B23" i="13"/>
  <c r="B24" i="13"/>
  <c r="B25" i="13"/>
  <c r="B26" i="13"/>
  <c r="B27" i="13"/>
  <c r="B28" i="13"/>
  <c r="H13" i="13"/>
  <c r="H21" i="13"/>
  <c r="I21" i="13"/>
  <c r="J21" i="13"/>
  <c r="K21" i="13"/>
  <c r="L21" i="13"/>
  <c r="M21" i="13"/>
  <c r="N21" i="13"/>
  <c r="O21" i="13"/>
  <c r="P21" i="13"/>
  <c r="Q21" i="13"/>
  <c r="R21" i="13"/>
  <c r="S21" i="13"/>
  <c r="T21" i="13"/>
  <c r="U21" i="13"/>
  <c r="V21" i="13"/>
  <c r="W21" i="13"/>
  <c r="X21" i="13"/>
  <c r="Y21" i="13"/>
  <c r="Z21" i="13"/>
  <c r="AA21" i="13"/>
  <c r="AB21" i="13"/>
  <c r="AC21" i="13"/>
  <c r="AD21" i="13"/>
  <c r="AE21" i="13"/>
  <c r="AF21" i="13"/>
  <c r="AG21" i="13"/>
  <c r="AH21" i="13"/>
  <c r="AI21" i="13"/>
  <c r="AJ21" i="13"/>
  <c r="AK21" i="13"/>
  <c r="AL21" i="13"/>
  <c r="AM21" i="13"/>
  <c r="AN21" i="13"/>
  <c r="AO21" i="13"/>
  <c r="AP21" i="13"/>
  <c r="AQ21" i="13"/>
  <c r="AR21" i="13"/>
  <c r="AS21" i="13"/>
  <c r="AT21" i="13"/>
  <c r="AU21" i="13"/>
  <c r="AV21" i="13"/>
  <c r="AW21" i="13"/>
  <c r="AX21" i="13"/>
  <c r="AY21" i="13"/>
  <c r="AZ21" i="13"/>
  <c r="BA21" i="13"/>
  <c r="BB21" i="13"/>
  <c r="BC21" i="13"/>
  <c r="BD21" i="13"/>
  <c r="BE21" i="13"/>
  <c r="BF21" i="13"/>
  <c r="BG21" i="13"/>
  <c r="BH21" i="13"/>
  <c r="BI21" i="13"/>
  <c r="BJ21" i="13"/>
  <c r="BK21" i="13"/>
  <c r="BL21" i="13"/>
  <c r="BM21" i="13"/>
  <c r="BN21" i="13"/>
  <c r="BO21" i="13"/>
  <c r="BP21" i="13"/>
  <c r="BQ21" i="13"/>
  <c r="H22" i="13"/>
  <c r="I22" i="13"/>
  <c r="J22" i="13"/>
  <c r="K22" i="13"/>
  <c r="L22" i="13"/>
  <c r="M22" i="13"/>
  <c r="N22" i="13"/>
  <c r="O22" i="13"/>
  <c r="P22" i="13"/>
  <c r="Q22" i="13"/>
  <c r="R22" i="13"/>
  <c r="S22" i="13"/>
  <c r="T22" i="13"/>
  <c r="U22" i="13"/>
  <c r="V22" i="13"/>
  <c r="W22" i="13"/>
  <c r="X22" i="13"/>
  <c r="Y22" i="13"/>
  <c r="Z22" i="13"/>
  <c r="AA22" i="13"/>
  <c r="AB22" i="13"/>
  <c r="AC22" i="13"/>
  <c r="AD22" i="13"/>
  <c r="AE22" i="13"/>
  <c r="AF22" i="13"/>
  <c r="AG22" i="13"/>
  <c r="AH22" i="13"/>
  <c r="AI22" i="13"/>
  <c r="AJ22" i="13"/>
  <c r="AK22" i="13"/>
  <c r="AL22" i="13"/>
  <c r="AM22" i="13"/>
  <c r="AN22" i="13"/>
  <c r="AO22" i="13"/>
  <c r="AP22" i="13"/>
  <c r="AQ22" i="13"/>
  <c r="AR22" i="13"/>
  <c r="AS22" i="13"/>
  <c r="AT22" i="13"/>
  <c r="AU22" i="13"/>
  <c r="AV22" i="13"/>
  <c r="AW22" i="13"/>
  <c r="AX22" i="13"/>
  <c r="AY22" i="13"/>
  <c r="AZ22" i="13"/>
  <c r="BA22" i="13"/>
  <c r="BB22" i="13"/>
  <c r="BC22" i="13"/>
  <c r="BD22" i="13"/>
  <c r="BE22" i="13"/>
  <c r="BF22" i="13"/>
  <c r="BG22" i="13"/>
  <c r="BH22" i="13"/>
  <c r="BI22" i="13"/>
  <c r="BJ22" i="13"/>
  <c r="BK22" i="13"/>
  <c r="BL22" i="13"/>
  <c r="BM22" i="13"/>
  <c r="BN22" i="13"/>
  <c r="BO22" i="13"/>
  <c r="BP22" i="13"/>
  <c r="BQ22" i="13"/>
  <c r="H23" i="13"/>
  <c r="I23" i="13"/>
  <c r="J23" i="13"/>
  <c r="K23" i="13"/>
  <c r="L23" i="13"/>
  <c r="M23" i="13"/>
  <c r="N23" i="13"/>
  <c r="O23" i="13"/>
  <c r="P23" i="13"/>
  <c r="Q23" i="13"/>
  <c r="R23" i="13"/>
  <c r="S23" i="13"/>
  <c r="T23" i="13"/>
  <c r="U23" i="13"/>
  <c r="V23" i="13"/>
  <c r="W23" i="13"/>
  <c r="X23" i="13"/>
  <c r="Y23" i="13"/>
  <c r="Z23" i="13"/>
  <c r="AA23" i="13"/>
  <c r="AB23" i="13"/>
  <c r="AC23" i="13"/>
  <c r="AD23" i="13"/>
  <c r="AE23" i="13"/>
  <c r="AF23" i="13"/>
  <c r="AG23" i="13"/>
  <c r="AH23" i="13"/>
  <c r="AI23" i="13"/>
  <c r="AJ23" i="13"/>
  <c r="AK23" i="13"/>
  <c r="AL23" i="13"/>
  <c r="AM23" i="13"/>
  <c r="AN23" i="13"/>
  <c r="AO23" i="13"/>
  <c r="AP23" i="13"/>
  <c r="AQ23" i="13"/>
  <c r="AR23" i="13"/>
  <c r="AS23" i="13"/>
  <c r="AT23" i="13"/>
  <c r="AU23" i="13"/>
  <c r="AV23" i="13"/>
  <c r="AW23" i="13"/>
  <c r="AX23" i="13"/>
  <c r="AY23" i="13"/>
  <c r="AZ23" i="13"/>
  <c r="BA23" i="13"/>
  <c r="BB23" i="13"/>
  <c r="BC23" i="13"/>
  <c r="BD23" i="13"/>
  <c r="BE23" i="13"/>
  <c r="BF23" i="13"/>
  <c r="BG23" i="13"/>
  <c r="BH23" i="13"/>
  <c r="BI23" i="13"/>
  <c r="BJ23" i="13"/>
  <c r="BK23" i="13"/>
  <c r="BL23" i="13"/>
  <c r="BM23" i="13"/>
  <c r="BN23" i="13"/>
  <c r="BO23" i="13"/>
  <c r="BP23" i="13"/>
  <c r="BQ23" i="13"/>
  <c r="H24" i="13"/>
  <c r="I24" i="13"/>
  <c r="J24" i="13"/>
  <c r="K24" i="13"/>
  <c r="L24" i="13"/>
  <c r="M24" i="13"/>
  <c r="N24" i="13"/>
  <c r="O24" i="13"/>
  <c r="P24" i="13"/>
  <c r="Q24" i="13"/>
  <c r="R24" i="13"/>
  <c r="S24" i="13"/>
  <c r="T24" i="13"/>
  <c r="U24" i="13"/>
  <c r="V24" i="13"/>
  <c r="W24" i="13"/>
  <c r="X24" i="13"/>
  <c r="Y24" i="13"/>
  <c r="Z24" i="13"/>
  <c r="AA24" i="13"/>
  <c r="AB24" i="13"/>
  <c r="AC24" i="13"/>
  <c r="AD24" i="13"/>
  <c r="AE24" i="13"/>
  <c r="AF24" i="13"/>
  <c r="AG24" i="13"/>
  <c r="AH24" i="13"/>
  <c r="AI24" i="13"/>
  <c r="AJ24" i="13"/>
  <c r="AK24" i="13"/>
  <c r="AL24" i="13"/>
  <c r="AM24" i="13"/>
  <c r="AN24" i="13"/>
  <c r="AO24" i="13"/>
  <c r="AP24" i="13"/>
  <c r="AQ24" i="13"/>
  <c r="AR24" i="13"/>
  <c r="AS24" i="13"/>
  <c r="AT24" i="13"/>
  <c r="AU24" i="13"/>
  <c r="AV24" i="13"/>
  <c r="AW24" i="13"/>
  <c r="AX24" i="13"/>
  <c r="AY24" i="13"/>
  <c r="AZ24" i="13"/>
  <c r="BA24" i="13"/>
  <c r="BB24" i="13"/>
  <c r="BC24" i="13"/>
  <c r="BD24" i="13"/>
  <c r="BE24" i="13"/>
  <c r="BF24" i="13"/>
  <c r="BG24" i="13"/>
  <c r="BH24" i="13"/>
  <c r="BI24" i="13"/>
  <c r="BJ24" i="13"/>
  <c r="BK24" i="13"/>
  <c r="BL24" i="13"/>
  <c r="BM24" i="13"/>
  <c r="BN24" i="13"/>
  <c r="BO24" i="13"/>
  <c r="BP24" i="13"/>
  <c r="BQ24" i="13"/>
  <c r="C49" i="23"/>
  <c r="D49" i="23"/>
  <c r="D15" i="13"/>
  <c r="H27" i="13"/>
  <c r="I27" i="13"/>
  <c r="J27" i="13"/>
  <c r="K27" i="13"/>
  <c r="L27" i="13"/>
  <c r="M27" i="13"/>
  <c r="N27" i="13"/>
  <c r="O27" i="13"/>
  <c r="P27" i="13"/>
  <c r="Q27" i="13"/>
  <c r="R27" i="13"/>
  <c r="S27" i="13"/>
  <c r="T27" i="13"/>
  <c r="U27" i="13"/>
  <c r="V27" i="13"/>
  <c r="W27" i="13"/>
  <c r="X27" i="13"/>
  <c r="Y27" i="13"/>
  <c r="Z27" i="13"/>
  <c r="AA27" i="13"/>
  <c r="AB27" i="13"/>
  <c r="AC27" i="13"/>
  <c r="AD27" i="13"/>
  <c r="AE27" i="13"/>
  <c r="AF27" i="13"/>
  <c r="AG27" i="13"/>
  <c r="AH27" i="13"/>
  <c r="AI27" i="13"/>
  <c r="AJ27" i="13"/>
  <c r="AK27" i="13"/>
  <c r="AL27" i="13"/>
  <c r="AM27" i="13"/>
  <c r="AN27" i="13"/>
  <c r="AO27" i="13"/>
  <c r="AP27" i="13"/>
  <c r="AQ27" i="13"/>
  <c r="AR27" i="13"/>
  <c r="AS27" i="13"/>
  <c r="AT27" i="13"/>
  <c r="AU27" i="13"/>
  <c r="AV27" i="13"/>
  <c r="AW27" i="13"/>
  <c r="AX27" i="13"/>
  <c r="AY27" i="13"/>
  <c r="AZ27" i="13"/>
  <c r="BA27" i="13"/>
  <c r="BB27" i="13"/>
  <c r="BC27" i="13"/>
  <c r="BD27" i="13"/>
  <c r="BE27" i="13"/>
  <c r="BF27" i="13"/>
  <c r="BG27" i="13"/>
  <c r="BH27" i="13"/>
  <c r="BI27" i="13"/>
  <c r="BJ27" i="13"/>
  <c r="BK27" i="13"/>
  <c r="BL27" i="13"/>
  <c r="BM27" i="13"/>
  <c r="BN27" i="13"/>
  <c r="BO27" i="13"/>
  <c r="BP27" i="13"/>
  <c r="BQ27" i="13"/>
  <c r="C66" i="22"/>
  <c r="D66" i="22"/>
  <c r="D16" i="13"/>
  <c r="H28" i="13"/>
  <c r="I28" i="13"/>
  <c r="J28" i="13"/>
  <c r="K28" i="13"/>
  <c r="L28" i="13"/>
  <c r="M28" i="13"/>
  <c r="N28" i="13"/>
  <c r="O28" i="13"/>
  <c r="P28" i="13"/>
  <c r="Q28" i="13"/>
  <c r="R28" i="13"/>
  <c r="S28" i="13"/>
  <c r="T28" i="13"/>
  <c r="U28" i="13"/>
  <c r="V28" i="13"/>
  <c r="W28" i="13"/>
  <c r="X28" i="13"/>
  <c r="Y28" i="13"/>
  <c r="Z28" i="13"/>
  <c r="AA28" i="13"/>
  <c r="AB28" i="13"/>
  <c r="AC28" i="13"/>
  <c r="AD28" i="13"/>
  <c r="AE28" i="13"/>
  <c r="AF28" i="13"/>
  <c r="AG28" i="13"/>
  <c r="AH28" i="13"/>
  <c r="AI28" i="13"/>
  <c r="AJ28" i="13"/>
  <c r="AK28" i="13"/>
  <c r="AL28" i="13"/>
  <c r="AM28" i="13"/>
  <c r="AN28" i="13"/>
  <c r="AO28" i="13"/>
  <c r="AP28" i="13"/>
  <c r="AQ28" i="13"/>
  <c r="AR28" i="13"/>
  <c r="AS28" i="13"/>
  <c r="AT28" i="13"/>
  <c r="AU28" i="13"/>
  <c r="AV28" i="13"/>
  <c r="AW28" i="13"/>
  <c r="AX28" i="13"/>
  <c r="AY28" i="13"/>
  <c r="AZ28" i="13"/>
  <c r="BA28" i="13"/>
  <c r="BB28" i="13"/>
  <c r="BC28" i="13"/>
  <c r="BD28" i="13"/>
  <c r="BE28" i="13"/>
  <c r="BF28" i="13"/>
  <c r="BG28" i="13"/>
  <c r="BH28" i="13"/>
  <c r="BI28" i="13"/>
  <c r="BJ28" i="13"/>
  <c r="BK28" i="13"/>
  <c r="BL28" i="13"/>
  <c r="BM28" i="13"/>
  <c r="BN28" i="13"/>
  <c r="BO28" i="13"/>
  <c r="BP28" i="13"/>
  <c r="BQ28" i="13"/>
  <c r="BG7" i="32"/>
  <c r="BG8" i="32"/>
  <c r="BG9" i="32"/>
  <c r="BG10" i="32"/>
  <c r="BG11" i="32"/>
  <c r="BG12" i="32"/>
  <c r="BG13" i="32"/>
  <c r="BG14" i="32"/>
  <c r="BG15" i="32"/>
  <c r="BG16" i="32"/>
  <c r="BG17" i="32"/>
  <c r="BG18" i="32"/>
  <c r="BG19" i="32"/>
  <c r="BG20" i="32"/>
  <c r="BG21" i="32"/>
  <c r="BG22" i="32"/>
  <c r="BG23" i="32"/>
  <c r="BG24" i="32"/>
  <c r="BG25" i="32"/>
  <c r="BG26" i="32"/>
  <c r="BG27" i="32"/>
  <c r="BG28" i="32"/>
  <c r="BG29" i="32"/>
  <c r="BG30" i="32"/>
  <c r="BG31" i="32"/>
  <c r="BG32" i="32"/>
  <c r="BG33" i="32"/>
  <c r="BG34" i="32"/>
  <c r="BG35" i="32"/>
  <c r="BG36" i="32"/>
  <c r="G12" i="31"/>
  <c r="H12" i="31"/>
  <c r="I12" i="31"/>
  <c r="G13" i="31"/>
  <c r="H13" i="31"/>
  <c r="I13" i="31"/>
  <c r="G14" i="31"/>
  <c r="H14" i="31"/>
  <c r="I14" i="31"/>
  <c r="G15" i="31"/>
  <c r="H15" i="31"/>
  <c r="I15" i="31"/>
  <c r="G16" i="31"/>
  <c r="H16" i="31"/>
  <c r="I16" i="31"/>
  <c r="G17" i="31"/>
  <c r="H17" i="31"/>
  <c r="I17" i="31"/>
  <c r="G18" i="31"/>
  <c r="H18" i="31"/>
  <c r="I18" i="31"/>
  <c r="G19" i="31"/>
  <c r="H19" i="31"/>
  <c r="I19" i="31"/>
  <c r="G20" i="31"/>
  <c r="H20" i="31"/>
  <c r="I20" i="31"/>
  <c r="G21" i="31"/>
  <c r="H21" i="31"/>
  <c r="I21" i="31"/>
  <c r="G22" i="31"/>
  <c r="H22" i="31"/>
  <c r="I22" i="31"/>
  <c r="G23" i="31"/>
  <c r="H23" i="31"/>
  <c r="I23" i="31"/>
  <c r="G24" i="31"/>
  <c r="H24" i="31"/>
  <c r="I24" i="31"/>
  <c r="G25" i="31"/>
  <c r="H25" i="31"/>
  <c r="I25" i="31"/>
  <c r="G26" i="31"/>
  <c r="H26" i="31"/>
  <c r="I26" i="31"/>
  <c r="G27" i="31"/>
  <c r="H27" i="31"/>
  <c r="I27" i="31"/>
  <c r="G28" i="31"/>
  <c r="H28" i="31"/>
  <c r="I28" i="31"/>
  <c r="G29" i="31"/>
  <c r="H29" i="31"/>
  <c r="I29" i="31"/>
  <c r="G30" i="31"/>
  <c r="H30" i="31"/>
  <c r="I30" i="31"/>
  <c r="G31" i="31"/>
  <c r="H31" i="31"/>
  <c r="I31" i="31"/>
  <c r="G32" i="31"/>
  <c r="H32" i="31"/>
  <c r="I32" i="31"/>
  <c r="G33" i="31"/>
  <c r="H33" i="31"/>
  <c r="I33" i="31"/>
  <c r="G34" i="31"/>
  <c r="H34" i="31"/>
  <c r="I34" i="31"/>
  <c r="G35" i="31"/>
  <c r="H35" i="31"/>
  <c r="I35" i="31"/>
  <c r="G36" i="31"/>
  <c r="H36" i="31"/>
  <c r="I36" i="31"/>
  <c r="G37" i="31"/>
  <c r="H37" i="31"/>
  <c r="G38" i="31"/>
  <c r="H38" i="31"/>
  <c r="G39" i="31"/>
  <c r="H39" i="31"/>
  <c r="G40" i="31"/>
  <c r="H40" i="31"/>
  <c r="I40" i="31"/>
  <c r="G41" i="31"/>
  <c r="H41" i="31"/>
  <c r="G42" i="31"/>
  <c r="H42" i="31"/>
  <c r="I42" i="31"/>
  <c r="G43" i="31"/>
  <c r="H43" i="31"/>
  <c r="G44" i="31"/>
  <c r="H44" i="31"/>
  <c r="I44" i="31"/>
  <c r="G45" i="31"/>
  <c r="H45" i="31"/>
  <c r="I45" i="31"/>
  <c r="G46" i="31"/>
  <c r="H46" i="31"/>
  <c r="I46" i="31"/>
  <c r="D29" i="29"/>
  <c r="G29" i="29"/>
  <c r="H29" i="29"/>
  <c r="I29" i="29"/>
  <c r="J29" i="29"/>
  <c r="K29" i="29"/>
  <c r="L29" i="29"/>
  <c r="M29" i="29"/>
  <c r="N29" i="29"/>
  <c r="O29" i="29"/>
  <c r="P29" i="29"/>
  <c r="Q29" i="29"/>
  <c r="R29" i="29"/>
  <c r="S29" i="29"/>
  <c r="T29" i="29"/>
  <c r="U29" i="29"/>
  <c r="V29" i="29"/>
  <c r="W29" i="29"/>
  <c r="X29" i="29"/>
  <c r="Y29" i="29"/>
  <c r="Z29" i="29"/>
  <c r="AA29" i="29"/>
  <c r="AB29" i="29"/>
  <c r="AC29" i="29"/>
  <c r="AD29" i="29"/>
  <c r="AE29" i="29"/>
  <c r="AF29" i="29"/>
  <c r="AG29" i="29"/>
  <c r="AJ11" i="29"/>
  <c r="AJ17" i="29"/>
  <c r="AJ26" i="29"/>
  <c r="E29" i="29"/>
  <c r="G15" i="28"/>
  <c r="G50" i="28"/>
  <c r="J56" i="28"/>
  <c r="K56" i="28"/>
  <c r="H26" i="28"/>
  <c r="H27" i="28"/>
  <c r="I27" i="28"/>
  <c r="K27" i="28"/>
  <c r="L27" i="28"/>
  <c r="M27" i="28"/>
  <c r="N27" i="28"/>
  <c r="O27" i="28"/>
  <c r="P27" i="28"/>
  <c r="Q27" i="28"/>
  <c r="R27" i="28"/>
  <c r="S27" i="28"/>
  <c r="T27" i="28"/>
  <c r="U27" i="28"/>
  <c r="V27" i="28"/>
  <c r="W27" i="28"/>
  <c r="X27" i="28"/>
  <c r="Y27" i="28"/>
  <c r="Z27" i="28"/>
  <c r="AA27" i="28"/>
  <c r="AB27" i="28"/>
  <c r="AC27" i="28"/>
  <c r="AD27" i="28"/>
  <c r="AE27" i="28"/>
  <c r="AF27" i="28"/>
  <c r="AG27" i="28"/>
  <c r="AH27" i="28"/>
  <c r="AI27" i="28"/>
  <c r="AJ27" i="28"/>
  <c r="AK27" i="28"/>
  <c r="AL27" i="28"/>
  <c r="AM27" i="28"/>
  <c r="AN27" i="28"/>
  <c r="AO27" i="28"/>
  <c r="AP27" i="28"/>
  <c r="AQ27" i="28"/>
  <c r="AR27" i="28"/>
  <c r="AS27" i="28"/>
  <c r="AT27" i="28"/>
  <c r="AU27" i="28"/>
  <c r="AV27" i="28"/>
  <c r="AW27" i="28"/>
  <c r="AX27" i="28"/>
  <c r="AY27" i="28"/>
  <c r="AZ27" i="28"/>
  <c r="BA27" i="28"/>
  <c r="BB27" i="28"/>
  <c r="BC27" i="28"/>
  <c r="BD27" i="28"/>
  <c r="BE27" i="28"/>
  <c r="BF27" i="28"/>
  <c r="BG27" i="28"/>
  <c r="BH27" i="28"/>
  <c r="BI27" i="28"/>
  <c r="BJ27" i="28"/>
  <c r="H28" i="28"/>
  <c r="H63" i="28"/>
  <c r="H30" i="28"/>
  <c r="I30" i="28"/>
  <c r="J28" i="28"/>
  <c r="J63" i="28"/>
  <c r="J30" i="28"/>
  <c r="H39" i="28"/>
  <c r="H40" i="28"/>
  <c r="I40" i="28"/>
  <c r="K40" i="28"/>
  <c r="L40" i="28"/>
  <c r="M40" i="28"/>
  <c r="N40" i="28"/>
  <c r="O40" i="28"/>
  <c r="P40" i="28"/>
  <c r="Q40" i="28"/>
  <c r="R40" i="28"/>
  <c r="S40" i="28"/>
  <c r="T40" i="28"/>
  <c r="U40" i="28"/>
  <c r="V40" i="28"/>
  <c r="W40" i="28"/>
  <c r="X40" i="28"/>
  <c r="Y40" i="28"/>
  <c r="Z40" i="28"/>
  <c r="AA40" i="28"/>
  <c r="AB40" i="28"/>
  <c r="AC40" i="28"/>
  <c r="AD40" i="28"/>
  <c r="AE40" i="28"/>
  <c r="AF40" i="28"/>
  <c r="AG40" i="28"/>
  <c r="AH40" i="28"/>
  <c r="AI40" i="28"/>
  <c r="AJ40" i="28"/>
  <c r="AK40" i="28"/>
  <c r="AL40" i="28"/>
  <c r="AM40" i="28"/>
  <c r="AN40" i="28"/>
  <c r="AO40" i="28"/>
  <c r="AP40" i="28"/>
  <c r="AQ40" i="28"/>
  <c r="AR40" i="28"/>
  <c r="AS40" i="28"/>
  <c r="AT40" i="28"/>
  <c r="AU40" i="28"/>
  <c r="AV40" i="28"/>
  <c r="AW40" i="28"/>
  <c r="AX40" i="28"/>
  <c r="AY40" i="28"/>
  <c r="AZ40" i="28"/>
  <c r="BA40" i="28"/>
  <c r="BB40" i="28"/>
  <c r="BC40" i="28"/>
  <c r="BD40" i="28"/>
  <c r="BE40" i="28"/>
  <c r="BF40" i="28"/>
  <c r="BG40" i="28"/>
  <c r="BH40" i="28"/>
  <c r="BI40" i="28"/>
  <c r="BJ40" i="28"/>
  <c r="H41" i="28"/>
  <c r="H64" i="28"/>
  <c r="H43" i="28"/>
  <c r="I41" i="28"/>
  <c r="I64" i="28"/>
  <c r="J43" i="28"/>
  <c r="K43" i="28"/>
  <c r="L43" i="28"/>
  <c r="C50" i="28"/>
  <c r="H52" i="28"/>
  <c r="H53" i="28"/>
  <c r="I53" i="28"/>
  <c r="K53" i="28"/>
  <c r="L53" i="28"/>
  <c r="M53" i="28"/>
  <c r="N53" i="28"/>
  <c r="O53" i="28"/>
  <c r="P53" i="28"/>
  <c r="Q53" i="28"/>
  <c r="R53" i="28"/>
  <c r="S53" i="28"/>
  <c r="T53" i="28"/>
  <c r="U53" i="28"/>
  <c r="V53" i="28"/>
  <c r="W53" i="28"/>
  <c r="X53" i="28"/>
  <c r="Y53" i="28"/>
  <c r="Z53" i="28"/>
  <c r="AA53" i="28"/>
  <c r="AB53" i="28"/>
  <c r="AC53" i="28"/>
  <c r="AD53" i="28"/>
  <c r="AE53" i="28"/>
  <c r="AF53" i="28"/>
  <c r="AG53" i="28"/>
  <c r="AH53" i="28"/>
  <c r="AI53" i="28"/>
  <c r="AJ53" i="28"/>
  <c r="AK53" i="28"/>
  <c r="AL53" i="28"/>
  <c r="AM53" i="28"/>
  <c r="AN53" i="28"/>
  <c r="AO53" i="28"/>
  <c r="AP53" i="28"/>
  <c r="AQ53" i="28"/>
  <c r="AR53" i="28"/>
  <c r="AS53" i="28"/>
  <c r="AT53" i="28"/>
  <c r="AU53" i="28"/>
  <c r="AV53" i="28"/>
  <c r="AW53" i="28"/>
  <c r="AX53" i="28"/>
  <c r="AY53" i="28"/>
  <c r="AZ53" i="28"/>
  <c r="BA53" i="28"/>
  <c r="BB53" i="28"/>
  <c r="BC53" i="28"/>
  <c r="BD53" i="28"/>
  <c r="BE53" i="28"/>
  <c r="BF53" i="28"/>
  <c r="BG53" i="28"/>
  <c r="BH53" i="28"/>
  <c r="BI53" i="28"/>
  <c r="BJ53" i="28"/>
  <c r="H54" i="28"/>
  <c r="H62" i="28"/>
  <c r="H56" i="28"/>
  <c r="I56" i="28"/>
  <c r="J54" i="28"/>
  <c r="J62" i="28"/>
  <c r="H61" i="28"/>
  <c r="I61" i="28"/>
  <c r="J61" i="28"/>
  <c r="K61" i="28"/>
  <c r="L61" i="28"/>
  <c r="M61" i="28"/>
  <c r="N61" i="28"/>
  <c r="O61" i="28"/>
  <c r="P61" i="28"/>
  <c r="Q61" i="28"/>
  <c r="R61" i="28"/>
  <c r="S61" i="28"/>
  <c r="T61" i="28"/>
  <c r="U61" i="28"/>
  <c r="V61" i="28"/>
  <c r="W61" i="28"/>
  <c r="X61" i="28"/>
  <c r="Y61" i="28"/>
  <c r="Z61" i="28"/>
  <c r="AA61" i="28"/>
  <c r="AB61" i="28"/>
  <c r="AC61" i="28"/>
  <c r="AD61" i="28"/>
  <c r="AE61" i="28"/>
  <c r="AF61" i="28"/>
  <c r="AG61" i="28"/>
  <c r="AH61" i="28"/>
  <c r="AI61" i="28"/>
  <c r="AJ61" i="28"/>
  <c r="AK61" i="28"/>
  <c r="AL61" i="28"/>
  <c r="AM61" i="28"/>
  <c r="AN61" i="28"/>
  <c r="AO61" i="28"/>
  <c r="AP61" i="28"/>
  <c r="AQ61" i="28"/>
  <c r="AR61" i="28"/>
  <c r="AS61" i="28"/>
  <c r="AT61" i="28"/>
  <c r="AU61" i="28"/>
  <c r="AV61" i="28"/>
  <c r="AW61" i="28"/>
  <c r="AX61" i="28"/>
  <c r="AY61" i="28"/>
  <c r="AZ61" i="28"/>
  <c r="BA61" i="28"/>
  <c r="BB61" i="28"/>
  <c r="BC61" i="28"/>
  <c r="BD61" i="28"/>
  <c r="BE61" i="28"/>
  <c r="BF61" i="28"/>
  <c r="BG61" i="28"/>
  <c r="BH61" i="28"/>
  <c r="BI61" i="28"/>
  <c r="BJ61" i="28"/>
  <c r="C62" i="28"/>
  <c r="D7" i="27"/>
  <c r="G12" i="27"/>
  <c r="H12" i="27"/>
  <c r="G13" i="27"/>
  <c r="H13" i="27"/>
  <c r="G14" i="27"/>
  <c r="H14" i="27"/>
  <c r="G15" i="27"/>
  <c r="H15" i="27"/>
  <c r="G16" i="27"/>
  <c r="H16" i="27"/>
  <c r="G17" i="27"/>
  <c r="H17" i="27"/>
  <c r="G18" i="27"/>
  <c r="H18" i="27"/>
  <c r="G19" i="27"/>
  <c r="H19" i="27"/>
  <c r="G20" i="27"/>
  <c r="H20" i="27"/>
  <c r="G21" i="27"/>
  <c r="H21" i="27"/>
  <c r="G22" i="27"/>
  <c r="H22" i="27"/>
  <c r="G23" i="27"/>
  <c r="H23" i="27"/>
  <c r="G24" i="27"/>
  <c r="H24" i="27"/>
  <c r="G25" i="27"/>
  <c r="H25" i="27"/>
  <c r="G26" i="27"/>
  <c r="H26" i="27"/>
  <c r="G27" i="27"/>
  <c r="H27" i="27"/>
  <c r="G28" i="27"/>
  <c r="H28" i="27"/>
  <c r="G29" i="27"/>
  <c r="H29" i="27"/>
  <c r="G30" i="27"/>
  <c r="H30" i="27"/>
  <c r="G31" i="27"/>
  <c r="H31" i="27"/>
  <c r="G32" i="27"/>
  <c r="H32" i="27"/>
  <c r="G33" i="27"/>
  <c r="H33" i="27"/>
  <c r="A1" i="23"/>
  <c r="A1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A1" i="20"/>
  <c r="I28" i="28"/>
  <c r="I63" i="28"/>
  <c r="H29" i="28"/>
  <c r="I26" i="28"/>
  <c r="I17" i="27"/>
  <c r="I54" i="28"/>
  <c r="I62" i="28"/>
  <c r="I43" i="28"/>
  <c r="J41" i="28"/>
  <c r="J64" i="28"/>
  <c r="J65" i="28"/>
  <c r="I24" i="27"/>
  <c r="I28" i="27"/>
  <c r="I18" i="27"/>
  <c r="I14" i="27"/>
  <c r="I33" i="27"/>
  <c r="H21" i="19"/>
  <c r="I26" i="27"/>
  <c r="I22" i="27"/>
  <c r="I32" i="27"/>
  <c r="I15" i="27"/>
  <c r="I13" i="27"/>
  <c r="H14" i="19"/>
  <c r="H18" i="19"/>
  <c r="I31" i="27"/>
  <c r="I29" i="27"/>
  <c r="I20" i="27"/>
  <c r="I16" i="27"/>
  <c r="H17" i="19"/>
  <c r="I30" i="27"/>
  <c r="I27" i="27"/>
  <c r="I25" i="27"/>
  <c r="I23" i="27"/>
  <c r="I21" i="27"/>
  <c r="I19" i="27"/>
  <c r="H20" i="19"/>
  <c r="H16" i="19"/>
  <c r="E25" i="20"/>
  <c r="I38" i="31"/>
  <c r="H19" i="19"/>
  <c r="D25" i="20"/>
  <c r="H15" i="19"/>
  <c r="L56" i="28"/>
  <c r="K30" i="28"/>
  <c r="I12" i="27"/>
  <c r="H65" i="28"/>
  <c r="M41" i="28"/>
  <c r="M43" i="28"/>
  <c r="H55" i="28"/>
  <c r="I52" i="28"/>
  <c r="H42" i="28"/>
  <c r="I39" i="28"/>
  <c r="I42" i="28"/>
  <c r="J39" i="28"/>
  <c r="I43" i="31"/>
  <c r="I41" i="31"/>
  <c r="I39" i="31"/>
  <c r="E48" i="31"/>
  <c r="I37" i="31"/>
  <c r="I65" i="28"/>
  <c r="I29" i="28"/>
  <c r="J26" i="28"/>
  <c r="I55" i="28"/>
  <c r="J52" i="28"/>
  <c r="I48" i="31"/>
  <c r="I34" i="27"/>
  <c r="G36" i="28"/>
  <c r="J40" i="28"/>
  <c r="J42" i="28"/>
  <c r="M56" i="28"/>
  <c r="L30" i="28"/>
  <c r="O11" i="19"/>
  <c r="H11" i="19"/>
  <c r="O17" i="19"/>
  <c r="O20" i="19"/>
  <c r="O16" i="19"/>
  <c r="O14" i="19"/>
  <c r="O18" i="19"/>
  <c r="H12" i="19"/>
  <c r="O12" i="19"/>
  <c r="O21" i="19"/>
  <c r="N41" i="28"/>
  <c r="N43" i="28"/>
  <c r="M64" i="28"/>
  <c r="O13" i="19"/>
  <c r="O15" i="19"/>
  <c r="O19" i="19"/>
  <c r="K39" i="28"/>
  <c r="K41" i="28"/>
  <c r="F17" i="22"/>
  <c r="F21" i="22"/>
  <c r="F25" i="22"/>
  <c r="F29" i="22"/>
  <c r="F33" i="22"/>
  <c r="F23" i="22"/>
  <c r="F16" i="22"/>
  <c r="F20" i="22"/>
  <c r="F24" i="22"/>
  <c r="F28" i="22"/>
  <c r="F32" i="22"/>
  <c r="F35" i="22"/>
  <c r="F37" i="22"/>
  <c r="F39" i="22"/>
  <c r="F41" i="22"/>
  <c r="F43" i="22"/>
  <c r="F45" i="22"/>
  <c r="F47" i="22"/>
  <c r="F49" i="22"/>
  <c r="F51" i="22"/>
  <c r="F53" i="22"/>
  <c r="F55" i="22"/>
  <c r="F57" i="22"/>
  <c r="F59" i="22"/>
  <c r="F61" i="22"/>
  <c r="F63" i="22"/>
  <c r="F19" i="22"/>
  <c r="F27" i="22"/>
  <c r="F31" i="22"/>
  <c r="F40" i="22"/>
  <c r="F48" i="22"/>
  <c r="F56" i="22"/>
  <c r="F36" i="22"/>
  <c r="F62" i="22"/>
  <c r="F22" i="22"/>
  <c r="F18" i="22"/>
  <c r="F26" i="22"/>
  <c r="F34" i="22"/>
  <c r="F42" i="22"/>
  <c r="F50" i="22"/>
  <c r="F58" i="22"/>
  <c r="F64" i="22"/>
  <c r="F44" i="22"/>
  <c r="F52" i="22"/>
  <c r="F30" i="22"/>
  <c r="F38" i="22"/>
  <c r="F46" i="22"/>
  <c r="F54" i="22"/>
  <c r="F60" i="22"/>
  <c r="O41" i="28"/>
  <c r="O43" i="28"/>
  <c r="N56" i="28"/>
  <c r="N64" i="28"/>
  <c r="M30" i="28"/>
  <c r="M28" i="28"/>
  <c r="O56" i="28"/>
  <c r="M63" i="28"/>
  <c r="O64" i="28"/>
  <c r="K42" i="28"/>
  <c r="K64" i="28"/>
  <c r="N28" i="28"/>
  <c r="N30" i="28"/>
  <c r="P41" i="28"/>
  <c r="P43" i="28"/>
  <c r="P64" i="28"/>
  <c r="O28" i="28"/>
  <c r="O30" i="28"/>
  <c r="Q41" i="28"/>
  <c r="Q43" i="28"/>
  <c r="L39" i="28"/>
  <c r="L41" i="28"/>
  <c r="N63" i="28"/>
  <c r="P56" i="28"/>
  <c r="Q64" i="28"/>
  <c r="O63" i="28"/>
  <c r="P28" i="28"/>
  <c r="P30" i="28"/>
  <c r="Q56" i="28"/>
  <c r="L42" i="28"/>
  <c r="M39" i="28"/>
  <c r="M42" i="28"/>
  <c r="N39" i="28"/>
  <c r="N42" i="28"/>
  <c r="O39" i="28"/>
  <c r="O42" i="28"/>
  <c r="P39" i="28"/>
  <c r="P42" i="28"/>
  <c r="Q39" i="28"/>
  <c r="Q42" i="28"/>
  <c r="R39" i="28"/>
  <c r="L64" i="28"/>
  <c r="R43" i="28"/>
  <c r="R41" i="28"/>
  <c r="R42" i="28"/>
  <c r="S39" i="28"/>
  <c r="R64" i="28"/>
  <c r="Q28" i="28"/>
  <c r="Q30" i="28"/>
  <c r="R56" i="28"/>
  <c r="S41" i="28"/>
  <c r="S43" i="28"/>
  <c r="P63" i="28"/>
  <c r="S56" i="28"/>
  <c r="S64" i="28"/>
  <c r="S42" i="28"/>
  <c r="T39" i="28"/>
  <c r="Q63" i="28"/>
  <c r="T41" i="28"/>
  <c r="T43" i="28"/>
  <c r="R30" i="28"/>
  <c r="R28" i="28"/>
  <c r="R63" i="28"/>
  <c r="S28" i="28"/>
  <c r="S30" i="28"/>
  <c r="U41" i="28"/>
  <c r="U43" i="28"/>
  <c r="T56" i="28"/>
  <c r="T64" i="28"/>
  <c r="T42" i="28"/>
  <c r="U39" i="28"/>
  <c r="V43" i="28"/>
  <c r="V41" i="28"/>
  <c r="U42" i="28"/>
  <c r="V39" i="28"/>
  <c r="U64" i="28"/>
  <c r="U56" i="28"/>
  <c r="T30" i="28"/>
  <c r="T28" i="28"/>
  <c r="S63" i="28"/>
  <c r="V56" i="28"/>
  <c r="T63" i="28"/>
  <c r="V42" i="28"/>
  <c r="W39" i="28"/>
  <c r="V64" i="28"/>
  <c r="U28" i="28"/>
  <c r="U30" i="28"/>
  <c r="W41" i="28"/>
  <c r="W43" i="28"/>
  <c r="X41" i="28"/>
  <c r="X43" i="28"/>
  <c r="W56" i="28"/>
  <c r="W42" i="28"/>
  <c r="X39" i="28"/>
  <c r="W64" i="28"/>
  <c r="V28" i="28"/>
  <c r="V30" i="28"/>
  <c r="U63" i="28"/>
  <c r="X56" i="28"/>
  <c r="W28" i="28"/>
  <c r="W30" i="28"/>
  <c r="Y41" i="28"/>
  <c r="Y43" i="28"/>
  <c r="V63" i="28"/>
  <c r="X64" i="28"/>
  <c r="X42" i="28"/>
  <c r="Y39" i="28"/>
  <c r="Z43" i="28"/>
  <c r="Z41" i="28"/>
  <c r="Y56" i="28"/>
  <c r="X28" i="28"/>
  <c r="X30" i="28"/>
  <c r="Y42" i="28"/>
  <c r="Z39" i="28"/>
  <c r="Y64" i="28"/>
  <c r="W63" i="28"/>
  <c r="Z56" i="28"/>
  <c r="Y30" i="28"/>
  <c r="Y28" i="28"/>
  <c r="Z42" i="28"/>
  <c r="AA39" i="28"/>
  <c r="Z64" i="28"/>
  <c r="X63" i="28"/>
  <c r="AA41" i="28"/>
  <c r="AA43" i="28"/>
  <c r="AB43" i="28"/>
  <c r="AB41" i="28"/>
  <c r="AA42" i="28"/>
  <c r="AB39" i="28"/>
  <c r="AA64" i="28"/>
  <c r="Y63" i="28"/>
  <c r="AA56" i="28"/>
  <c r="Z28" i="28"/>
  <c r="Z30" i="28"/>
  <c r="AA28" i="28"/>
  <c r="AA30" i="28"/>
  <c r="AB56" i="28"/>
  <c r="AB64" i="28"/>
  <c r="AB42" i="28"/>
  <c r="AC39" i="28"/>
  <c r="Z63" i="28"/>
  <c r="AC43" i="28"/>
  <c r="AC41" i="28"/>
  <c r="AA63" i="28"/>
  <c r="AC42" i="28"/>
  <c r="AD39" i="28"/>
  <c r="AC64" i="28"/>
  <c r="AD41" i="28"/>
  <c r="AD43" i="28"/>
  <c r="AC56" i="28"/>
  <c r="AC54" i="28"/>
  <c r="AB30" i="28"/>
  <c r="AB28" i="28"/>
  <c r="AB63" i="28"/>
  <c r="AE41" i="28"/>
  <c r="AE43" i="28"/>
  <c r="AC30" i="28"/>
  <c r="AC28" i="28"/>
  <c r="AD42" i="28"/>
  <c r="AE39" i="28"/>
  <c r="AD64" i="28"/>
  <c r="AC62" i="28"/>
  <c r="AD54" i="28"/>
  <c r="AD56" i="28"/>
  <c r="AD28" i="28"/>
  <c r="AD30" i="28"/>
  <c r="AE42" i="28"/>
  <c r="AF39" i="28"/>
  <c r="AE64" i="28"/>
  <c r="AC63" i="28"/>
  <c r="AC65" i="28"/>
  <c r="AF41" i="28"/>
  <c r="AF43" i="28"/>
  <c r="AE54" i="28"/>
  <c r="AE56" i="28"/>
  <c r="AD62" i="28"/>
  <c r="AG43" i="28"/>
  <c r="AG41" i="28"/>
  <c r="AE28" i="28"/>
  <c r="AE30" i="28"/>
  <c r="AF64" i="28"/>
  <c r="AF42" i="28"/>
  <c r="AG39" i="28"/>
  <c r="AD63" i="28"/>
  <c r="AD65" i="28"/>
  <c r="AE62" i="28"/>
  <c r="AF54" i="28"/>
  <c r="AF56" i="28"/>
  <c r="AF62" i="28"/>
  <c r="AF28" i="28"/>
  <c r="AF30" i="28"/>
  <c r="AG42" i="28"/>
  <c r="AH39" i="28"/>
  <c r="AG64" i="28"/>
  <c r="AG56" i="28"/>
  <c r="AG54" i="28"/>
  <c r="AE63" i="28"/>
  <c r="AE65" i="28"/>
  <c r="AH43" i="28"/>
  <c r="AH41" i="28"/>
  <c r="AH42" i="28"/>
  <c r="AI39" i="28"/>
  <c r="AH64" i="28"/>
  <c r="AG62" i="28"/>
  <c r="AG30" i="28"/>
  <c r="AG28" i="28"/>
  <c r="AI41" i="28"/>
  <c r="AI43" i="28"/>
  <c r="AH54" i="28"/>
  <c r="AH56" i="28"/>
  <c r="AF63" i="28"/>
  <c r="AF65" i="28"/>
  <c r="AI64" i="28"/>
  <c r="AI42" i="28"/>
  <c r="AJ39" i="28"/>
  <c r="AG63" i="28"/>
  <c r="AG65" i="28"/>
  <c r="AI54" i="28"/>
  <c r="AI56" i="28"/>
  <c r="AH28" i="28"/>
  <c r="AH30" i="28"/>
  <c r="AH62" i="28"/>
  <c r="AJ41" i="28"/>
  <c r="AJ43" i="28"/>
  <c r="AI28" i="28"/>
  <c r="AI30" i="28"/>
  <c r="AH63" i="28"/>
  <c r="AH65" i="28"/>
  <c r="AK41" i="28"/>
  <c r="AK43" i="28"/>
  <c r="AJ54" i="28"/>
  <c r="AJ56" i="28"/>
  <c r="AJ42" i="28"/>
  <c r="AK39" i="28"/>
  <c r="AJ64" i="28"/>
  <c r="AI62" i="28"/>
  <c r="AJ62" i="28"/>
  <c r="AK42" i="28"/>
  <c r="AL39" i="28"/>
  <c r="AK64" i="28"/>
  <c r="AJ30" i="28"/>
  <c r="AJ28" i="28"/>
  <c r="AK56" i="28"/>
  <c r="AK54" i="28"/>
  <c r="AL43" i="28"/>
  <c r="AL41" i="28"/>
  <c r="AI63" i="28"/>
  <c r="AI65" i="28"/>
  <c r="AL54" i="28"/>
  <c r="AL56" i="28"/>
  <c r="AL42" i="28"/>
  <c r="AM39" i="28"/>
  <c r="AL64" i="28"/>
  <c r="AM41" i="28"/>
  <c r="AM43" i="28"/>
  <c r="AJ63" i="28"/>
  <c r="AJ65" i="28"/>
  <c r="AK62" i="28"/>
  <c r="AK30" i="28"/>
  <c r="AK28" i="28"/>
  <c r="AL28" i="28"/>
  <c r="AL30" i="28"/>
  <c r="AN41" i="28"/>
  <c r="AN43" i="28"/>
  <c r="AM64" i="28"/>
  <c r="AM42" i="28"/>
  <c r="AN39" i="28"/>
  <c r="AM54" i="28"/>
  <c r="AM56" i="28"/>
  <c r="AK63" i="28"/>
  <c r="AK65" i="28"/>
  <c r="AL62" i="28"/>
  <c r="AM62" i="28"/>
  <c r="AN64" i="28"/>
  <c r="AN42" i="28"/>
  <c r="AO39" i="28"/>
  <c r="AM28" i="28"/>
  <c r="AM30" i="28"/>
  <c r="AO41" i="28"/>
  <c r="AO43" i="28"/>
  <c r="AN56" i="28"/>
  <c r="AN54" i="28"/>
  <c r="AL63" i="28"/>
  <c r="AL65" i="28"/>
  <c r="AN28" i="28"/>
  <c r="AN30" i="28"/>
  <c r="AO56" i="28"/>
  <c r="AO54" i="28"/>
  <c r="AM63" i="28"/>
  <c r="AM65" i="28"/>
  <c r="AO42" i="28"/>
  <c r="AP39" i="28"/>
  <c r="AO64" i="28"/>
  <c r="AN62" i="28"/>
  <c r="AP43" i="28"/>
  <c r="AP41" i="28"/>
  <c r="AP42" i="28"/>
  <c r="AQ39" i="28"/>
  <c r="AP64" i="28"/>
  <c r="AO62" i="28"/>
  <c r="AN63" i="28"/>
  <c r="AN65" i="28"/>
  <c r="AP54" i="28"/>
  <c r="AP56" i="28"/>
  <c r="AO30" i="28"/>
  <c r="AO28" i="28"/>
  <c r="AQ41" i="28"/>
  <c r="AQ43" i="28"/>
  <c r="AR43" i="28"/>
  <c r="AR41" i="28"/>
  <c r="AQ64" i="28"/>
  <c r="AQ42" i="28"/>
  <c r="AR39" i="28"/>
  <c r="AP62" i="28"/>
  <c r="AO63" i="28"/>
  <c r="AO65" i="28"/>
  <c r="AQ54" i="28"/>
  <c r="AQ56" i="28"/>
  <c r="AP28" i="28"/>
  <c r="AP30" i="28"/>
  <c r="AP63" i="28"/>
  <c r="AP65" i="28"/>
  <c r="AQ62" i="28"/>
  <c r="AR42" i="28"/>
  <c r="AS39" i="28"/>
  <c r="AR64" i="28"/>
  <c r="AR54" i="28"/>
  <c r="AR56" i="28"/>
  <c r="AQ28" i="28"/>
  <c r="AQ30" i="28"/>
  <c r="AS41" i="28"/>
  <c r="AS43" i="28"/>
  <c r="AS42" i="28"/>
  <c r="AT39" i="28"/>
  <c r="AS64" i="28"/>
  <c r="AR30" i="28"/>
  <c r="AR28" i="28"/>
  <c r="AS56" i="28"/>
  <c r="AS54" i="28"/>
  <c r="AT41" i="28"/>
  <c r="AT43" i="28"/>
  <c r="AQ63" i="28"/>
  <c r="AQ65" i="28"/>
  <c r="AR62" i="28"/>
  <c r="AT54" i="28"/>
  <c r="AT56" i="28"/>
  <c r="AR63" i="28"/>
  <c r="AR65" i="28"/>
  <c r="AU41" i="28"/>
  <c r="AU43" i="28"/>
  <c r="AT42" i="28"/>
  <c r="AU39" i="28"/>
  <c r="AT64" i="28"/>
  <c r="AS30" i="28"/>
  <c r="AS28" i="28"/>
  <c r="AS62" i="28"/>
  <c r="AT28" i="28"/>
  <c r="AT30" i="28"/>
  <c r="AU64" i="28"/>
  <c r="AU42" i="28"/>
  <c r="AV39" i="28"/>
  <c r="AU54" i="28"/>
  <c r="AU56" i="28"/>
  <c r="AS63" i="28"/>
  <c r="AS65" i="28"/>
  <c r="AV41" i="28"/>
  <c r="AV43" i="28"/>
  <c r="AT62" i="28"/>
  <c r="AW41" i="28"/>
  <c r="AW43" i="28"/>
  <c r="AV56" i="28"/>
  <c r="AV54" i="28"/>
  <c r="AU28" i="28"/>
  <c r="AU30" i="28"/>
  <c r="AV64" i="28"/>
  <c r="AV42" i="28"/>
  <c r="AW39" i="28"/>
  <c r="AU62" i="28"/>
  <c r="AT63" i="28"/>
  <c r="AT65" i="28"/>
  <c r="AV28" i="28"/>
  <c r="AV30" i="28"/>
  <c r="AU63" i="28"/>
  <c r="AU65" i="28"/>
  <c r="AV62" i="28"/>
  <c r="AX43" i="28"/>
  <c r="AX41" i="28"/>
  <c r="AW56" i="28"/>
  <c r="AW54" i="28"/>
  <c r="AW42" i="28"/>
  <c r="AX39" i="28"/>
  <c r="AW64" i="28"/>
  <c r="AW62" i="28"/>
  <c r="AW30" i="28"/>
  <c r="AW28" i="28"/>
  <c r="AX54" i="28"/>
  <c r="AX56" i="28"/>
  <c r="AX42" i="28"/>
  <c r="AY39" i="28"/>
  <c r="AX64" i="28"/>
  <c r="AY41" i="28"/>
  <c r="AY43" i="28"/>
  <c r="AV63" i="28"/>
  <c r="AV65" i="28"/>
  <c r="AY64" i="28"/>
  <c r="AY42" i="28"/>
  <c r="AZ39" i="28"/>
  <c r="AY54" i="28"/>
  <c r="AY56" i="28"/>
  <c r="AX62" i="28"/>
  <c r="AX28" i="28"/>
  <c r="AX30" i="28"/>
  <c r="AZ41" i="28"/>
  <c r="AZ43" i="28"/>
  <c r="AW63" i="28"/>
  <c r="AW65" i="28"/>
  <c r="AZ54" i="28"/>
  <c r="AZ56" i="28"/>
  <c r="AY28" i="28"/>
  <c r="AY30" i="28"/>
  <c r="AY62" i="28"/>
  <c r="BA41" i="28"/>
  <c r="BA43" i="28"/>
  <c r="AZ42" i="28"/>
  <c r="BA39" i="28"/>
  <c r="AZ64" i="28"/>
  <c r="AX63" i="28"/>
  <c r="AX65" i="28"/>
  <c r="BA56" i="28"/>
  <c r="BA54" i="28"/>
  <c r="BB43" i="28"/>
  <c r="BB41" i="28"/>
  <c r="AZ62" i="28"/>
  <c r="AZ28" i="28"/>
  <c r="AZ30" i="28"/>
  <c r="BA42" i="28"/>
  <c r="BB39" i="28"/>
  <c r="BA64" i="28"/>
  <c r="AY63" i="28"/>
  <c r="AY65" i="28"/>
  <c r="BC41" i="28"/>
  <c r="BC43" i="28"/>
  <c r="AZ63" i="28"/>
  <c r="AZ65" i="28"/>
  <c r="BA62" i="28"/>
  <c r="BA30" i="28"/>
  <c r="BA28" i="28"/>
  <c r="BB42" i="28"/>
  <c r="BC39" i="28"/>
  <c r="BB64" i="28"/>
  <c r="BB54" i="28"/>
  <c r="BB56" i="28"/>
  <c r="BC54" i="28"/>
  <c r="BC56" i="28"/>
  <c r="BA63" i="28"/>
  <c r="BB28" i="28"/>
  <c r="BB30" i="28"/>
  <c r="BD41" i="28"/>
  <c r="BD43" i="28"/>
  <c r="BB62" i="28"/>
  <c r="BA65" i="28"/>
  <c r="BC64" i="28"/>
  <c r="BC42" i="28"/>
  <c r="BD39" i="28"/>
  <c r="BE41" i="28"/>
  <c r="BE43" i="28"/>
  <c r="BD64" i="28"/>
  <c r="BD42" i="28"/>
  <c r="BE39" i="28"/>
  <c r="BC28" i="28"/>
  <c r="BC30" i="28"/>
  <c r="BD56" i="28"/>
  <c r="BD54" i="28"/>
  <c r="BB63" i="28"/>
  <c r="BB65" i="28"/>
  <c r="BC62" i="28"/>
  <c r="BD62" i="28"/>
  <c r="BE56" i="28"/>
  <c r="BE54" i="28"/>
  <c r="BD28" i="28"/>
  <c r="BD30" i="28"/>
  <c r="BF43" i="28"/>
  <c r="BF41" i="28"/>
  <c r="BC63" i="28"/>
  <c r="BC65" i="28"/>
  <c r="BE42" i="28"/>
  <c r="BF39" i="28"/>
  <c r="BE64" i="28"/>
  <c r="BG41" i="28"/>
  <c r="BG43" i="28"/>
  <c r="BF54" i="28"/>
  <c r="BF56" i="28"/>
  <c r="BE62" i="28"/>
  <c r="BE30" i="28"/>
  <c r="BE28" i="28"/>
  <c r="BF42" i="28"/>
  <c r="BG39" i="28"/>
  <c r="BF64" i="28"/>
  <c r="BD63" i="28"/>
  <c r="BD65" i="28"/>
  <c r="BE63" i="28"/>
  <c r="BE65" i="28"/>
  <c r="BG54" i="28"/>
  <c r="BG56" i="28"/>
  <c r="BF28" i="28"/>
  <c r="BF30" i="28"/>
  <c r="BF62" i="28"/>
  <c r="BH43" i="28"/>
  <c r="BH41" i="28"/>
  <c r="BG64" i="28"/>
  <c r="BG42" i="28"/>
  <c r="BH39" i="28"/>
  <c r="BH42" i="28"/>
  <c r="BI39" i="28"/>
  <c r="BH64" i="28"/>
  <c r="BG28" i="28"/>
  <c r="BG30" i="28"/>
  <c r="BI43" i="28"/>
  <c r="BI41" i="28"/>
  <c r="BF63" i="28"/>
  <c r="BF65" i="28"/>
  <c r="BH54" i="28"/>
  <c r="BH56" i="28"/>
  <c r="BG62" i="28"/>
  <c r="BG63" i="28"/>
  <c r="BH30" i="28"/>
  <c r="BH28" i="28"/>
  <c r="BI56" i="28"/>
  <c r="BI54" i="28"/>
  <c r="BI42" i="28"/>
  <c r="BJ39" i="28"/>
  <c r="BI64" i="28"/>
  <c r="BG65" i="28"/>
  <c r="BH62" i="28"/>
  <c r="BJ41" i="28"/>
  <c r="BJ43" i="28"/>
  <c r="BI30" i="28"/>
  <c r="BI28" i="28"/>
  <c r="BJ42" i="28"/>
  <c r="BJ64" i="28"/>
  <c r="BH63" i="28"/>
  <c r="BH65" i="28"/>
  <c r="BI62" i="28"/>
  <c r="BJ54" i="28"/>
  <c r="BJ56" i="28"/>
  <c r="BJ62" i="28"/>
  <c r="BI63" i="28"/>
  <c r="BI65" i="28"/>
  <c r="BJ28" i="28"/>
  <c r="BJ30" i="28"/>
  <c r="BJ63" i="28"/>
  <c r="BJ65" i="28"/>
  <c r="A2" i="14"/>
  <c r="F12" i="15"/>
  <c r="E12" i="15"/>
  <c r="D12" i="15"/>
  <c r="C12" i="15"/>
  <c r="M11" i="13"/>
  <c r="M10" i="13"/>
  <c r="O10" i="13"/>
  <c r="M9" i="13"/>
  <c r="M12" i="13"/>
  <c r="M15" i="13"/>
  <c r="M16" i="13"/>
  <c r="O16" i="13"/>
  <c r="D7" i="20"/>
  <c r="D13" i="13"/>
  <c r="H25" i="13"/>
  <c r="I25" i="13"/>
  <c r="J25" i="13"/>
  <c r="K25" i="13"/>
  <c r="L25" i="13"/>
  <c r="M25" i="13"/>
  <c r="N25" i="13"/>
  <c r="O25" i="13"/>
  <c r="P25" i="13"/>
  <c r="Q25" i="13"/>
  <c r="R25" i="13"/>
  <c r="S25" i="13"/>
  <c r="T25" i="13"/>
  <c r="U25" i="13"/>
  <c r="V25" i="13"/>
  <c r="W25" i="13"/>
  <c r="X25" i="13"/>
  <c r="Y25" i="13"/>
  <c r="Z25" i="13"/>
  <c r="AA25" i="13"/>
  <c r="AB25" i="13"/>
  <c r="AC25" i="13"/>
  <c r="AD25" i="13"/>
  <c r="AE25" i="13"/>
  <c r="AF25" i="13"/>
  <c r="AG25" i="13"/>
  <c r="AH25" i="13"/>
  <c r="AI25" i="13"/>
  <c r="AJ25" i="13"/>
  <c r="AK25" i="13"/>
  <c r="AL25" i="13"/>
  <c r="AM25" i="13"/>
  <c r="AN25" i="13"/>
  <c r="AO25" i="13"/>
  <c r="AP25" i="13"/>
  <c r="AQ25" i="13"/>
  <c r="AR25" i="13"/>
  <c r="AS25" i="13"/>
  <c r="AT25" i="13"/>
  <c r="D14" i="13"/>
  <c r="J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Q26" i="13"/>
  <c r="AR26" i="13"/>
  <c r="AS26" i="13"/>
  <c r="AT26" i="13"/>
  <c r="AT29" i="13"/>
  <c r="AT13" i="14"/>
  <c r="AU25" i="13"/>
  <c r="AU26" i="13"/>
  <c r="AU29" i="13"/>
  <c r="AU13" i="14"/>
  <c r="AV25" i="13"/>
  <c r="AV26" i="13"/>
  <c r="AV29" i="13"/>
  <c r="AV13" i="14"/>
  <c r="AW25" i="13"/>
  <c r="AW26" i="13"/>
  <c r="AW29" i="13"/>
  <c r="AW13" i="14"/>
  <c r="AX25" i="13"/>
  <c r="AX26" i="13"/>
  <c r="AX29" i="13"/>
  <c r="AX13" i="14"/>
  <c r="AY25" i="13"/>
  <c r="AY26" i="13"/>
  <c r="AY29" i="13"/>
  <c r="AY13" i="14"/>
  <c r="AZ25" i="13"/>
  <c r="AZ26" i="13"/>
  <c r="AZ29" i="13"/>
  <c r="AZ13" i="14"/>
  <c r="BA25" i="13"/>
  <c r="BA26" i="13"/>
  <c r="BA29" i="13"/>
  <c r="BA13" i="14"/>
  <c r="BB25" i="13"/>
  <c r="BB26" i="13"/>
  <c r="BB29" i="13"/>
  <c r="BB13" i="14"/>
  <c r="BC25" i="13"/>
  <c r="BC26" i="13"/>
  <c r="BC29" i="13"/>
  <c r="BC13" i="14"/>
  <c r="BD25" i="13"/>
  <c r="BD26" i="13"/>
  <c r="BD29" i="13"/>
  <c r="BD13" i="14"/>
  <c r="BE25" i="13"/>
  <c r="BE26" i="13"/>
  <c r="BE29" i="13"/>
  <c r="BE13" i="14"/>
  <c r="BF25" i="13"/>
  <c r="BF26" i="13"/>
  <c r="BF29" i="13"/>
  <c r="BF13" i="14"/>
  <c r="BG25" i="13"/>
  <c r="BG26" i="13"/>
  <c r="BG29" i="13"/>
  <c r="BG13" i="14"/>
  <c r="BH25" i="13"/>
  <c r="BH26" i="13"/>
  <c r="BH29" i="13"/>
  <c r="BH13" i="14"/>
  <c r="BI25" i="13"/>
  <c r="BI26" i="13"/>
  <c r="BI29" i="13"/>
  <c r="BI13" i="14"/>
  <c r="BJ25" i="13"/>
  <c r="BJ26" i="13"/>
  <c r="BJ29" i="13"/>
  <c r="BJ13" i="14"/>
  <c r="BK25" i="13"/>
  <c r="BK26" i="13"/>
  <c r="BK29" i="13"/>
  <c r="BK13" i="14"/>
  <c r="BL25" i="13"/>
  <c r="BL26" i="13"/>
  <c r="BL29" i="13"/>
  <c r="BL13" i="14"/>
  <c r="BM25" i="13"/>
  <c r="BM26" i="13"/>
  <c r="BM29" i="13"/>
  <c r="BM13" i="14"/>
  <c r="BN25" i="13"/>
  <c r="BN26" i="13"/>
  <c r="BN29" i="13"/>
  <c r="BN13" i="14"/>
  <c r="BO25" i="13"/>
  <c r="BO26" i="13"/>
  <c r="BO29" i="13"/>
  <c r="BO13" i="14"/>
  <c r="BP25" i="13"/>
  <c r="BP26" i="13"/>
  <c r="BP29" i="13"/>
  <c r="BP13" i="14"/>
  <c r="H29" i="13"/>
  <c r="H13" i="14"/>
  <c r="H17" i="13"/>
  <c r="H9" i="14"/>
  <c r="I29" i="13"/>
  <c r="I13" i="14"/>
  <c r="I17" i="13"/>
  <c r="I9" i="14"/>
  <c r="J29" i="13"/>
  <c r="J13" i="14"/>
  <c r="J17" i="13"/>
  <c r="J9" i="14"/>
  <c r="K29" i="13"/>
  <c r="K13" i="14"/>
  <c r="L29" i="13"/>
  <c r="L13" i="14"/>
  <c r="M29" i="13"/>
  <c r="M13" i="14"/>
  <c r="N29" i="13"/>
  <c r="N13" i="14"/>
  <c r="O29" i="13"/>
  <c r="O13" i="14"/>
  <c r="P29" i="13"/>
  <c r="P13" i="14"/>
  <c r="Q29" i="13"/>
  <c r="Q13" i="14"/>
  <c r="R29" i="13"/>
  <c r="R13" i="14"/>
  <c r="S29" i="13"/>
  <c r="S13" i="14"/>
  <c r="T29" i="13"/>
  <c r="T13" i="14"/>
  <c r="U29" i="13"/>
  <c r="U13" i="14"/>
  <c r="V29" i="13"/>
  <c r="V13" i="14"/>
  <c r="W29" i="13"/>
  <c r="W13" i="14"/>
  <c r="X29" i="13"/>
  <c r="X13" i="14"/>
  <c r="Y29" i="13"/>
  <c r="Y13" i="14"/>
  <c r="Z29" i="13"/>
  <c r="Z13" i="14"/>
  <c r="AA29" i="13"/>
  <c r="AA13" i="14"/>
  <c r="AB29" i="13"/>
  <c r="AB13" i="14"/>
  <c r="AC29" i="13"/>
  <c r="AC13" i="14"/>
  <c r="AD29" i="13"/>
  <c r="AD13" i="14"/>
  <c r="AE29" i="13"/>
  <c r="AE13" i="14"/>
  <c r="AF29" i="13"/>
  <c r="AF13" i="14"/>
  <c r="AG29" i="13"/>
  <c r="AG13" i="14"/>
  <c r="AH29" i="13"/>
  <c r="AH13" i="14"/>
  <c r="AI29" i="13"/>
  <c r="AI13" i="14"/>
  <c r="AJ29" i="13"/>
  <c r="AJ13" i="14"/>
  <c r="AK29" i="13"/>
  <c r="AK13" i="14"/>
  <c r="AL29" i="13"/>
  <c r="AL13" i="14"/>
  <c r="AM29" i="13"/>
  <c r="AM13" i="14"/>
  <c r="AN29" i="13"/>
  <c r="AN13" i="14"/>
  <c r="AO29" i="13"/>
  <c r="AO13" i="14"/>
  <c r="AP29" i="13"/>
  <c r="AP13" i="14"/>
  <c r="AQ29" i="13"/>
  <c r="AQ13" i="14"/>
  <c r="AR29" i="13"/>
  <c r="AR13" i="14"/>
  <c r="AS29" i="13"/>
  <c r="AS13" i="14"/>
  <c r="M13" i="13"/>
  <c r="M14" i="13"/>
  <c r="H25" i="20"/>
  <c r="G23" i="28"/>
  <c r="G49" i="28"/>
  <c r="J53" i="28"/>
  <c r="J55" i="28"/>
  <c r="K54" i="28"/>
  <c r="K62" i="28"/>
  <c r="K52" i="28"/>
  <c r="K55" i="28"/>
  <c r="L54" i="28"/>
  <c r="L62" i="28"/>
  <c r="L52" i="28"/>
  <c r="L55" i="28"/>
  <c r="M54" i="28"/>
  <c r="M62" i="28"/>
  <c r="M52" i="28"/>
  <c r="M55" i="28"/>
  <c r="N54" i="28"/>
  <c r="N62" i="28"/>
  <c r="N52" i="28"/>
  <c r="N55" i="28"/>
  <c r="O54" i="28"/>
  <c r="O62" i="28"/>
  <c r="O52" i="28"/>
  <c r="O55" i="28"/>
  <c r="P54" i="28"/>
  <c r="P62" i="28"/>
  <c r="P52" i="28"/>
  <c r="P55" i="28"/>
  <c r="Q54" i="28"/>
  <c r="Q62" i="28"/>
  <c r="Q52" i="28"/>
  <c r="Q55" i="28"/>
  <c r="R54" i="28"/>
  <c r="R62" i="28"/>
  <c r="R52" i="28"/>
  <c r="R55" i="28"/>
  <c r="S54" i="28"/>
  <c r="S62" i="28"/>
  <c r="S52" i="28"/>
  <c r="S55" i="28"/>
  <c r="T54" i="28"/>
  <c r="T62" i="28"/>
  <c r="T52" i="28"/>
  <c r="T55" i="28"/>
  <c r="U54" i="28"/>
  <c r="U62" i="28"/>
  <c r="U52" i="28"/>
  <c r="U55" i="28"/>
  <c r="V54" i="28"/>
  <c r="V62" i="28"/>
  <c r="V52" i="28"/>
  <c r="V55" i="28"/>
  <c r="W54" i="28"/>
  <c r="W62" i="28"/>
  <c r="W52" i="28"/>
  <c r="W55" i="28"/>
  <c r="X54" i="28"/>
  <c r="X62" i="28"/>
  <c r="X52" i="28"/>
  <c r="X55" i="28"/>
  <c r="Y54" i="28"/>
  <c r="Y62" i="28"/>
  <c r="Y52" i="28"/>
  <c r="Y55" i="28"/>
  <c r="Z54" i="28"/>
  <c r="Z62" i="28"/>
  <c r="Z52" i="28"/>
  <c r="Z55" i="28"/>
  <c r="AA54" i="28"/>
  <c r="AA62" i="28"/>
  <c r="AA52" i="28"/>
  <c r="AA55" i="28"/>
  <c r="AB54" i="28"/>
  <c r="AB62" i="28"/>
  <c r="J27" i="28"/>
  <c r="J29" i="28"/>
  <c r="K28" i="28"/>
  <c r="K63" i="28"/>
  <c r="K26" i="28"/>
  <c r="K29" i="28"/>
  <c r="L28" i="28"/>
  <c r="L63" i="28"/>
  <c r="H67" i="28"/>
  <c r="L26" i="28"/>
  <c r="L29" i="28"/>
  <c r="M26" i="28"/>
  <c r="M29" i="28"/>
  <c r="N26" i="28"/>
  <c r="N29" i="28"/>
  <c r="O26" i="28"/>
  <c r="O29" i="28"/>
  <c r="P26" i="28"/>
  <c r="P29" i="28"/>
  <c r="Q26" i="28"/>
  <c r="Q29" i="28"/>
  <c r="R26" i="28"/>
  <c r="R29" i="28"/>
  <c r="S26" i="28"/>
  <c r="S29" i="28"/>
  <c r="T26" i="28"/>
  <c r="T29" i="28"/>
  <c r="U26" i="28"/>
  <c r="U29" i="28"/>
  <c r="V26" i="28"/>
  <c r="V29" i="28"/>
  <c r="W26" i="28"/>
  <c r="W29" i="28"/>
  <c r="X26" i="28"/>
  <c r="X29" i="28"/>
  <c r="Y26" i="28"/>
  <c r="Y29" i="28"/>
  <c r="Z26" i="28"/>
  <c r="Z29" i="28"/>
  <c r="AA26" i="28"/>
  <c r="AA29" i="28"/>
  <c r="AB26" i="28"/>
  <c r="AB29" i="28"/>
  <c r="AC26" i="28"/>
  <c r="AC29" i="28"/>
  <c r="AD26" i="28"/>
  <c r="AD29" i="28"/>
  <c r="AE26" i="28"/>
  <c r="AE29" i="28"/>
  <c r="AF26" i="28"/>
  <c r="AF29" i="28"/>
  <c r="AG26" i="28"/>
  <c r="AG29" i="28"/>
  <c r="AH26" i="28"/>
  <c r="AH29" i="28"/>
  <c r="AI26" i="28"/>
  <c r="AI29" i="28"/>
  <c r="AJ26" i="28"/>
  <c r="AJ29" i="28"/>
  <c r="AK26" i="28"/>
  <c r="AK29" i="28"/>
  <c r="AL26" i="28"/>
  <c r="AL29" i="28"/>
  <c r="AM26" i="28"/>
  <c r="AM29" i="28"/>
  <c r="AN26" i="28"/>
  <c r="AN29" i="28"/>
  <c r="AO26" i="28"/>
  <c r="AO29" i="28"/>
  <c r="AP26" i="28"/>
  <c r="AP29" i="28"/>
  <c r="AQ26" i="28"/>
  <c r="AQ29" i="28"/>
  <c r="AR26" i="28"/>
  <c r="AR29" i="28"/>
  <c r="AS26" i="28"/>
  <c r="AS29" i="28"/>
  <c r="AT26" i="28"/>
  <c r="AT29" i="28"/>
  <c r="AU26" i="28"/>
  <c r="AU29" i="28"/>
  <c r="AV26" i="28"/>
  <c r="AV29" i="28"/>
  <c r="AW26" i="28"/>
  <c r="AW29" i="28"/>
  <c r="AX26" i="28"/>
  <c r="AX29" i="28"/>
  <c r="AY26" i="28"/>
  <c r="AY29" i="28"/>
  <c r="AZ26" i="28"/>
  <c r="AZ29" i="28"/>
  <c r="BA26" i="28"/>
  <c r="BA29" i="28"/>
  <c r="BB26" i="28"/>
  <c r="BB29" i="28"/>
  <c r="BC26" i="28"/>
  <c r="BC29" i="28"/>
  <c r="BD26" i="28"/>
  <c r="BD29" i="28"/>
  <c r="BE26" i="28"/>
  <c r="BE29" i="28"/>
  <c r="BF26" i="28"/>
  <c r="BF29" i="28"/>
  <c r="BG26" i="28"/>
  <c r="BG29" i="28"/>
  <c r="BH26" i="28"/>
  <c r="BH29" i="28"/>
  <c r="BI26" i="28"/>
  <c r="BI29" i="28"/>
  <c r="BJ26" i="28"/>
  <c r="BJ29" i="28"/>
  <c r="AB52" i="28"/>
  <c r="AB55" i="28"/>
  <c r="AC52" i="28"/>
  <c r="AC55" i="28"/>
  <c r="AD52" i="28"/>
  <c r="AD55" i="28"/>
  <c r="AE52" i="28"/>
  <c r="AE55" i="28"/>
  <c r="AF52" i="28"/>
  <c r="AF55" i="28"/>
  <c r="AG52" i="28"/>
  <c r="AG55" i="28"/>
  <c r="AH52" i="28"/>
  <c r="AH55" i="28"/>
  <c r="AI52" i="28"/>
  <c r="AI55" i="28"/>
  <c r="AJ52" i="28"/>
  <c r="AJ55" i="28"/>
  <c r="AK52" i="28"/>
  <c r="AK55" i="28"/>
  <c r="AL52" i="28"/>
  <c r="AL55" i="28"/>
  <c r="AM52" i="28"/>
  <c r="AM55" i="28"/>
  <c r="AN52" i="28"/>
  <c r="AN55" i="28"/>
  <c r="AO52" i="28"/>
  <c r="AO55" i="28"/>
  <c r="AP52" i="28"/>
  <c r="AP55" i="28"/>
  <c r="AQ52" i="28"/>
  <c r="AQ55" i="28"/>
  <c r="AR52" i="28"/>
  <c r="AR55" i="28"/>
  <c r="AS52" i="28"/>
  <c r="AS55" i="28"/>
  <c r="AT52" i="28"/>
  <c r="AT55" i="28"/>
  <c r="AU52" i="28"/>
  <c r="AU55" i="28"/>
  <c r="AV52" i="28"/>
  <c r="AV55" i="28"/>
  <c r="AW52" i="28"/>
  <c r="AW55" i="28"/>
  <c r="AX52" i="28"/>
  <c r="AX55" i="28"/>
  <c r="AY52" i="28"/>
  <c r="AY55" i="28"/>
  <c r="AZ52" i="28"/>
  <c r="AZ55" i="28"/>
  <c r="BA52" i="28"/>
  <c r="BA55" i="28"/>
  <c r="BB52" i="28"/>
  <c r="BB55" i="28"/>
  <c r="BC52" i="28"/>
  <c r="BC55" i="28"/>
  <c r="BD52" i="28"/>
  <c r="BD55" i="28"/>
  <c r="BE52" i="28"/>
  <c r="BE55" i="28"/>
  <c r="BF52" i="28"/>
  <c r="BF55" i="28"/>
  <c r="BG52" i="28"/>
  <c r="BG55" i="28"/>
  <c r="BH52" i="28"/>
  <c r="BH55" i="28"/>
  <c r="BI52" i="28"/>
  <c r="BI55" i="28"/>
  <c r="BJ52" i="28"/>
  <c r="BJ55" i="28"/>
  <c r="AB65" i="28"/>
  <c r="AA65" i="28"/>
  <c r="Z65" i="28"/>
  <c r="Y65" i="28"/>
  <c r="X65" i="28"/>
  <c r="W65" i="28"/>
  <c r="V65" i="28"/>
  <c r="U65" i="28"/>
  <c r="T65" i="28"/>
  <c r="S65" i="28"/>
  <c r="R65" i="28"/>
  <c r="Q65" i="28"/>
  <c r="P65" i="28"/>
  <c r="O65" i="28"/>
  <c r="N65" i="28"/>
  <c r="M65" i="28"/>
  <c r="L65" i="28"/>
  <c r="K65" i="28"/>
  <c r="G25" i="20"/>
  <c r="F25" i="20"/>
  <c r="BQ29" i="13"/>
  <c r="BQ26" i="13"/>
  <c r="BQ25" i="13"/>
  <c r="M17" i="13"/>
</calcChain>
</file>

<file path=xl/sharedStrings.xml><?xml version="1.0" encoding="utf-8"?>
<sst xmlns="http://schemas.openxmlformats.org/spreadsheetml/2006/main" count="491" uniqueCount="208">
  <si>
    <t>Description</t>
  </si>
  <si>
    <t>Total</t>
  </si>
  <si>
    <t>Distribution standard life: VPN</t>
  </si>
  <si>
    <t>Solar enablement: distribution transformers</t>
  </si>
  <si>
    <t>Replacing HV ABC in the LBRA</t>
  </si>
  <si>
    <t>PVC grey services (dog-bones)</t>
  </si>
  <si>
    <t>T3 REFCL: surge arrestors</t>
  </si>
  <si>
    <t>3G to 5G upgrade (control boxes)</t>
  </si>
  <si>
    <t>AMI life: VPN</t>
  </si>
  <si>
    <t>REFCL cost inflator ($2015 to $2021)</t>
  </si>
  <si>
    <t>T1-T3 REFCL: ACRs</t>
  </si>
  <si>
    <t>Unit rate</t>
  </si>
  <si>
    <t>Remaining life</t>
  </si>
  <si>
    <t>Standard life</t>
  </si>
  <si>
    <t>Total volume</t>
  </si>
  <si>
    <t>T1-T3 REFCL: underground cable</t>
  </si>
  <si>
    <t>Accelerated depreciation</t>
  </si>
  <si>
    <t>RAB adj to distribution system assets for accelerated depreciation assets</t>
  </si>
  <si>
    <t>Depreciation removed from distribution system assets</t>
  </si>
  <si>
    <t>Depreciation removed</t>
  </si>
  <si>
    <t>Year</t>
  </si>
  <si>
    <t>Jun-Jun unlagged inflation</t>
  </si>
  <si>
    <t>Conversion to June 2021</t>
  </si>
  <si>
    <t>Remaining value accelerated</t>
  </si>
  <si>
    <t>Accelerated depreciation ($ 2021)</t>
  </si>
  <si>
    <t>WPD: surge arrestors</t>
  </si>
  <si>
    <t>Volumes</t>
  </si>
  <si>
    <t>Unit Rate</t>
  </si>
  <si>
    <t>Dog Bones</t>
  </si>
  <si>
    <t>HV ABC in LBRA</t>
  </si>
  <si>
    <t>T3 unit rate</t>
  </si>
  <si>
    <t>T2 unit rate</t>
  </si>
  <si>
    <t>T1 unit rate</t>
  </si>
  <si>
    <t>WPD</t>
  </si>
  <si>
    <t>T3</t>
  </si>
  <si>
    <t>TRG</t>
  </si>
  <si>
    <t>STL</t>
  </si>
  <si>
    <t>MBN</t>
  </si>
  <si>
    <t>KRT</t>
  </si>
  <si>
    <t>HTN</t>
  </si>
  <si>
    <t>CRO</t>
  </si>
  <si>
    <t>ART</t>
  </si>
  <si>
    <t>T2</t>
  </si>
  <si>
    <t>GL</t>
  </si>
  <si>
    <t>CTN</t>
  </si>
  <si>
    <t>BGO</t>
  </si>
  <si>
    <t>BETS</t>
  </si>
  <si>
    <t>BAS</t>
  </si>
  <si>
    <t>BAN</t>
  </si>
  <si>
    <t>T1</t>
  </si>
  <si>
    <t>EHK</t>
  </si>
  <si>
    <t>WIN</t>
  </si>
  <si>
    <t>MRO</t>
  </si>
  <si>
    <t>CMN</t>
  </si>
  <si>
    <t>CLC</t>
  </si>
  <si>
    <t>CDN</t>
  </si>
  <si>
    <t>GSB</t>
  </si>
  <si>
    <t>WND</t>
  </si>
  <si>
    <t>UG cable replacement ($'000s/km)</t>
  </si>
  <si>
    <t>ABC replacement</t>
  </si>
  <si>
    <t>Distribution switchgear (installed)</t>
  </si>
  <si>
    <t>HV Regulators upgrade (close delta)</t>
  </si>
  <si>
    <t>HV Regulators upgrade (control box)</t>
  </si>
  <si>
    <t>Fusesavers</t>
  </si>
  <si>
    <t>Re-phasing</t>
  </si>
  <si>
    <t>Admittance balancing units (three phase)</t>
  </si>
  <si>
    <t>Admittance balancing units (single phase)</t>
  </si>
  <si>
    <t>ACR/gas switch control box replacement</t>
  </si>
  <si>
    <t>ACRs</t>
  </si>
  <si>
    <t>Surge arrestor sites (three phase)</t>
  </si>
  <si>
    <t>Surge arrestor sites (single phase)</t>
  </si>
  <si>
    <t>Y</t>
  </si>
  <si>
    <t>-</t>
  </si>
  <si>
    <t>T3, WPD</t>
  </si>
  <si>
    <t>T1, T2</t>
  </si>
  <si>
    <t>TOTAL</t>
  </si>
  <si>
    <t>WND, GSB</t>
  </si>
  <si>
    <t>Feeder works</t>
  </si>
  <si>
    <t>Volumes by ZSS</t>
  </si>
  <si>
    <t>Accel dep?</t>
  </si>
  <si>
    <t>VOLUME SUMMARY</t>
  </si>
  <si>
    <t>(real 2015 dollars)</t>
  </si>
  <si>
    <t>Total (real 2015 dollars)</t>
  </si>
  <si>
    <t>surge arrestors replaced</t>
  </si>
  <si>
    <t>Three phase</t>
  </si>
  <si>
    <t>Single phase</t>
  </si>
  <si>
    <t>ZSS</t>
  </si>
  <si>
    <t>CPA tranche</t>
  </si>
  <si>
    <t xml:space="preserve">Total value of </t>
  </si>
  <si>
    <t>Remaining value of surge arrestors removed</t>
  </si>
  <si>
    <t>Surge arrestors to be replaced</t>
  </si>
  <si>
    <t>Surge arrestor installed cost (2015 $)</t>
  </si>
  <si>
    <t>3ph Arrestor</t>
  </si>
  <si>
    <t>1ph Arrestor</t>
  </si>
  <si>
    <t>Average remaining life</t>
  </si>
  <si>
    <t>Average age</t>
  </si>
  <si>
    <t>Distribution standard life</t>
  </si>
  <si>
    <t>T3 Surge arrestors</t>
  </si>
  <si>
    <t>Non-XLPE replaced</t>
  </si>
  <si>
    <t>XLPE pre-1989 replaced</t>
  </si>
  <si>
    <t>Remaining value</t>
  </si>
  <si>
    <t>Volume</t>
  </si>
  <si>
    <t>Installation year</t>
  </si>
  <si>
    <t>UG cable installed: T1, T2 and T3 sites</t>
  </si>
  <si>
    <t>%</t>
  </si>
  <si>
    <t>% of XLPE of total pre-1989 population</t>
  </si>
  <si>
    <t>% of non-XLPE replaced (total population)</t>
  </si>
  <si>
    <t>$'000s</t>
  </si>
  <si>
    <t>UG cable installed cost (real $2015)</t>
  </si>
  <si>
    <t>Metres</t>
  </si>
  <si>
    <t>UG cable removed (all REFCL areas)</t>
  </si>
  <si>
    <t>Age</t>
  </si>
  <si>
    <t>Reference year</t>
  </si>
  <si>
    <t>Underground cable</t>
  </si>
  <si>
    <t>Remaining life (yrs)</t>
  </si>
  <si>
    <t>Year installed</t>
  </si>
  <si>
    <t>ACR installed cost (real 2015 $)</t>
  </si>
  <si>
    <t>Age (yrs)</t>
  </si>
  <si>
    <t>Date installed</t>
  </si>
  <si>
    <t>ID</t>
  </si>
  <si>
    <t>BELL BRAE P142 ACR</t>
  </si>
  <si>
    <t>ANGLESEA P265 ACR</t>
  </si>
  <si>
    <t>LAKE CULLULLERAINE P264 ACR</t>
  </si>
  <si>
    <t>PATULLOS RD P153 ACR</t>
  </si>
  <si>
    <t>FOREST RD STH P81A ACR</t>
  </si>
  <si>
    <t>ANAKIE RD P47 ACR</t>
  </si>
  <si>
    <t>HARROW RD P2 ACR</t>
  </si>
  <si>
    <t>DERGHOLM P1 ACR</t>
  </si>
  <si>
    <t>PLD-HTN P6 ACR</t>
  </si>
  <si>
    <t>BALLARAT P60A ACR</t>
  </si>
  <si>
    <t>CAVENDISH P18 ACR</t>
  </si>
  <si>
    <t>BRANXHOLME P30 ACR</t>
  </si>
  <si>
    <t>TIMBOON P446 ACR</t>
  </si>
  <si>
    <t>BRUMBYS RD P33 ACR</t>
  </si>
  <si>
    <t>PENSHURST P290 ACR</t>
  </si>
  <si>
    <t>TIMBOON P326 ACR</t>
  </si>
  <si>
    <t>THE SISTERS P2 ACR</t>
  </si>
  <si>
    <t>GLENFYNE EAST P42 ACR</t>
  </si>
  <si>
    <t>NOORAT P51R ACR</t>
  </si>
  <si>
    <t>WOORNDOO P27 ACR</t>
  </si>
  <si>
    <t>GLENORCHY P125 ACR</t>
  </si>
  <si>
    <t>WILLAURA P344 ACR</t>
  </si>
  <si>
    <t>Name plate</t>
  </si>
  <si>
    <t>ACRs to be removed</t>
  </si>
  <si>
    <t>Check:</t>
  </si>
  <si>
    <t>Check</t>
  </si>
  <si>
    <t>$m Real 2015</t>
  </si>
  <si>
    <t>Adjusted depreciation on existing assets</t>
  </si>
  <si>
    <t>Adjustment for ACRs</t>
  </si>
  <si>
    <t>Adjustment for Surge arestors</t>
  </si>
  <si>
    <t>Depreciation on existing assets: Final Determination</t>
  </si>
  <si>
    <t xml:space="preserve">Distribution system assets: Adjusted depreciation for existing assets </t>
  </si>
  <si>
    <t>years</t>
  </si>
  <si>
    <t>Remaining Life</t>
  </si>
  <si>
    <t>Closing RAB</t>
  </si>
  <si>
    <t>Depreciation</t>
  </si>
  <si>
    <t>RAB adjustment</t>
  </si>
  <si>
    <t>Opening RAB</t>
  </si>
  <si>
    <r>
      <t xml:space="preserve">Surge arrestors </t>
    </r>
    <r>
      <rPr>
        <sz val="8"/>
        <color theme="1"/>
        <rFont val="Calibri"/>
        <family val="2"/>
      </rPr>
      <t>&amp; ACRs</t>
    </r>
    <r>
      <rPr>
        <sz val="10"/>
        <color theme="1"/>
        <rFont val="Calibri"/>
        <family val="2"/>
        <scheme val="minor"/>
      </rPr>
      <t xml:space="preserve"> accelerated depreciation value</t>
    </r>
  </si>
  <si>
    <t>Year adjustment occurs</t>
  </si>
  <si>
    <t>Depreciation for corresponding assets: Final Determination</t>
  </si>
  <si>
    <t>Remaining life for accelerated depreciation</t>
  </si>
  <si>
    <t>ACRs accelerated depreciation value</t>
  </si>
  <si>
    <t>Accelerated depreciation for ACRs</t>
  </si>
  <si>
    <t>Surge arrestors accelerated depreciation value</t>
  </si>
  <si>
    <t>Accelerated depreciation for surge arestors</t>
  </si>
  <si>
    <t xml:space="preserve">Depreciation </t>
  </si>
  <si>
    <t>Existing Assets year end remaining life in:</t>
  </si>
  <si>
    <t>Distribution system assets: Final Determination</t>
  </si>
  <si>
    <t>Blue shaded cells are from the contingent project cost model</t>
  </si>
  <si>
    <t>Green shaded cells are hardcoded from 'Powercor - 2018 debt update - PTRM - PUBLIC.xlsm'</t>
  </si>
  <si>
    <t>Depreciation adjustments</t>
  </si>
  <si>
    <t>Powercor REFCLs</t>
  </si>
  <si>
    <t>Grand Total</t>
  </si>
  <si>
    <t>BET</t>
  </si>
  <si>
    <t>Install year</t>
  </si>
  <si>
    <t>RP</t>
  </si>
  <si>
    <t>Volume (m)</t>
  </si>
  <si>
    <t>UG cable to be removed</t>
  </si>
  <si>
    <t>UG cable installed cost (real 2015 $)</t>
  </si>
  <si>
    <t>Tranche 3</t>
  </si>
  <si>
    <t>CTN ZSS</t>
  </si>
  <si>
    <t>BGO ZSS</t>
  </si>
  <si>
    <t>BAS ZSS</t>
  </si>
  <si>
    <t>BAN ZSS</t>
  </si>
  <si>
    <t>ART ZSS</t>
  </si>
  <si>
    <t>Tranche 2</t>
  </si>
  <si>
    <t>CMN ZSS</t>
  </si>
  <si>
    <t>CLC ZSS</t>
  </si>
  <si>
    <t>Tranche 1</t>
  </si>
  <si>
    <t>PAL Accelerated depreciation</t>
  </si>
  <si>
    <t>REFCL conversion from 2015 to 2021</t>
  </si>
  <si>
    <t>Cable length</t>
  </si>
  <si>
    <t>per km</t>
  </si>
  <si>
    <t>ea</t>
  </si>
  <si>
    <t>Solar enablement - Tx replacement</t>
  </si>
  <si>
    <t>3G devices</t>
  </si>
  <si>
    <t>Units</t>
  </si>
  <si>
    <t>Profile</t>
  </si>
  <si>
    <t>Other distribution assets</t>
  </si>
  <si>
    <t>Remaining value ($)</t>
  </si>
  <si>
    <t>XLPE pre-1989 replacement ($)</t>
  </si>
  <si>
    <t>Other replacement ($)</t>
  </si>
  <si>
    <t>T3 ACRs</t>
  </si>
  <si>
    <t>ACRs to be replaced</t>
  </si>
  <si>
    <t>Other ACRs</t>
  </si>
  <si>
    <t>ACR data</t>
  </si>
  <si>
    <t>Old Underground 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</si>
</sst>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6" formatCode="&quot;$&quot;#,##0;[Red]\-&quot;$&quot;#,##0"/>
    <numFmt numFmtId="8" formatCode="&quot;$&quot;#,##0.00;[Red]\-&quot;$&quot;#,##0.00"/>
    <numFmt numFmtId="42" formatCode="_-&quot;$&quot;* #,##0_-;\-&quot;$&quot;* #,##0_-;_-&quot;$&quot;* &quot;-&quot;_-;_-@_-"/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_);_(* \(#,##0\);_(* &quot;-&quot;??_);_(@_)"/>
    <numFmt numFmtId="165" formatCode="_-* #,##0_-;* \(#,##0\)_-;_-* &quot;-&quot;??_-;_-@_-"/>
    <numFmt numFmtId="166" formatCode="#,##0_);\(#,##0\);\-\-_)"/>
    <numFmt numFmtId="167" formatCode="_-* #,##0_-;\-* #,##0_-;_-* &quot;-&quot;??_-;_-@_-"/>
    <numFmt numFmtId="168" formatCode="_-* #,##0.0_-;\-* #,##0.0_-;_-* &quot;-&quot;??_-;_-@_-"/>
    <numFmt numFmtId="169" formatCode="&quot;FY&quot;0"/>
    <numFmt numFmtId="170" formatCode="#,##0.0;[Red]\-#,##0.0"/>
    <numFmt numFmtId="171" formatCode="0.000"/>
    <numFmt numFmtId="172" formatCode="0.0%"/>
    <numFmt numFmtId="173" formatCode="_-&quot;$&quot;* #,##0_-;\-&quot;$&quot;* #,##0_-;_-&quot;$&quot;* &quot;-&quot;??_-;_-@_-"/>
    <numFmt numFmtId="174" formatCode="#,##0.0000000000000_ ;[Red]\-#,##0.0000000000000\ "/>
    <numFmt numFmtId="175" formatCode="0.0"/>
    <numFmt numFmtId="176" formatCode="#,##0.0"/>
    <numFmt numFmtId="177" formatCode="_-* #,##0_-;\-* #,##0_-;_-* &quot;-&quot;?_-;_-@_-"/>
    <numFmt numFmtId="178" formatCode="yyyy"/>
    <numFmt numFmtId="179" formatCode="&quot;$&quot;\ #,##0;\-&quot;$&quot;\ #,##0;&quot;-&quot;;_-@_-"/>
    <numFmt numFmtId="180" formatCode="_-* #,##0.000000_-;\-* #,##0.000000_-;_-* &quot;-&quot;??_-;_-@_-"/>
    <numFmt numFmtId="181" formatCode="#,##0.00;[Red]\-#,##0.00;\ &quot;-&quot;"/>
    <numFmt numFmtId="182" formatCode="#,##0.00_);[Red]\(#,##0.00\)"/>
    <numFmt numFmtId="183" formatCode="0_ ;\-0\ "/>
    <numFmt numFmtId="184" formatCode="_-* #,##0.000_-;\-* #,##0.000_-;_-* &quot;-&quot;??_-;_-@_-"/>
    <numFmt numFmtId="185" formatCode="0.0000000"/>
    <numFmt numFmtId="186" formatCode="#,##0;\ #,##0;\ &quot;-&quot;"/>
    <numFmt numFmtId="187" formatCode="_-&quot;$&quot;\ #,##0_-;\-&quot;$&quot;\ #,##0_-;_-&quot;$&quot;\ &quot;-&quot;??_-;_-@_-"/>
  </numFmts>
  <fonts count="59" x14ac:knownFonts="1"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3"/>
      <name val="Arial"/>
      <family val="2"/>
    </font>
    <font>
      <sz val="11"/>
      <color theme="1"/>
      <name val="Arial"/>
      <family val="2"/>
    </font>
    <font>
      <sz val="10"/>
      <color theme="0" tint="-0.3499862666707357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9" tint="-0.499984740745262"/>
      <name val="Arial"/>
      <family val="2"/>
    </font>
    <font>
      <sz val="10"/>
      <color theme="0"/>
      <name val="Arial"/>
      <family val="2"/>
    </font>
    <font>
      <sz val="10"/>
      <color theme="0" tint="-0.499984740745262"/>
      <name val="Arial"/>
      <family val="2"/>
    </font>
    <font>
      <i/>
      <sz val="10"/>
      <color theme="0" tint="-0.34998626667073579"/>
      <name val="Arial"/>
      <family val="2"/>
    </font>
    <font>
      <b/>
      <sz val="14"/>
      <color indexed="9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b/>
      <sz val="12"/>
      <color indexed="9"/>
      <name val="Arial"/>
      <family val="2"/>
    </font>
    <font>
      <b/>
      <sz val="14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3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</font>
    <font>
      <sz val="10"/>
      <color rgb="FFFF0000"/>
      <name val="Calibri"/>
      <family val="2"/>
    </font>
    <font>
      <b/>
      <sz val="10"/>
      <color theme="1"/>
      <name val="Calibri"/>
      <family val="2"/>
    </font>
    <font>
      <sz val="10"/>
      <color theme="0"/>
      <name val="Calibri"/>
      <family val="2"/>
    </font>
    <font>
      <b/>
      <sz val="10"/>
      <color theme="1"/>
      <name val="Verdana"/>
      <family val="2"/>
    </font>
    <font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i/>
      <sz val="10"/>
      <color theme="1"/>
      <name val="Calibri"/>
      <family val="2"/>
    </font>
    <font>
      <i/>
      <sz val="10"/>
      <color theme="0"/>
      <name val="Calibri"/>
      <family val="2"/>
    </font>
    <font>
      <b/>
      <sz val="16"/>
      <color theme="0"/>
      <name val="Calibri"/>
      <family val="2"/>
    </font>
    <font>
      <sz val="11"/>
      <color rgb="FFFF0000"/>
      <name val="Calibri"/>
      <family val="2"/>
      <scheme val="minor"/>
    </font>
    <font>
      <b/>
      <sz val="14"/>
      <color theme="0"/>
      <name val="Calibri"/>
      <family val="2"/>
    </font>
    <font>
      <i/>
      <sz val="10"/>
      <color theme="1"/>
      <name val="Calibri"/>
      <family val="2"/>
      <scheme val="minor"/>
    </font>
    <font>
      <b/>
      <sz val="11"/>
      <color theme="0"/>
      <name val="Calibri"/>
      <family val="2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b/>
      <sz val="10"/>
      <color theme="0"/>
      <name val="Calibri"/>
      <family val="2"/>
      <scheme val="minor"/>
    </font>
    <font>
      <i/>
      <sz val="10"/>
      <color theme="1" tint="0.499984740745262"/>
      <name val="Calibri"/>
      <family val="2"/>
      <scheme val="minor"/>
    </font>
    <font>
      <sz val="8"/>
      <color theme="1"/>
      <name val="Calibri"/>
      <family val="2"/>
    </font>
    <font>
      <b/>
      <sz val="14"/>
      <color theme="1"/>
      <name val="Calibri"/>
      <family val="2"/>
      <scheme val="minor"/>
    </font>
    <font>
      <sz val="8"/>
      <color theme="0"/>
      <name val="Calibri"/>
      <family val="2"/>
    </font>
    <font>
      <sz val="10"/>
      <color theme="0" tint="-0.1499984740745262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sz val="11"/>
      <color theme="1"/>
      <name val="Century Gothic"/>
      <family val="2"/>
    </font>
    <font>
      <i/>
      <sz val="9"/>
      <color indexed="9"/>
      <name val="Calibri"/>
      <family val="2"/>
      <scheme val="minor"/>
    </font>
    <font>
      <sz val="10"/>
      <color theme="0"/>
      <name val="Verdana"/>
      <family val="2"/>
    </font>
    <font>
      <b/>
      <sz val="10"/>
      <color theme="0"/>
      <name val="Verdana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lightUp">
        <fgColor theme="0" tint="-0.34998626667073579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/>
        <bgColor indexed="64"/>
      </patternFill>
    </fill>
  </fills>
  <borders count="44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theme="1" tint="0.34998626667073579"/>
      </right>
      <top style="thin">
        <color indexed="64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 style="thin">
        <color indexed="64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indexed="64"/>
      </right>
      <top style="thin">
        <color theme="1" tint="0.34998626667073579"/>
      </top>
      <bottom style="thin">
        <color theme="1" tint="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medium">
        <color theme="0"/>
      </right>
      <top/>
      <bottom style="thin">
        <color auto="1"/>
      </bottom>
      <diagonal/>
    </border>
    <border>
      <left/>
      <right style="medium">
        <color theme="0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</borders>
  <cellStyleXfs count="47">
    <xf numFmtId="0" fontId="0" fillId="0" borderId="0"/>
    <xf numFmtId="0" fontId="8" fillId="0" borderId="0"/>
    <xf numFmtId="0" fontId="4" fillId="2" borderId="1" applyNumberFormat="0" applyAlignment="0">
      <alignment horizontal="right"/>
      <protection locked="0"/>
    </xf>
    <xf numFmtId="164" fontId="5" fillId="0" borderId="0" applyFont="0" applyFill="0" applyBorder="0" applyAlignment="0" applyProtection="0"/>
    <xf numFmtId="165" fontId="6" fillId="3" borderId="2" applyAlignment="0"/>
    <xf numFmtId="0" fontId="16" fillId="0" borderId="0" applyNumberFormat="0"/>
    <xf numFmtId="0" fontId="7" fillId="0" borderId="3" applyNumberFormat="0" applyAlignment="0"/>
    <xf numFmtId="0" fontId="5" fillId="0" borderId="4" applyNumberFormat="0" applyFont="0" applyFill="0" applyAlignment="0"/>
    <xf numFmtId="0" fontId="7" fillId="4" borderId="3" applyNumberFormat="0" applyAlignment="0"/>
    <xf numFmtId="0" fontId="7" fillId="0" borderId="0"/>
    <xf numFmtId="0" fontId="8" fillId="1" borderId="0"/>
    <xf numFmtId="0" fontId="9" fillId="5" borderId="5" applyNumberFormat="0" applyAlignment="0"/>
    <xf numFmtId="0" fontId="10" fillId="6" borderId="3" applyNumberFormat="0">
      <alignment horizontal="centerContinuous" vertical="center" wrapText="1"/>
    </xf>
    <xf numFmtId="0" fontId="11" fillId="5" borderId="6" applyNumberFormat="0" applyAlignment="0"/>
    <xf numFmtId="0" fontId="12" fillId="0" borderId="0" applyNumberFormat="0"/>
    <xf numFmtId="0" fontId="14" fillId="9" borderId="0"/>
    <xf numFmtId="0" fontId="15" fillId="0" borderId="0"/>
    <xf numFmtId="166" fontId="13" fillId="8" borderId="0"/>
    <xf numFmtId="166" fontId="17" fillId="8" borderId="0"/>
    <xf numFmtId="0" fontId="3" fillId="0" borderId="0"/>
    <xf numFmtId="43" fontId="2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0" fontId="54" fillId="0" borderId="0"/>
    <xf numFmtId="0" fontId="55" fillId="0" borderId="0"/>
    <xf numFmtId="0" fontId="55" fillId="0" borderId="0"/>
    <xf numFmtId="0" fontId="5" fillId="0" borderId="0"/>
    <xf numFmtId="0" fontId="55" fillId="0" borderId="0"/>
    <xf numFmtId="0" fontId="55" fillId="0" borderId="0"/>
    <xf numFmtId="0" fontId="5" fillId="0" borderId="0"/>
    <xf numFmtId="0" fontId="55" fillId="0" borderId="0"/>
    <xf numFmtId="0" fontId="55" fillId="0" borderId="0"/>
    <xf numFmtId="0" fontId="55" fillId="0" borderId="0"/>
    <xf numFmtId="0" fontId="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6" fillId="0" borderId="0"/>
  </cellStyleXfs>
  <cellXfs count="314">
    <xf numFmtId="0" fontId="0" fillId="0" borderId="0" xfId="0"/>
    <xf numFmtId="0" fontId="19" fillId="0" borderId="0" xfId="0" applyFont="1"/>
    <xf numFmtId="0" fontId="21" fillId="7" borderId="0" xfId="9" applyFont="1" applyFill="1"/>
    <xf numFmtId="0" fontId="21" fillId="0" borderId="0" xfId="9" applyFont="1" applyFill="1"/>
    <xf numFmtId="0" fontId="21" fillId="7" borderId="0" xfId="9" applyFont="1" applyFill="1" applyAlignment="1">
      <alignment horizontal="right"/>
    </xf>
    <xf numFmtId="0" fontId="22" fillId="7" borderId="0" xfId="16" applyFont="1" applyFill="1"/>
    <xf numFmtId="0" fontId="19" fillId="0" borderId="0" xfId="0" applyFont="1" applyAlignment="1">
      <alignment horizontal="right"/>
    </xf>
    <xf numFmtId="0" fontId="23" fillId="6" borderId="3" xfId="12" applyFont="1" applyAlignment="1">
      <alignment horizontal="left" vertical="center" wrapText="1"/>
    </xf>
    <xf numFmtId="0" fontId="23" fillId="6" borderId="3" xfId="12" applyFont="1" applyAlignment="1">
      <alignment horizontal="right" vertical="center" wrapText="1"/>
    </xf>
    <xf numFmtId="49" fontId="19" fillId="0" borderId="0" xfId="0" applyNumberFormat="1" applyFont="1" applyAlignment="1">
      <alignment horizontal="left" indent="1"/>
    </xf>
    <xf numFmtId="0" fontId="24" fillId="2" borderId="11" xfId="2" applyFont="1" applyBorder="1" applyAlignment="1">
      <alignment wrapText="1"/>
      <protection locked="0"/>
    </xf>
    <xf numFmtId="0" fontId="24" fillId="2" borderId="13" xfId="2" applyFont="1" applyBorder="1" applyAlignment="1">
      <alignment wrapText="1"/>
      <protection locked="0"/>
    </xf>
    <xf numFmtId="167" fontId="24" fillId="2" borderId="1" xfId="2" applyNumberFormat="1" applyFont="1" applyBorder="1" applyAlignment="1">
      <protection locked="0"/>
    </xf>
    <xf numFmtId="167" fontId="25" fillId="0" borderId="3" xfId="8" applyNumberFormat="1" applyFont="1" applyFill="1" applyBorder="1"/>
    <xf numFmtId="40" fontId="19" fillId="7" borderId="15" xfId="19" applyNumberFormat="1" applyFont="1" applyFill="1" applyBorder="1" applyAlignment="1">
      <alignment horizontal="right" vertical="top"/>
    </xf>
    <xf numFmtId="168" fontId="24" fillId="2" borderId="1" xfId="2" applyNumberFormat="1" applyFont="1" applyBorder="1" applyAlignment="1">
      <protection locked="0"/>
    </xf>
    <xf numFmtId="167" fontId="21" fillId="7" borderId="0" xfId="9" applyNumberFormat="1" applyFont="1" applyFill="1"/>
    <xf numFmtId="0" fontId="24" fillId="2" borderId="16" xfId="2" applyFont="1" applyBorder="1" applyAlignment="1">
      <alignment wrapText="1"/>
      <protection locked="0"/>
    </xf>
    <xf numFmtId="168" fontId="24" fillId="2" borderId="17" xfId="2" applyNumberFormat="1" applyFont="1" applyBorder="1" applyAlignment="1">
      <protection locked="0"/>
    </xf>
    <xf numFmtId="167" fontId="24" fillId="2" borderId="17" xfId="2" applyNumberFormat="1" applyFont="1" applyBorder="1" applyAlignment="1">
      <protection locked="0"/>
    </xf>
    <xf numFmtId="0" fontId="25" fillId="0" borderId="7" xfId="8" applyFont="1" applyFill="1" applyBorder="1"/>
    <xf numFmtId="0" fontId="25" fillId="0" borderId="8" xfId="8" applyFont="1" applyFill="1" applyBorder="1" applyAlignment="1">
      <alignment horizontal="center"/>
    </xf>
    <xf numFmtId="0" fontId="25" fillId="0" borderId="9" xfId="8" applyFont="1" applyFill="1" applyBorder="1" applyAlignment="1">
      <alignment horizontal="center"/>
    </xf>
    <xf numFmtId="169" fontId="23" fillId="6" borderId="3" xfId="12" applyNumberFormat="1" applyFont="1" applyAlignment="1">
      <alignment horizontal="right" vertical="center" wrapText="1"/>
    </xf>
    <xf numFmtId="3" fontId="19" fillId="0" borderId="3" xfId="0" applyNumberFormat="1" applyFont="1" applyBorder="1"/>
    <xf numFmtId="0" fontId="19" fillId="0" borderId="3" xfId="0" applyFont="1" applyBorder="1"/>
    <xf numFmtId="168" fontId="19" fillId="0" borderId="3" xfId="0" applyNumberFormat="1" applyFont="1" applyBorder="1"/>
    <xf numFmtId="167" fontId="19" fillId="0" borderId="3" xfId="20" applyNumberFormat="1" applyFont="1" applyBorder="1" applyAlignment="1">
      <alignment horizontal="right"/>
    </xf>
    <xf numFmtId="167" fontId="19" fillId="0" borderId="0" xfId="0" applyNumberFormat="1" applyFont="1"/>
    <xf numFmtId="0" fontId="27" fillId="0" borderId="0" xfId="0" applyFont="1"/>
    <xf numFmtId="3" fontId="27" fillId="0" borderId="3" xfId="0" applyNumberFormat="1" applyFont="1" applyBorder="1"/>
    <xf numFmtId="0" fontId="27" fillId="0" borderId="3" xfId="0" applyFont="1" applyBorder="1"/>
    <xf numFmtId="168" fontId="27" fillId="0" borderId="3" xfId="0" applyNumberFormat="1" applyFont="1" applyBorder="1"/>
    <xf numFmtId="167" fontId="27" fillId="0" borderId="3" xfId="20" applyNumberFormat="1" applyFont="1" applyBorder="1" applyAlignment="1">
      <alignment horizontal="right"/>
    </xf>
    <xf numFmtId="167" fontId="27" fillId="0" borderId="0" xfId="0" applyNumberFormat="1" applyFont="1"/>
    <xf numFmtId="49" fontId="27" fillId="0" borderId="0" xfId="0" applyNumberFormat="1" applyFont="1" applyAlignment="1">
      <alignment horizontal="left" indent="1"/>
    </xf>
    <xf numFmtId="0" fontId="19" fillId="0" borderId="19" xfId="0" applyFont="1" applyBorder="1"/>
    <xf numFmtId="170" fontId="19" fillId="0" borderId="19" xfId="0" applyNumberFormat="1" applyFont="1" applyBorder="1" applyAlignment="1">
      <alignment horizontal="right"/>
    </xf>
    <xf numFmtId="0" fontId="21" fillId="0" borderId="0" xfId="9" applyFont="1" applyFill="1" applyBorder="1"/>
    <xf numFmtId="0" fontId="10" fillId="6" borderId="3" xfId="12" applyAlignment="1">
      <alignment horizontal="left" vertical="center" wrapText="1"/>
    </xf>
    <xf numFmtId="0" fontId="10" fillId="6" borderId="3" xfId="12">
      <alignment horizontal="centerContinuous" vertical="center" wrapText="1"/>
    </xf>
    <xf numFmtId="0" fontId="7" fillId="5" borderId="6" xfId="13" applyFont="1"/>
    <xf numFmtId="10" fontId="4" fillId="2" borderId="1" xfId="2" applyNumberFormat="1" applyAlignment="1">
      <alignment horizontal="center"/>
      <protection locked="0"/>
    </xf>
    <xf numFmtId="171" fontId="4" fillId="0" borderId="1" xfId="2" applyNumberFormat="1" applyFill="1" applyAlignment="1">
      <alignment horizontal="center"/>
      <protection locked="0"/>
    </xf>
    <xf numFmtId="171" fontId="4" fillId="2" borderId="1" xfId="2" applyNumberFormat="1" applyAlignment="1">
      <alignment horizontal="center"/>
      <protection locked="0"/>
    </xf>
    <xf numFmtId="0" fontId="0" fillId="0" borderId="0" xfId="0" applyFill="1"/>
    <xf numFmtId="38" fontId="19" fillId="0" borderId="15" xfId="19" applyNumberFormat="1" applyFont="1" applyFill="1" applyBorder="1" applyAlignment="1">
      <alignment horizontal="right" vertical="top"/>
    </xf>
    <xf numFmtId="0" fontId="19" fillId="0" borderId="0" xfId="0" applyFont="1" applyFill="1"/>
    <xf numFmtId="40" fontId="19" fillId="0" borderId="0" xfId="19" applyNumberFormat="1" applyFont="1" applyFill="1" applyBorder="1" applyAlignment="1">
      <alignment horizontal="right" vertical="top"/>
    </xf>
    <xf numFmtId="0" fontId="23" fillId="6" borderId="3" xfId="12" applyFont="1" applyAlignment="1">
      <alignment horizontal="right" vertical="center"/>
    </xf>
    <xf numFmtId="0" fontId="23" fillId="6" borderId="3" xfId="12" applyFont="1" applyAlignment="1">
      <alignment horizontal="centerContinuous" vertical="center"/>
    </xf>
    <xf numFmtId="0" fontId="0" fillId="10" borderId="0" xfId="0" applyFill="1" applyAlignment="1">
      <alignment horizontal="centerContinuous"/>
    </xf>
    <xf numFmtId="49" fontId="23" fillId="6" borderId="18" xfId="12" applyNumberFormat="1" applyFont="1" applyBorder="1" applyAlignment="1">
      <alignment horizontal="centerContinuous" vertical="center" wrapText="1"/>
    </xf>
    <xf numFmtId="49" fontId="23" fillId="6" borderId="18" xfId="12" applyNumberFormat="1" applyFont="1" applyBorder="1" applyAlignment="1">
      <alignment horizontal="left" vertical="center"/>
    </xf>
    <xf numFmtId="0" fontId="2" fillId="0" borderId="0" xfId="21"/>
    <xf numFmtId="0" fontId="2" fillId="0" borderId="0" xfId="21" applyAlignment="1">
      <alignment horizontal="center"/>
    </xf>
    <xf numFmtId="0" fontId="2" fillId="0" borderId="0" xfId="21" applyFill="1"/>
    <xf numFmtId="9" fontId="0" fillId="0" borderId="0" xfId="22" applyFont="1" applyFill="1" applyBorder="1" applyAlignment="1">
      <alignment horizontal="center" vertical="center"/>
    </xf>
    <xf numFmtId="0" fontId="35" fillId="0" borderId="0" xfId="21" applyFont="1" applyFill="1" applyBorder="1" applyAlignment="1">
      <alignment horizontal="right" vertical="center"/>
    </xf>
    <xf numFmtId="3" fontId="2" fillId="0" borderId="0" xfId="21" applyNumberFormat="1"/>
    <xf numFmtId="0" fontId="2" fillId="0" borderId="0" xfId="21" applyAlignment="1">
      <alignment horizontal="left" vertical="top" wrapText="1"/>
    </xf>
    <xf numFmtId="172" fontId="0" fillId="0" borderId="0" xfId="22" applyNumberFormat="1" applyFont="1"/>
    <xf numFmtId="0" fontId="2" fillId="0" borderId="0" xfId="21" applyAlignment="1">
      <alignment horizontal="right"/>
    </xf>
    <xf numFmtId="9" fontId="0" fillId="0" borderId="0" xfId="22" applyFont="1" applyFill="1" applyBorder="1" applyAlignment="1">
      <alignment vertical="center"/>
    </xf>
    <xf numFmtId="0" fontId="35" fillId="0" borderId="0" xfId="21" applyFont="1" applyFill="1" applyBorder="1" applyAlignment="1">
      <alignment horizontal="left" vertical="center"/>
    </xf>
    <xf numFmtId="0" fontId="2" fillId="0" borderId="0" xfId="21" applyNumberFormat="1" applyAlignment="1">
      <alignment horizontal="right"/>
    </xf>
    <xf numFmtId="0" fontId="2" fillId="0" borderId="0" xfId="21" applyNumberFormat="1" applyAlignment="1">
      <alignment horizontal="center"/>
    </xf>
    <xf numFmtId="8" fontId="2" fillId="0" borderId="0" xfId="21" applyNumberFormat="1" applyFont="1"/>
    <xf numFmtId="0" fontId="30" fillId="0" borderId="0" xfId="21" applyFont="1"/>
    <xf numFmtId="3" fontId="2" fillId="0" borderId="0" xfId="21" applyNumberFormat="1" applyAlignment="1">
      <alignment horizontal="center"/>
    </xf>
    <xf numFmtId="41" fontId="2" fillId="2" borderId="21" xfId="21" applyNumberFormat="1" applyFont="1" applyFill="1" applyBorder="1" applyAlignment="1">
      <alignment horizontal="right" vertical="top"/>
    </xf>
    <xf numFmtId="41" fontId="2" fillId="2" borderId="22" xfId="21" applyNumberFormat="1" applyFont="1" applyFill="1" applyBorder="1" applyAlignment="1">
      <alignment horizontal="right" vertical="top"/>
    </xf>
    <xf numFmtId="41" fontId="2" fillId="2" borderId="23" xfId="21" applyNumberFormat="1" applyFont="1" applyFill="1" applyBorder="1" applyAlignment="1">
      <alignment horizontal="right" vertical="top"/>
    </xf>
    <xf numFmtId="41" fontId="2" fillId="2" borderId="24" xfId="21" applyNumberFormat="1" applyFont="1" applyFill="1" applyBorder="1" applyAlignment="1">
      <alignment horizontal="right" vertical="top"/>
    </xf>
    <xf numFmtId="41" fontId="2" fillId="2" borderId="25" xfId="21" applyNumberFormat="1" applyFont="1" applyFill="1" applyBorder="1" applyAlignment="1">
      <alignment horizontal="right" vertical="top"/>
    </xf>
    <xf numFmtId="41" fontId="2" fillId="2" borderId="21" xfId="21" applyNumberFormat="1" applyFont="1" applyFill="1" applyBorder="1" applyAlignment="1">
      <alignment horizontal="center" vertical="top"/>
    </xf>
    <xf numFmtId="41" fontId="2" fillId="2" borderId="24" xfId="21" applyNumberFormat="1" applyFont="1" applyFill="1" applyBorder="1" applyAlignment="1">
      <alignment horizontal="center" vertical="top"/>
    </xf>
    <xf numFmtId="42" fontId="2" fillId="2" borderId="27" xfId="21" applyNumberFormat="1" applyFont="1" applyFill="1" applyBorder="1" applyAlignment="1">
      <alignment horizontal="right" vertical="top"/>
    </xf>
    <xf numFmtId="41" fontId="2" fillId="5" borderId="28" xfId="21" applyNumberFormat="1" applyFont="1" applyFill="1" applyBorder="1" applyAlignment="1">
      <alignment horizontal="right" vertical="top"/>
    </xf>
    <xf numFmtId="41" fontId="2" fillId="5" borderId="15" xfId="21" applyNumberFormat="1" applyFont="1" applyFill="1" applyBorder="1" applyAlignment="1">
      <alignment horizontal="right" vertical="top"/>
    </xf>
    <xf numFmtId="41" fontId="2" fillId="5" borderId="29" xfId="21" applyNumberFormat="1" applyFont="1" applyFill="1" applyBorder="1" applyAlignment="1">
      <alignment horizontal="right" vertical="top"/>
    </xf>
    <xf numFmtId="41" fontId="2" fillId="5" borderId="30" xfId="21" applyNumberFormat="1" applyFont="1" applyFill="1" applyBorder="1" applyAlignment="1">
      <alignment horizontal="right" vertical="top"/>
    </xf>
    <xf numFmtId="41" fontId="2" fillId="5" borderId="31" xfId="21" applyNumberFormat="1" applyFont="1" applyFill="1" applyBorder="1" applyAlignment="1">
      <alignment horizontal="right" vertical="top"/>
    </xf>
    <xf numFmtId="41" fontId="2" fillId="2" borderId="28" xfId="21" applyNumberFormat="1" applyFont="1" applyFill="1" applyBorder="1" applyAlignment="1">
      <alignment horizontal="right" vertical="top"/>
    </xf>
    <xf numFmtId="41" fontId="2" fillId="2" borderId="15" xfId="21" applyNumberFormat="1" applyFont="1" applyFill="1" applyBorder="1" applyAlignment="1">
      <alignment horizontal="right" vertical="top"/>
    </xf>
    <xf numFmtId="41" fontId="2" fillId="2" borderId="31" xfId="21" applyNumberFormat="1" applyFont="1" applyFill="1" applyBorder="1" applyAlignment="1">
      <alignment horizontal="right" vertical="top"/>
    </xf>
    <xf numFmtId="41" fontId="2" fillId="2" borderId="32" xfId="21" applyNumberFormat="1" applyFont="1" applyFill="1" applyBorder="1" applyAlignment="1">
      <alignment horizontal="right" vertical="top"/>
    </xf>
    <xf numFmtId="41" fontId="2" fillId="2" borderId="28" xfId="21" applyNumberFormat="1" applyFont="1" applyFill="1" applyBorder="1" applyAlignment="1">
      <alignment horizontal="center" vertical="top"/>
    </xf>
    <xf numFmtId="41" fontId="2" fillId="2" borderId="31" xfId="21" applyNumberFormat="1" applyFont="1" applyFill="1" applyBorder="1" applyAlignment="1">
      <alignment horizontal="center" vertical="top"/>
    </xf>
    <xf numFmtId="41" fontId="2" fillId="2" borderId="29" xfId="21" applyNumberFormat="1" applyFont="1" applyFill="1" applyBorder="1" applyAlignment="1">
      <alignment horizontal="right" vertical="top"/>
    </xf>
    <xf numFmtId="41" fontId="2" fillId="2" borderId="33" xfId="21" applyNumberFormat="1" applyFont="1" applyFill="1" applyBorder="1" applyAlignment="1">
      <alignment horizontal="right" vertical="top"/>
    </xf>
    <xf numFmtId="41" fontId="2" fillId="2" borderId="34" xfId="21" applyNumberFormat="1" applyFont="1" applyFill="1" applyBorder="1" applyAlignment="1">
      <alignment horizontal="right" vertical="top"/>
    </xf>
    <xf numFmtId="41" fontId="2" fillId="2" borderId="35" xfId="21" applyNumberFormat="1" applyFont="1" applyFill="1" applyBorder="1" applyAlignment="1">
      <alignment horizontal="right" vertical="top"/>
    </xf>
    <xf numFmtId="41" fontId="2" fillId="2" borderId="33" xfId="21" applyNumberFormat="1" applyFont="1" applyFill="1" applyBorder="1" applyAlignment="1">
      <alignment horizontal="center" vertical="top"/>
    </xf>
    <xf numFmtId="41" fontId="2" fillId="2" borderId="35" xfId="21" applyNumberFormat="1" applyFont="1" applyFill="1" applyBorder="1" applyAlignment="1">
      <alignment horizontal="center" vertical="top"/>
    </xf>
    <xf numFmtId="0" fontId="36" fillId="12" borderId="9" xfId="19" applyFont="1" applyFill="1" applyBorder="1" applyAlignment="1">
      <alignment horizontal="right" indent="1"/>
    </xf>
    <xf numFmtId="0" fontId="36" fillId="12" borderId="8" xfId="19" applyFont="1" applyFill="1" applyBorder="1" applyAlignment="1">
      <alignment horizontal="right" indent="1"/>
    </xf>
    <xf numFmtId="0" fontId="36" fillId="12" borderId="7" xfId="19" applyFont="1" applyFill="1" applyBorder="1" applyAlignment="1">
      <alignment horizontal="right" indent="1"/>
    </xf>
    <xf numFmtId="0" fontId="36" fillId="12" borderId="9" xfId="19" applyFont="1" applyFill="1" applyBorder="1" applyAlignment="1">
      <alignment horizontal="center"/>
    </xf>
    <xf numFmtId="0" fontId="36" fillId="12" borderId="7" xfId="19" applyFont="1" applyFill="1" applyBorder="1" applyAlignment="1">
      <alignment horizontal="center"/>
    </xf>
    <xf numFmtId="0" fontId="36" fillId="12" borderId="3" xfId="19" applyFont="1" applyFill="1" applyBorder="1" applyAlignment="1">
      <alignment horizontal="right" indent="1"/>
    </xf>
    <xf numFmtId="0" fontId="37" fillId="0" borderId="0" xfId="21" applyFont="1" applyBorder="1"/>
    <xf numFmtId="0" fontId="36" fillId="12" borderId="8" xfId="19" applyFont="1" applyFill="1" applyBorder="1" applyAlignment="1">
      <alignment horizontal="center"/>
    </xf>
    <xf numFmtId="0" fontId="36" fillId="12" borderId="7" xfId="19" applyFont="1" applyFill="1" applyBorder="1" applyAlignment="1">
      <alignment horizontal="left"/>
    </xf>
    <xf numFmtId="0" fontId="2" fillId="0" borderId="0" xfId="21" applyFont="1"/>
    <xf numFmtId="6" fontId="38" fillId="0" borderId="0" xfId="21" quotePrefix="1" applyNumberFormat="1" applyFont="1"/>
    <xf numFmtId="0" fontId="28" fillId="13" borderId="0" xfId="21" applyFont="1" applyFill="1" applyAlignment="1">
      <alignment horizontal="left" vertical="top" wrapText="1"/>
    </xf>
    <xf numFmtId="0" fontId="28" fillId="13" borderId="0" xfId="21" applyFont="1" applyFill="1" applyAlignment="1">
      <alignment horizontal="right"/>
    </xf>
    <xf numFmtId="0" fontId="28" fillId="13" borderId="0" xfId="21" applyFont="1" applyFill="1" applyAlignment="1">
      <alignment horizontal="center"/>
    </xf>
    <xf numFmtId="0" fontId="28" fillId="13" borderId="0" xfId="21" applyFont="1" applyFill="1"/>
    <xf numFmtId="0" fontId="29" fillId="0" borderId="0" xfId="21" applyFont="1" applyFill="1" applyAlignment="1">
      <alignment horizontal="left" vertical="top" wrapText="1"/>
    </xf>
    <xf numFmtId="0" fontId="29" fillId="0" borderId="0" xfId="21" applyFont="1" applyFill="1"/>
    <xf numFmtId="0" fontId="31" fillId="13" borderId="0" xfId="21" applyFont="1" applyFill="1"/>
    <xf numFmtId="0" fontId="40" fillId="13" borderId="0" xfId="21" applyFont="1" applyFill="1"/>
    <xf numFmtId="0" fontId="3" fillId="0" borderId="0" xfId="19"/>
    <xf numFmtId="167" fontId="19" fillId="0" borderId="0" xfId="23" applyNumberFormat="1" applyFont="1"/>
    <xf numFmtId="167" fontId="19" fillId="0" borderId="0" xfId="23" applyNumberFormat="1" applyFont="1" applyAlignment="1">
      <alignment vertical="top"/>
    </xf>
    <xf numFmtId="44" fontId="3" fillId="0" borderId="0" xfId="19" applyNumberFormat="1"/>
    <xf numFmtId="173" fontId="36" fillId="0" borderId="8" xfId="24" applyNumberFormat="1" applyFont="1" applyBorder="1"/>
    <xf numFmtId="3" fontId="36" fillId="0" borderId="8" xfId="19" applyNumberFormat="1" applyFont="1" applyBorder="1"/>
    <xf numFmtId="0" fontId="36" fillId="0" borderId="8" xfId="19" applyFont="1" applyBorder="1"/>
    <xf numFmtId="173" fontId="3" fillId="0" borderId="0" xfId="24" applyNumberFormat="1" applyFont="1"/>
    <xf numFmtId="38" fontId="3" fillId="0" borderId="0" xfId="19" applyNumberFormat="1" applyFill="1"/>
    <xf numFmtId="0" fontId="3" fillId="0" borderId="0" xfId="19" applyFont="1" applyFill="1"/>
    <xf numFmtId="0" fontId="3" fillId="0" borderId="0" xfId="19" applyFont="1" applyFill="1" applyAlignment="1">
      <alignment horizontal="left" indent="1"/>
    </xf>
    <xf numFmtId="0" fontId="3" fillId="0" borderId="0" xfId="19" applyFill="1" applyAlignment="1">
      <alignment horizontal="left" indent="1"/>
    </xf>
    <xf numFmtId="174" fontId="3" fillId="0" borderId="0" xfId="19" applyNumberFormat="1"/>
    <xf numFmtId="0" fontId="36" fillId="14" borderId="0" xfId="19" applyFont="1" applyFill="1" applyBorder="1" applyAlignment="1">
      <alignment horizontal="right"/>
    </xf>
    <xf numFmtId="0" fontId="3" fillId="15" borderId="36" xfId="19" applyFill="1" applyBorder="1" applyAlignment="1">
      <alignment horizontal="right"/>
    </xf>
    <xf numFmtId="0" fontId="3" fillId="15" borderId="20" xfId="19" applyFill="1" applyBorder="1" applyAlignment="1">
      <alignment horizontal="right"/>
    </xf>
    <xf numFmtId="0" fontId="3" fillId="15" borderId="20" xfId="19" applyFont="1" applyFill="1" applyBorder="1" applyAlignment="1">
      <alignment horizontal="right" wrapText="1"/>
    </xf>
    <xf numFmtId="0" fontId="3" fillId="15" borderId="20" xfId="19" applyFont="1" applyFill="1" applyBorder="1"/>
    <xf numFmtId="0" fontId="3" fillId="14" borderId="37" xfId="19" applyFill="1" applyBorder="1" applyAlignment="1">
      <alignment horizontal="centerContinuous"/>
    </xf>
    <xf numFmtId="0" fontId="36" fillId="14" borderId="0" xfId="19" applyFont="1" applyFill="1" applyBorder="1" applyAlignment="1">
      <alignment horizontal="centerContinuous"/>
    </xf>
    <xf numFmtId="0" fontId="36" fillId="14" borderId="37" xfId="19" applyFont="1" applyFill="1" applyBorder="1" applyAlignment="1">
      <alignment horizontal="centerContinuous"/>
    </xf>
    <xf numFmtId="175" fontId="3" fillId="0" borderId="0" xfId="19" applyNumberFormat="1"/>
    <xf numFmtId="6" fontId="3" fillId="0" borderId="0" xfId="19" applyNumberFormat="1"/>
    <xf numFmtId="0" fontId="41" fillId="0" borderId="0" xfId="19" applyFont="1" applyFill="1" applyAlignment="1">
      <alignment vertical="center" wrapText="1"/>
    </xf>
    <xf numFmtId="0" fontId="3" fillId="0" borderId="20" xfId="19" applyBorder="1" applyAlignment="1">
      <alignment horizontal="right"/>
    </xf>
    <xf numFmtId="175" fontId="3" fillId="0" borderId="20" xfId="19" applyNumberFormat="1" applyBorder="1" applyAlignment="1">
      <alignment horizontal="right"/>
    </xf>
    <xf numFmtId="0" fontId="3" fillId="0" borderId="20" xfId="19" applyBorder="1"/>
    <xf numFmtId="0" fontId="34" fillId="0" borderId="0" xfId="19" applyFont="1" applyFill="1" applyAlignment="1">
      <alignment vertical="center" wrapText="1"/>
    </xf>
    <xf numFmtId="170" fontId="3" fillId="0" borderId="15" xfId="19" applyNumberFormat="1" applyFont="1" applyFill="1" applyBorder="1" applyAlignment="1">
      <alignment horizontal="right" vertical="top"/>
    </xf>
    <xf numFmtId="38" fontId="3" fillId="2" borderId="15" xfId="19" applyNumberFormat="1" applyFont="1" applyFill="1" applyBorder="1" applyAlignment="1">
      <alignment horizontal="right" vertical="top"/>
    </xf>
    <xf numFmtId="10" fontId="3" fillId="0" borderId="0" xfId="19" applyNumberFormat="1"/>
    <xf numFmtId="0" fontId="3" fillId="0" borderId="0" xfId="19" applyFont="1"/>
    <xf numFmtId="0" fontId="42" fillId="13" borderId="0" xfId="21" applyFont="1" applyFill="1"/>
    <xf numFmtId="0" fontId="3" fillId="0" borderId="0" xfId="19" quotePrefix="1" applyFont="1" applyAlignment="1">
      <alignment horizontal="right"/>
    </xf>
    <xf numFmtId="0" fontId="30" fillId="0" borderId="0" xfId="19" applyFont="1"/>
    <xf numFmtId="2" fontId="3" fillId="0" borderId="0" xfId="19" applyNumberFormat="1" applyFont="1"/>
    <xf numFmtId="176" fontId="3" fillId="0" borderId="0" xfId="19" applyNumberFormat="1"/>
    <xf numFmtId="177" fontId="3" fillId="0" borderId="0" xfId="19" applyNumberFormat="1"/>
    <xf numFmtId="173" fontId="3" fillId="0" borderId="0" xfId="19" applyNumberFormat="1"/>
    <xf numFmtId="167" fontId="36" fillId="0" borderId="8" xfId="19" applyNumberFormat="1" applyFont="1" applyBorder="1"/>
    <xf numFmtId="38" fontId="3" fillId="0" borderId="0" xfId="19" applyNumberFormat="1" applyFill="1" applyAlignment="1">
      <alignment horizontal="right" indent="1"/>
    </xf>
    <xf numFmtId="173" fontId="3" fillId="0" borderId="0" xfId="24" applyNumberFormat="1" applyFont="1" applyFill="1" applyAlignment="1">
      <alignment horizontal="right" indent="1"/>
    </xf>
    <xf numFmtId="0" fontId="3" fillId="0" borderId="0" xfId="19" applyAlignment="1">
      <alignment vertical="top" wrapText="1"/>
    </xf>
    <xf numFmtId="0" fontId="36" fillId="12" borderId="20" xfId="19" applyFont="1" applyFill="1" applyBorder="1" applyAlignment="1">
      <alignment horizontal="right" vertical="top" wrapText="1"/>
    </xf>
    <xf numFmtId="0" fontId="36" fillId="12" borderId="20" xfId="19" applyFont="1" applyFill="1" applyBorder="1" applyAlignment="1">
      <alignment horizontal="left" vertical="top" wrapText="1"/>
    </xf>
    <xf numFmtId="167" fontId="19" fillId="0" borderId="0" xfId="23" applyNumberFormat="1" applyFont="1" applyAlignment="1">
      <alignment vertical="top" wrapText="1"/>
    </xf>
    <xf numFmtId="178" fontId="3" fillId="0" borderId="0" xfId="19" applyNumberFormat="1"/>
    <xf numFmtId="167" fontId="36" fillId="0" borderId="0" xfId="19" applyNumberFormat="1" applyFont="1"/>
    <xf numFmtId="0" fontId="36" fillId="0" borderId="0" xfId="19" applyFont="1"/>
    <xf numFmtId="0" fontId="3" fillId="0" borderId="0" xfId="19" applyFont="1" applyAlignment="1">
      <alignment horizontal="left" indent="1"/>
    </xf>
    <xf numFmtId="9" fontId="3" fillId="0" borderId="15" xfId="22" applyFont="1" applyFill="1" applyBorder="1" applyAlignment="1">
      <alignment horizontal="right" vertical="top"/>
    </xf>
    <xf numFmtId="43" fontId="3" fillId="0" borderId="0" xfId="19" applyNumberFormat="1"/>
    <xf numFmtId="173" fontId="3" fillId="0" borderId="15" xfId="24" applyNumberFormat="1" applyFont="1" applyFill="1" applyBorder="1" applyAlignment="1">
      <alignment horizontal="right" vertical="top"/>
    </xf>
    <xf numFmtId="38" fontId="3" fillId="0" borderId="15" xfId="19" applyNumberFormat="1" applyFont="1" applyFill="1" applyBorder="1" applyAlignment="1">
      <alignment horizontal="right" vertical="top"/>
    </xf>
    <xf numFmtId="43" fontId="3" fillId="0" borderId="0" xfId="19" applyNumberFormat="1" applyFont="1"/>
    <xf numFmtId="0" fontId="3" fillId="2" borderId="15" xfId="19" applyNumberFormat="1" applyFont="1" applyFill="1" applyBorder="1" applyAlignment="1">
      <alignment horizontal="right" vertical="top"/>
    </xf>
    <xf numFmtId="38" fontId="3" fillId="0" borderId="4" xfId="19" applyNumberFormat="1" applyBorder="1"/>
    <xf numFmtId="179" fontId="36" fillId="0" borderId="8" xfId="24" applyNumberFormat="1" applyFont="1" applyFill="1" applyBorder="1" applyAlignment="1">
      <alignment horizontal="right" indent="1"/>
    </xf>
    <xf numFmtId="38" fontId="36" fillId="0" borderId="8" xfId="19" applyNumberFormat="1" applyFont="1" applyBorder="1"/>
    <xf numFmtId="38" fontId="3" fillId="0" borderId="0" xfId="19" applyNumberFormat="1"/>
    <xf numFmtId="179" fontId="3" fillId="0" borderId="0" xfId="24" applyNumberFormat="1" applyFont="1" applyFill="1" applyAlignment="1">
      <alignment horizontal="right" indent="1"/>
    </xf>
    <xf numFmtId="38" fontId="3" fillId="0" borderId="0" xfId="19" applyNumberFormat="1" applyAlignment="1">
      <alignment horizontal="center"/>
    </xf>
    <xf numFmtId="1" fontId="45" fillId="2" borderId="0" xfId="21" applyNumberFormat="1" applyFont="1" applyFill="1" applyAlignment="1">
      <alignment horizontal="center"/>
    </xf>
    <xf numFmtId="0" fontId="36" fillId="12" borderId="20" xfId="19" applyFont="1" applyFill="1" applyBorder="1" applyAlignment="1">
      <alignment horizontal="right" indent="1"/>
    </xf>
    <xf numFmtId="0" fontId="36" fillId="12" borderId="20" xfId="19" applyFont="1" applyFill="1" applyBorder="1" applyAlignment="1">
      <alignment horizontal="center"/>
    </xf>
    <xf numFmtId="0" fontId="19" fillId="0" borderId="0" xfId="21" applyFont="1" applyBorder="1" applyAlignment="1">
      <alignment vertical="center"/>
    </xf>
    <xf numFmtId="0" fontId="3" fillId="0" borderId="0" xfId="21" applyFont="1" applyBorder="1" applyAlignment="1">
      <alignment horizontal="right" vertical="center"/>
    </xf>
    <xf numFmtId="0" fontId="3" fillId="0" borderId="0" xfId="21" applyFont="1" applyBorder="1" applyAlignment="1">
      <alignment vertical="center"/>
    </xf>
    <xf numFmtId="41" fontId="3" fillId="0" borderId="0" xfId="19" applyNumberFormat="1" applyFill="1" applyBorder="1" applyAlignment="1">
      <alignment horizontal="right"/>
    </xf>
    <xf numFmtId="0" fontId="2" fillId="0" borderId="0" xfId="21" applyFill="1" applyBorder="1"/>
    <xf numFmtId="41" fontId="3" fillId="0" borderId="0" xfId="19" applyNumberFormat="1" applyFill="1" applyBorder="1"/>
    <xf numFmtId="0" fontId="3" fillId="0" borderId="0" xfId="19" applyFont="1" applyFill="1" applyBorder="1"/>
    <xf numFmtId="0" fontId="3" fillId="0" borderId="0" xfId="19" applyFont="1" applyFill="1" applyBorder="1" applyAlignment="1">
      <alignment horizontal="right"/>
    </xf>
    <xf numFmtId="0" fontId="3" fillId="0" borderId="0" xfId="19" applyFill="1" applyBorder="1"/>
    <xf numFmtId="0" fontId="41" fillId="0" borderId="0" xfId="19" applyFont="1" applyAlignment="1">
      <alignment horizontal="left" indent="1"/>
    </xf>
    <xf numFmtId="0" fontId="3" fillId="0" borderId="4" xfId="19" applyBorder="1"/>
    <xf numFmtId="178" fontId="45" fillId="2" borderId="0" xfId="21" applyNumberFormat="1" applyFont="1" applyFill="1" applyAlignment="1">
      <alignment horizontal="right" indent="1"/>
    </xf>
    <xf numFmtId="0" fontId="3" fillId="2" borderId="0" xfId="19" applyFill="1"/>
    <xf numFmtId="0" fontId="3" fillId="2" borderId="0" xfId="19" applyFont="1" applyFill="1" applyAlignment="1">
      <alignment horizontal="left" indent="1"/>
    </xf>
    <xf numFmtId="0" fontId="45" fillId="0" borderId="0" xfId="21" applyNumberFormat="1" applyFont="1" applyAlignment="1">
      <alignment horizontal="right" indent="1"/>
    </xf>
    <xf numFmtId="0" fontId="36" fillId="12" borderId="20" xfId="19" applyFont="1" applyFill="1" applyBorder="1" applyAlignment="1">
      <alignment horizontal="left" indent="1"/>
    </xf>
    <xf numFmtId="178" fontId="46" fillId="2" borderId="0" xfId="21" applyNumberFormat="1" applyFont="1" applyFill="1" applyAlignment="1">
      <alignment horizontal="right" indent="1"/>
    </xf>
    <xf numFmtId="0" fontId="3" fillId="0" borderId="8" xfId="19" applyFont="1" applyBorder="1" applyAlignment="1">
      <alignment horizontal="left"/>
    </xf>
    <xf numFmtId="0" fontId="41" fillId="0" borderId="0" xfId="19" applyFont="1"/>
    <xf numFmtId="0" fontId="3" fillId="2" borderId="0" xfId="19" applyFill="1" applyAlignment="1">
      <alignment horizontal="left" indent="1"/>
    </xf>
    <xf numFmtId="173" fontId="3" fillId="2" borderId="15" xfId="24" applyNumberFormat="1" applyFont="1" applyFill="1" applyBorder="1" applyAlignment="1">
      <alignment horizontal="right" vertical="top"/>
    </xf>
    <xf numFmtId="180" fontId="48" fillId="0" borderId="0" xfId="23" applyNumberFormat="1" applyFont="1"/>
    <xf numFmtId="167" fontId="48" fillId="0" borderId="0" xfId="23" applyNumberFormat="1" applyFont="1"/>
    <xf numFmtId="181" fontId="19" fillId="0" borderId="0" xfId="23" applyNumberFormat="1" applyFont="1"/>
    <xf numFmtId="168" fontId="19" fillId="0" borderId="0" xfId="23" applyNumberFormat="1" applyFont="1" applyFill="1" applyAlignment="1">
      <alignment horizontal="right" vertical="top"/>
    </xf>
    <xf numFmtId="167" fontId="33" fillId="0" borderId="0" xfId="23" applyNumberFormat="1" applyFont="1" applyAlignment="1">
      <alignment vertical="top"/>
    </xf>
    <xf numFmtId="182" fontId="19" fillId="0" borderId="0" xfId="23" applyNumberFormat="1" applyFont="1" applyAlignment="1">
      <alignment vertical="top"/>
    </xf>
    <xf numFmtId="167" fontId="19" fillId="0" borderId="0" xfId="23" applyNumberFormat="1" applyFont="1" applyFill="1" applyAlignment="1">
      <alignment vertical="top"/>
    </xf>
    <xf numFmtId="43" fontId="19" fillId="0" borderId="0" xfId="23" applyNumberFormat="1" applyFont="1" applyAlignment="1">
      <alignment vertical="top"/>
    </xf>
    <xf numFmtId="0" fontId="44" fillId="13" borderId="0" xfId="21" applyFont="1" applyFill="1"/>
    <xf numFmtId="43" fontId="19" fillId="0" borderId="0" xfId="23" applyNumberFormat="1" applyFont="1"/>
    <xf numFmtId="167" fontId="19" fillId="0" borderId="0" xfId="23" applyNumberFormat="1" applyFont="1" applyFill="1"/>
    <xf numFmtId="168" fontId="19" fillId="0" borderId="0" xfId="23" applyNumberFormat="1" applyFont="1" applyFill="1"/>
    <xf numFmtId="183" fontId="19" fillId="2" borderId="0" xfId="23" applyNumberFormat="1" applyFont="1" applyFill="1"/>
    <xf numFmtId="181" fontId="43" fillId="0" borderId="0" xfId="23" applyNumberFormat="1" applyFont="1"/>
    <xf numFmtId="167" fontId="43" fillId="0" borderId="0" xfId="23" applyNumberFormat="1" applyFont="1"/>
    <xf numFmtId="167" fontId="19" fillId="0" borderId="0" xfId="23" applyNumberFormat="1" applyFont="1" applyAlignment="1">
      <alignment horizontal="right"/>
    </xf>
    <xf numFmtId="167" fontId="19" fillId="2" borderId="0" xfId="23" applyNumberFormat="1" applyFont="1" applyFill="1"/>
    <xf numFmtId="168" fontId="19" fillId="11" borderId="0" xfId="23" applyNumberFormat="1" applyFont="1" applyFill="1"/>
    <xf numFmtId="168" fontId="19" fillId="0" borderId="0" xfId="23" applyNumberFormat="1" applyFont="1" applyFill="1" applyAlignment="1">
      <alignment vertical="top"/>
    </xf>
    <xf numFmtId="181" fontId="19" fillId="16" borderId="0" xfId="23" applyNumberFormat="1" applyFont="1" applyFill="1"/>
    <xf numFmtId="184" fontId="19" fillId="0" borderId="0" xfId="23" applyNumberFormat="1" applyFont="1" applyFill="1" applyAlignment="1">
      <alignment vertical="top"/>
    </xf>
    <xf numFmtId="167" fontId="19" fillId="16" borderId="0" xfId="23" applyNumberFormat="1" applyFont="1" applyFill="1" applyAlignment="1">
      <alignment vertical="top"/>
    </xf>
    <xf numFmtId="167" fontId="50" fillId="0" borderId="0" xfId="23" applyNumberFormat="1" applyFont="1"/>
    <xf numFmtId="0" fontId="19" fillId="15" borderId="0" xfId="23" applyNumberFormat="1" applyFont="1" applyFill="1"/>
    <xf numFmtId="184" fontId="23" fillId="13" borderId="0" xfId="23" applyNumberFormat="1" applyFont="1" applyFill="1" applyAlignment="1">
      <alignment horizontal="centerContinuous" vertical="top"/>
    </xf>
    <xf numFmtId="184" fontId="47" fillId="13" borderId="0" xfId="23" applyNumberFormat="1" applyFont="1" applyFill="1" applyAlignment="1">
      <alignment horizontal="left" vertical="top"/>
    </xf>
    <xf numFmtId="43" fontId="19" fillId="16" borderId="0" xfId="23" applyNumberFormat="1" applyFont="1" applyFill="1" applyAlignment="1">
      <alignment vertical="top"/>
    </xf>
    <xf numFmtId="0" fontId="51" fillId="13" borderId="0" xfId="21" applyFont="1" applyFill="1"/>
    <xf numFmtId="1" fontId="19" fillId="0" borderId="0" xfId="21" applyNumberFormat="1" applyFont="1" applyBorder="1" applyAlignment="1">
      <alignment vertical="center"/>
    </xf>
    <xf numFmtId="0" fontId="52" fillId="0" borderId="0" xfId="21" applyFont="1" applyBorder="1" applyAlignment="1">
      <alignment vertical="center"/>
    </xf>
    <xf numFmtId="0" fontId="19" fillId="2" borderId="3" xfId="21" applyFont="1" applyFill="1" applyBorder="1" applyAlignment="1">
      <alignment vertical="center"/>
    </xf>
    <xf numFmtId="0" fontId="19" fillId="0" borderId="0" xfId="21" applyFont="1" applyBorder="1" applyAlignment="1">
      <alignment horizontal="right" vertical="center"/>
    </xf>
    <xf numFmtId="0" fontId="3" fillId="0" borderId="20" xfId="21" applyFont="1" applyBorder="1" applyAlignment="1">
      <alignment vertical="center"/>
    </xf>
    <xf numFmtId="0" fontId="53" fillId="17" borderId="0" xfId="21" applyFont="1" applyFill="1" applyBorder="1" applyAlignment="1">
      <alignment horizontal="right" vertical="center"/>
    </xf>
    <xf numFmtId="0" fontId="53" fillId="17" borderId="0" xfId="21" applyFont="1" applyFill="1" applyBorder="1" applyAlignment="1">
      <alignment vertical="center"/>
    </xf>
    <xf numFmtId="0" fontId="26" fillId="0" borderId="0" xfId="46"/>
    <xf numFmtId="0" fontId="26" fillId="0" borderId="0" xfId="46" applyAlignment="1">
      <alignment horizontal="right"/>
    </xf>
    <xf numFmtId="167" fontId="26" fillId="0" borderId="0" xfId="25" applyNumberFormat="1" applyFont="1" applyAlignment="1">
      <alignment horizontal="right"/>
    </xf>
    <xf numFmtId="167" fontId="26" fillId="0" borderId="8" xfId="25" applyNumberFormat="1" applyFont="1" applyBorder="1" applyAlignment="1">
      <alignment horizontal="right"/>
    </xf>
    <xf numFmtId="0" fontId="26" fillId="0" borderId="8" xfId="46" applyBorder="1"/>
    <xf numFmtId="38" fontId="36" fillId="0" borderId="8" xfId="19" applyNumberFormat="1" applyFont="1" applyBorder="1" applyAlignment="1">
      <alignment horizontal="center"/>
    </xf>
    <xf numFmtId="167" fontId="19" fillId="0" borderId="0" xfId="0" applyNumberFormat="1" applyFont="1" applyAlignment="1">
      <alignment horizontal="right"/>
    </xf>
    <xf numFmtId="3" fontId="19" fillId="0" borderId="0" xfId="0" applyNumberFormat="1" applyFont="1" applyAlignment="1">
      <alignment horizontal="right"/>
    </xf>
    <xf numFmtId="43" fontId="21" fillId="7" borderId="0" xfId="9" applyNumberFormat="1" applyFont="1" applyFill="1"/>
    <xf numFmtId="185" fontId="0" fillId="0" borderId="0" xfId="0" applyNumberFormat="1"/>
    <xf numFmtId="0" fontId="26" fillId="0" borderId="0" xfId="46"/>
    <xf numFmtId="167" fontId="24" fillId="0" borderId="12" xfId="2" applyNumberFormat="1" applyFont="1" applyFill="1" applyBorder="1" applyAlignment="1">
      <protection locked="0"/>
    </xf>
    <xf numFmtId="167" fontId="24" fillId="0" borderId="10" xfId="2" applyNumberFormat="1" applyFont="1" applyFill="1" applyBorder="1" applyAlignment="1">
      <protection locked="0"/>
    </xf>
    <xf numFmtId="167" fontId="24" fillId="0" borderId="14" xfId="2" applyNumberFormat="1" applyFont="1" applyFill="1" applyBorder="1" applyAlignment="1">
      <protection locked="0"/>
    </xf>
    <xf numFmtId="166" fontId="18" fillId="18" borderId="0" xfId="17" applyFont="1" applyFill="1"/>
    <xf numFmtId="166" fontId="18" fillId="18" borderId="0" xfId="17" applyFont="1" applyFill="1" applyAlignment="1">
      <alignment horizontal="right"/>
    </xf>
    <xf numFmtId="0" fontId="19" fillId="18" borderId="0" xfId="0" applyFont="1" applyFill="1"/>
    <xf numFmtId="166" fontId="20" fillId="18" borderId="0" xfId="18" applyFont="1" applyFill="1"/>
    <xf numFmtId="166" fontId="20" fillId="18" borderId="0" xfId="18" applyFont="1" applyFill="1" applyAlignment="1">
      <alignment horizontal="right"/>
    </xf>
    <xf numFmtId="38" fontId="19" fillId="7" borderId="15" xfId="19" applyNumberFormat="1" applyFont="1" applyFill="1" applyBorder="1" applyAlignment="1">
      <alignment horizontal="right" vertical="top"/>
    </xf>
    <xf numFmtId="167" fontId="3" fillId="0" borderId="0" xfId="25" applyNumberFormat="1" applyFont="1" applyFill="1"/>
    <xf numFmtId="0" fontId="32" fillId="0" borderId="0" xfId="46" applyFont="1"/>
    <xf numFmtId="0" fontId="36" fillId="0" borderId="0" xfId="21" applyFont="1" applyBorder="1" applyAlignment="1">
      <alignment vertical="center"/>
    </xf>
    <xf numFmtId="0" fontId="36" fillId="0" borderId="0" xfId="21" applyFont="1" applyBorder="1" applyAlignment="1">
      <alignment horizontal="right" vertical="center"/>
    </xf>
    <xf numFmtId="0" fontId="36" fillId="0" borderId="20" xfId="21" applyFont="1" applyBorder="1" applyAlignment="1">
      <alignment horizontal="right" vertical="center"/>
    </xf>
    <xf numFmtId="0" fontId="26" fillId="0" borderId="4" xfId="46" applyBorder="1"/>
    <xf numFmtId="167" fontId="26" fillId="0" borderId="4" xfId="25" applyNumberFormat="1" applyFont="1" applyBorder="1" applyAlignment="1">
      <alignment horizontal="right"/>
    </xf>
    <xf numFmtId="41" fontId="2" fillId="0" borderId="32" xfId="21" applyNumberFormat="1" applyFont="1" applyFill="1" applyBorder="1" applyAlignment="1">
      <alignment horizontal="right" vertical="top"/>
    </xf>
    <xf numFmtId="41" fontId="2" fillId="0" borderId="27" xfId="21" applyNumberFormat="1" applyFont="1" applyFill="1" applyBorder="1" applyAlignment="1">
      <alignment horizontal="right" vertical="top"/>
    </xf>
    <xf numFmtId="41" fontId="2" fillId="0" borderId="25" xfId="21" applyNumberFormat="1" applyFont="1" applyFill="1" applyBorder="1" applyAlignment="1">
      <alignment horizontal="right" vertical="top"/>
    </xf>
    <xf numFmtId="41" fontId="2" fillId="0" borderId="26" xfId="21" applyNumberFormat="1" applyFont="1" applyFill="1" applyBorder="1" applyAlignment="1">
      <alignment horizontal="right" vertical="top"/>
    </xf>
    <xf numFmtId="41" fontId="2" fillId="0" borderId="38" xfId="21" applyNumberFormat="1" applyFont="1" applyFill="1" applyBorder="1" applyAlignment="1">
      <alignment horizontal="right" vertical="top"/>
    </xf>
    <xf numFmtId="41" fontId="2" fillId="0" borderId="39" xfId="21" applyNumberFormat="1" applyFont="1" applyFill="1" applyBorder="1" applyAlignment="1">
      <alignment horizontal="right" vertical="top"/>
    </xf>
    <xf numFmtId="41" fontId="2" fillId="0" borderId="40" xfId="21" applyNumberFormat="1" applyFont="1" applyFill="1" applyBorder="1" applyAlignment="1">
      <alignment horizontal="right" vertical="top"/>
    </xf>
    <xf numFmtId="41" fontId="2" fillId="0" borderId="41" xfId="21" applyNumberFormat="1" applyFont="1" applyFill="1" applyBorder="1" applyAlignment="1">
      <alignment horizontal="right" vertical="top"/>
    </xf>
    <xf numFmtId="41" fontId="2" fillId="0" borderId="42" xfId="21" applyNumberFormat="1" applyFont="1" applyFill="1" applyBorder="1" applyAlignment="1">
      <alignment horizontal="right" vertical="top"/>
    </xf>
    <xf numFmtId="41" fontId="2" fillId="0" borderId="43" xfId="21" applyNumberFormat="1" applyFont="1" applyFill="1" applyBorder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center"/>
    </xf>
    <xf numFmtId="49" fontId="28" fillId="6" borderId="0" xfId="12" applyNumberFormat="1" applyFont="1" applyBorder="1" applyAlignment="1">
      <alignment horizontal="centerContinuous" vertical="center"/>
    </xf>
    <xf numFmtId="0" fontId="1" fillId="0" borderId="0" xfId="0" applyFont="1" applyBorder="1"/>
    <xf numFmtId="169" fontId="31" fillId="6" borderId="0" xfId="12" applyNumberFormat="1" applyFont="1" applyBorder="1" applyAlignment="1">
      <alignment horizontal="right" vertical="center" wrapText="1"/>
    </xf>
    <xf numFmtId="0" fontId="1" fillId="0" borderId="0" xfId="0" applyFont="1" applyFill="1"/>
    <xf numFmtId="0" fontId="1" fillId="0" borderId="19" xfId="0" applyFont="1" applyBorder="1"/>
    <xf numFmtId="3" fontId="1" fillId="0" borderId="19" xfId="0" applyNumberFormat="1" applyFont="1" applyBorder="1"/>
    <xf numFmtId="0" fontId="1" fillId="0" borderId="19" xfId="0" applyFont="1" applyBorder="1" applyAlignment="1">
      <alignment horizontal="center"/>
    </xf>
    <xf numFmtId="43" fontId="1" fillId="0" borderId="19" xfId="20" applyFont="1" applyBorder="1"/>
    <xf numFmtId="6" fontId="1" fillId="0" borderId="19" xfId="0" applyNumberFormat="1" applyFont="1" applyBorder="1"/>
    <xf numFmtId="41" fontId="1" fillId="0" borderId="19" xfId="0" applyNumberFormat="1" applyFont="1" applyBorder="1"/>
    <xf numFmtId="0" fontId="1" fillId="0" borderId="19" xfId="0" applyFont="1" applyFill="1" applyBorder="1"/>
    <xf numFmtId="41" fontId="1" fillId="0" borderId="19" xfId="0" applyNumberFormat="1" applyFont="1" applyFill="1" applyBorder="1"/>
    <xf numFmtId="170" fontId="3" fillId="2" borderId="15" xfId="19" applyNumberFormat="1" applyFont="1" applyFill="1" applyBorder="1" applyAlignment="1">
      <alignment horizontal="right" vertical="top"/>
    </xf>
    <xf numFmtId="49" fontId="3" fillId="0" borderId="0" xfId="25" applyNumberFormat="1" applyFont="1" applyFill="1" applyAlignment="1">
      <alignment horizontal="left" indent="1"/>
    </xf>
    <xf numFmtId="0" fontId="36" fillId="12" borderId="20" xfId="19" applyFont="1" applyFill="1" applyBorder="1" applyAlignment="1">
      <alignment horizontal="center" vertical="top" wrapText="1"/>
    </xf>
    <xf numFmtId="38" fontId="3" fillId="0" borderId="0" xfId="19" applyNumberFormat="1" applyFill="1" applyAlignment="1">
      <alignment horizontal="center"/>
    </xf>
    <xf numFmtId="1" fontId="36" fillId="0" borderId="8" xfId="24" applyNumberFormat="1" applyFont="1" applyBorder="1" applyAlignment="1">
      <alignment horizontal="center" vertical="center"/>
    </xf>
    <xf numFmtId="3" fontId="3" fillId="0" borderId="0" xfId="19" applyNumberFormat="1"/>
    <xf numFmtId="186" fontId="3" fillId="0" borderId="0" xfId="19" applyNumberFormat="1"/>
    <xf numFmtId="187" fontId="36" fillId="0" borderId="8" xfId="24" applyNumberFormat="1" applyFont="1" applyBorder="1"/>
    <xf numFmtId="167" fontId="24" fillId="2" borderId="10" xfId="2" applyNumberFormat="1" applyFont="1" applyFill="1" applyBorder="1" applyAlignment="1">
      <protection locked="0"/>
    </xf>
    <xf numFmtId="167" fontId="24" fillId="2" borderId="1" xfId="2" applyNumberFormat="1" applyFont="1" applyFill="1" applyAlignment="1">
      <protection locked="0"/>
    </xf>
    <xf numFmtId="166" fontId="56" fillId="18" borderId="0" xfId="18" applyFont="1" applyFill="1"/>
    <xf numFmtId="0" fontId="42" fillId="0" borderId="0" xfId="21" applyFont="1" applyFill="1"/>
    <xf numFmtId="6" fontId="39" fillId="0" borderId="0" xfId="19" quotePrefix="1" applyNumberFormat="1" applyFont="1" applyFill="1"/>
    <xf numFmtId="0" fontId="31" fillId="0" borderId="0" xfId="19" applyFont="1" applyFill="1"/>
    <xf numFmtId="0" fontId="3" fillId="0" borderId="0" xfId="19" applyFill="1"/>
    <xf numFmtId="0" fontId="30" fillId="0" borderId="0" xfId="19" applyFont="1" applyFill="1"/>
    <xf numFmtId="0" fontId="3" fillId="0" borderId="0" xfId="19" quotePrefix="1" applyFont="1" applyFill="1" applyAlignment="1">
      <alignment horizontal="right"/>
    </xf>
    <xf numFmtId="3" fontId="3" fillId="2" borderId="0" xfId="19" applyNumberFormat="1" applyFill="1" applyAlignment="1">
      <alignment horizontal="right" indent="1"/>
    </xf>
    <xf numFmtId="167" fontId="32" fillId="0" borderId="0" xfId="25" applyNumberFormat="1" applyFont="1" applyAlignment="1">
      <alignment horizontal="right"/>
    </xf>
    <xf numFmtId="167" fontId="32" fillId="0" borderId="4" xfId="25" applyNumberFormat="1" applyFont="1" applyBorder="1" applyAlignment="1">
      <alignment horizontal="right"/>
    </xf>
    <xf numFmtId="167" fontId="32" fillId="0" borderId="8" xfId="25" applyNumberFormat="1" applyFont="1" applyBorder="1" applyAlignment="1">
      <alignment horizontal="right"/>
    </xf>
    <xf numFmtId="0" fontId="32" fillId="0" borderId="8" xfId="46" applyFont="1" applyBorder="1"/>
    <xf numFmtId="0" fontId="57" fillId="18" borderId="0" xfId="46" applyFont="1" applyFill="1"/>
    <xf numFmtId="0" fontId="58" fillId="18" borderId="0" xfId="46" applyNumberFormat="1" applyFont="1" applyFill="1" applyAlignment="1">
      <alignment horizontal="right"/>
    </xf>
    <xf numFmtId="0" fontId="57" fillId="18" borderId="0" xfId="46" applyFont="1" applyFill="1" applyAlignment="1">
      <alignment horizontal="right"/>
    </xf>
    <xf numFmtId="0" fontId="58" fillId="18" borderId="0" xfId="46" applyFont="1" applyFill="1" applyAlignment="1">
      <alignment horizontal="right"/>
    </xf>
    <xf numFmtId="0" fontId="36" fillId="12" borderId="7" xfId="19" applyFont="1" applyFill="1" applyBorder="1" applyAlignment="1">
      <alignment horizontal="center"/>
    </xf>
    <xf numFmtId="0" fontId="36" fillId="12" borderId="9" xfId="19" applyFont="1" applyFill="1" applyBorder="1" applyAlignment="1">
      <alignment horizontal="center"/>
    </xf>
  </cellXfs>
  <cellStyles count="47">
    <cellStyle name="Base_Input" xfId="13" xr:uid="{00000000-0005-0000-0000-000000000000}"/>
    <cellStyle name="Comma" xfId="20" builtinId="3"/>
    <cellStyle name="Comma [0] 2" xfId="3" xr:uid="{00000000-0005-0000-0000-000002000000}"/>
    <cellStyle name="Comma 2" xfId="25" xr:uid="{0593AD6A-1AE6-455E-9FFF-98B849622DAA}"/>
    <cellStyle name="Comma 2 2" xfId="23" xr:uid="{72FB2C9E-9F96-4F7A-8B50-5519F4280AA2}"/>
    <cellStyle name="Currency 2" xfId="24" xr:uid="{277E57AD-DA4F-485C-999A-7500C253E5B9}"/>
    <cellStyle name="Empty_Cell" xfId="10" xr:uid="{00000000-0005-0000-0000-000003000000}"/>
    <cellStyle name="Explanatory Text" xfId="1" builtinId="53" customBuiltin="1"/>
    <cellStyle name="Flag" xfId="4" xr:uid="{00000000-0005-0000-0000-000005000000}"/>
    <cellStyle name="Header1" xfId="17" xr:uid="{00000000-0005-0000-0000-000006000000}"/>
    <cellStyle name="Header1A" xfId="18" xr:uid="{00000000-0005-0000-0000-000007000000}"/>
    <cellStyle name="Header2" xfId="15" xr:uid="{00000000-0005-0000-0000-000008000000}"/>
    <cellStyle name="Header3" xfId="5" xr:uid="{00000000-0005-0000-0000-000009000000}"/>
    <cellStyle name="Header4" xfId="16" xr:uid="{00000000-0005-0000-0000-00000A000000}"/>
    <cellStyle name="Insheet" xfId="6" xr:uid="{00000000-0005-0000-0000-00000B000000}"/>
    <cellStyle name="Line_SubTotal" xfId="7" xr:uid="{00000000-0005-0000-0000-00000C000000}"/>
    <cellStyle name="Line_Summary" xfId="8" xr:uid="{00000000-0005-0000-0000-00000D000000}"/>
    <cellStyle name="Normal" xfId="0" builtinId="0" customBuiltin="1"/>
    <cellStyle name="Normal 10" xfId="9" xr:uid="{00000000-0005-0000-0000-00000F000000}"/>
    <cellStyle name="Normal 10 2" xfId="27" xr:uid="{92612D9F-0DA6-42B9-BEBB-D64D40DEDF36}"/>
    <cellStyle name="Normal 11" xfId="26" xr:uid="{90128F76-42BD-44E0-92AA-F65DD42DBAE5}"/>
    <cellStyle name="Normal 111" xfId="31" xr:uid="{4123C3BA-4DE6-46FE-8610-C1B9751795E2}"/>
    <cellStyle name="Normal 112" xfId="32" xr:uid="{C9FD64E6-A937-463C-90F5-698EE64ABC99}"/>
    <cellStyle name="Normal 120" xfId="44" xr:uid="{F7AF0D51-2F70-4CCF-8908-F67FABA4B977}"/>
    <cellStyle name="Normal 121" xfId="45" xr:uid="{473BC3B7-2326-45B9-B4F1-74C619D29B8D}"/>
    <cellStyle name="Normal 126" xfId="35" xr:uid="{39113875-1757-4B03-BEE1-DBC4710B0FBB}"/>
    <cellStyle name="Normal 127" xfId="36" xr:uid="{545845B8-93E3-4541-9621-5D9F499640FB}"/>
    <cellStyle name="Normal 133" xfId="38" xr:uid="{B47742B8-A233-401C-940E-AFA53268AAC0}"/>
    <cellStyle name="Normal 134" xfId="39" xr:uid="{F36C5D0D-45F6-402A-B693-54587A2E3F9B}"/>
    <cellStyle name="Normal 135" xfId="42" xr:uid="{A3F4F01C-00DB-49E3-AAE8-2828EA0C84FD}"/>
    <cellStyle name="Normal 136" xfId="43" xr:uid="{6ADCCC8C-18D7-479A-BE58-9E065775FC07}"/>
    <cellStyle name="Normal 139" xfId="40" xr:uid="{25A460C8-2276-4DB9-9809-5B4013171D51}"/>
    <cellStyle name="Normal 140" xfId="41" xr:uid="{BA15FF17-12E0-4816-A3E3-317B610FFAA0}"/>
    <cellStyle name="Normal 141" xfId="28" xr:uid="{4173E331-D5B2-4D41-865B-5421C50FCAFD}"/>
    <cellStyle name="Normal 142" xfId="29" xr:uid="{5EF2BAC0-19AA-4D23-886A-29D38E833B49}"/>
    <cellStyle name="Normal 152" xfId="37" xr:uid="{FE468072-471D-401D-A2D6-CD1567F26159}"/>
    <cellStyle name="Normal 2" xfId="21" xr:uid="{D83331A4-9A4A-48A4-96DE-E12A4FA743A9}"/>
    <cellStyle name="Normal 2 2" xfId="19" xr:uid="{00000000-0005-0000-0000-000010000000}"/>
    <cellStyle name="Normal 2 3" xfId="46" xr:uid="{194080C2-2E0A-43AA-B040-E925F1477BB4}"/>
    <cellStyle name="Normal 2 4" xfId="34" xr:uid="{8AE5E708-A631-4686-8F08-8B3CA073F196}"/>
    <cellStyle name="Normal 42 4" xfId="33" xr:uid="{D2568E50-F5A0-4061-BA2A-073918320597}"/>
    <cellStyle name="Normal 52 4" xfId="30" xr:uid="{B2978917-B0FF-4821-8820-5108D94A56B9}"/>
    <cellStyle name="Offsheet" xfId="11" xr:uid="{00000000-0005-0000-0000-000011000000}"/>
    <cellStyle name="Percent 2" xfId="22" xr:uid="{C0D4D4DC-DBCE-4698-AA45-57647F3C2710}"/>
    <cellStyle name="Table_Heading" xfId="12" xr:uid="{00000000-0005-0000-0000-000012000000}"/>
    <cellStyle name="Unit" xfId="14" xr:uid="{00000000-0005-0000-0000-000013000000}"/>
    <cellStyle name="User_Input_Actual" xfId="2" xr:uid="{00000000-0005-0000-0000-000014000000}"/>
  </cellStyles>
  <dxfs count="1">
    <dxf>
      <font>
        <b/>
        <i val="0"/>
        <strike val="0"/>
        <color rgb="FF92D050"/>
      </font>
    </dxf>
  </dxfs>
  <tableStyles count="0" defaultTableStyle="TableStyleMedium2" defaultPivotStyle="PivotStyleMedium9"/>
  <colors>
    <mruColors>
      <color rgb="FFFFFFCC"/>
      <color rgb="FFFF99FF"/>
      <color rgb="FF66FFFF"/>
      <color rgb="FFFF33CC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2%20Final%20Regulatory%20Proposal/1%20CitiPower/5%20Models/02%20Public/01%20SCS/CP%20MOD%2010.07%20-%20Accelerated%20depreciation%20-%20Jan%202020%20-%20Publi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apex/Supporting/PAL%20MOD%206.15%20-%20REFCL%20T3%20depreciation%20-%20Aug2019%20-%20Public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apex/Supporting/PAL%20MOD%206.13%20-%20REFCL%20T3%20cost%20-%20Aug2019%20-%20Publ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Output"/>
      <sheetName val="AccelDepn"/>
    </sheetNames>
    <sheetDataSet>
      <sheetData sheetId="0">
        <row r="12">
          <cell r="I12">
            <v>1.0810468188716866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tion_Depn"/>
      <sheetName val="SA_summary"/>
      <sheetName val="SA_info"/>
      <sheetName val="ACR_info"/>
    </sheetNames>
    <sheetDataSet>
      <sheetData sheetId="0">
        <row r="63">
          <cell r="N63">
            <v>2.3903207939562146</v>
          </cell>
          <cell r="O63">
            <v>2.3903207939562146</v>
          </cell>
          <cell r="P63">
            <v>2.3903207939562146</v>
          </cell>
          <cell r="Q63">
            <v>2.3903207939562146</v>
          </cell>
          <cell r="R63">
            <v>0</v>
          </cell>
        </row>
      </sheetData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s"/>
      <sheetName val="PTRM_inputs"/>
      <sheetName val="Calcs_for_PTRM"/>
      <sheetName val="Year_Summary"/>
      <sheetName val="Cost_Summary"/>
      <sheetName val="Project_inputs"/>
      <sheetName val="Asset_groups"/>
      <sheetName val="ART_volumes"/>
      <sheetName val="CRO_volumes"/>
      <sheetName val="HTN_volumes"/>
      <sheetName val="KRT_volumes"/>
      <sheetName val="MBN_volumes"/>
      <sheetName val="STL_volumes"/>
      <sheetName val="TRG_volumes"/>
      <sheetName val="ART_cost"/>
      <sheetName val="CRO_cost"/>
      <sheetName val="HTN_cost"/>
      <sheetName val="KRT_cost"/>
      <sheetName val="MBN_cost"/>
      <sheetName val="STL_cost"/>
      <sheetName val="TRG_cost"/>
      <sheetName val="Tot_cost"/>
      <sheetName val="Total_CY"/>
      <sheetName val="Total_FY"/>
      <sheetName val="Labour_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K18">
            <v>406</v>
          </cell>
        </row>
        <row r="19">
          <cell r="K19">
            <v>347</v>
          </cell>
        </row>
        <row r="20">
          <cell r="K20">
            <v>1</v>
          </cell>
        </row>
        <row r="21">
          <cell r="K21">
            <v>0</v>
          </cell>
        </row>
        <row r="22">
          <cell r="K22">
            <v>19</v>
          </cell>
        </row>
        <row r="23">
          <cell r="K23">
            <v>17</v>
          </cell>
        </row>
        <row r="24">
          <cell r="K24">
            <v>44</v>
          </cell>
        </row>
        <row r="25">
          <cell r="K25">
            <v>35</v>
          </cell>
        </row>
        <row r="26">
          <cell r="K26">
            <v>1</v>
          </cell>
        </row>
        <row r="27">
          <cell r="K27">
            <v>2</v>
          </cell>
        </row>
        <row r="28">
          <cell r="K28">
            <v>8</v>
          </cell>
        </row>
        <row r="29">
          <cell r="K29">
            <v>1448</v>
          </cell>
        </row>
      </sheetData>
      <sheetData sheetId="8">
        <row r="18">
          <cell r="K18">
            <v>92</v>
          </cell>
        </row>
        <row r="19">
          <cell r="K19">
            <v>889</v>
          </cell>
        </row>
        <row r="20">
          <cell r="K20">
            <v>3</v>
          </cell>
        </row>
        <row r="21">
          <cell r="K21">
            <v>4</v>
          </cell>
        </row>
        <row r="22">
          <cell r="K22">
            <v>2</v>
          </cell>
        </row>
        <row r="23">
          <cell r="K23">
            <v>20</v>
          </cell>
        </row>
        <row r="24">
          <cell r="K24">
            <v>20</v>
          </cell>
        </row>
        <row r="25">
          <cell r="K25">
            <v>18</v>
          </cell>
        </row>
        <row r="26">
          <cell r="K26">
            <v>0</v>
          </cell>
        </row>
        <row r="27">
          <cell r="K27">
            <v>1</v>
          </cell>
        </row>
        <row r="28">
          <cell r="K28">
            <v>20</v>
          </cell>
        </row>
        <row r="29">
          <cell r="K29">
            <v>1181</v>
          </cell>
        </row>
      </sheetData>
      <sheetData sheetId="9">
        <row r="18">
          <cell r="K18">
            <v>369</v>
          </cell>
        </row>
        <row r="19">
          <cell r="K19">
            <v>265</v>
          </cell>
        </row>
        <row r="20">
          <cell r="K20">
            <v>6</v>
          </cell>
        </row>
        <row r="21">
          <cell r="K21">
            <v>1</v>
          </cell>
        </row>
        <row r="22">
          <cell r="K22">
            <v>18</v>
          </cell>
        </row>
        <row r="23">
          <cell r="K23">
            <v>27</v>
          </cell>
        </row>
        <row r="24">
          <cell r="K24">
            <v>50</v>
          </cell>
        </row>
        <row r="25">
          <cell r="K25">
            <v>33</v>
          </cell>
        </row>
        <row r="26">
          <cell r="K26">
            <v>1</v>
          </cell>
        </row>
        <row r="27">
          <cell r="K27">
            <v>1</v>
          </cell>
        </row>
        <row r="28">
          <cell r="K28">
            <v>12</v>
          </cell>
        </row>
        <row r="29">
          <cell r="K29">
            <v>702</v>
          </cell>
        </row>
      </sheetData>
      <sheetData sheetId="10">
        <row r="18">
          <cell r="K18">
            <v>341</v>
          </cell>
        </row>
        <row r="19">
          <cell r="K19">
            <v>553</v>
          </cell>
        </row>
        <row r="20">
          <cell r="K20">
            <v>3</v>
          </cell>
        </row>
        <row r="21">
          <cell r="K21">
            <v>3</v>
          </cell>
        </row>
        <row r="22">
          <cell r="K22">
            <v>10</v>
          </cell>
        </row>
        <row r="23">
          <cell r="K23">
            <v>22</v>
          </cell>
        </row>
        <row r="24">
          <cell r="K24">
            <v>49</v>
          </cell>
        </row>
        <row r="25">
          <cell r="K25">
            <v>25</v>
          </cell>
        </row>
        <row r="26">
          <cell r="K26">
            <v>3</v>
          </cell>
        </row>
        <row r="27">
          <cell r="K27">
            <v>0</v>
          </cell>
        </row>
        <row r="28">
          <cell r="K28">
            <v>9</v>
          </cell>
        </row>
        <row r="29">
          <cell r="K29">
            <v>674</v>
          </cell>
        </row>
      </sheetData>
      <sheetData sheetId="11">
        <row r="18">
          <cell r="K18">
            <v>148</v>
          </cell>
        </row>
        <row r="19">
          <cell r="K19">
            <v>1040</v>
          </cell>
        </row>
        <row r="20">
          <cell r="K20">
            <v>1</v>
          </cell>
        </row>
        <row r="21">
          <cell r="K21">
            <v>2</v>
          </cell>
        </row>
        <row r="22">
          <cell r="K22">
            <v>2</v>
          </cell>
        </row>
        <row r="23">
          <cell r="K23">
            <v>11</v>
          </cell>
        </row>
        <row r="24">
          <cell r="K24">
            <v>10</v>
          </cell>
        </row>
        <row r="25">
          <cell r="K25">
            <v>18</v>
          </cell>
        </row>
        <row r="26">
          <cell r="K26">
            <v>1</v>
          </cell>
        </row>
        <row r="27">
          <cell r="K27">
            <v>1</v>
          </cell>
        </row>
        <row r="28">
          <cell r="K28">
            <v>30</v>
          </cell>
        </row>
        <row r="29">
          <cell r="K29">
            <v>4176</v>
          </cell>
        </row>
      </sheetData>
      <sheetData sheetId="12">
        <row r="18">
          <cell r="K18">
            <v>184</v>
          </cell>
        </row>
        <row r="19">
          <cell r="K19">
            <v>249</v>
          </cell>
        </row>
        <row r="20">
          <cell r="K20">
            <v>1</v>
          </cell>
        </row>
        <row r="21">
          <cell r="K21">
            <v>7</v>
          </cell>
        </row>
        <row r="22">
          <cell r="K22">
            <v>4</v>
          </cell>
        </row>
        <row r="23">
          <cell r="K23">
            <v>17</v>
          </cell>
        </row>
        <row r="24">
          <cell r="K24">
            <v>30</v>
          </cell>
        </row>
        <row r="25">
          <cell r="K25">
            <v>39</v>
          </cell>
        </row>
        <row r="26">
          <cell r="K26">
            <v>1</v>
          </cell>
        </row>
        <row r="27">
          <cell r="K27">
            <v>2</v>
          </cell>
        </row>
        <row r="28">
          <cell r="K28">
            <v>9</v>
          </cell>
        </row>
        <row r="29">
          <cell r="K29">
            <v>164</v>
          </cell>
        </row>
      </sheetData>
      <sheetData sheetId="13">
        <row r="18">
          <cell r="K18">
            <v>556</v>
          </cell>
        </row>
        <row r="19">
          <cell r="K19">
            <v>517</v>
          </cell>
        </row>
        <row r="20">
          <cell r="K20">
            <v>5</v>
          </cell>
        </row>
        <row r="21">
          <cell r="K21">
            <v>5</v>
          </cell>
        </row>
        <row r="22">
          <cell r="K22">
            <v>16</v>
          </cell>
        </row>
        <row r="23">
          <cell r="K23">
            <v>25</v>
          </cell>
        </row>
        <row r="24">
          <cell r="K24">
            <v>70</v>
          </cell>
        </row>
        <row r="25">
          <cell r="K25">
            <v>39</v>
          </cell>
        </row>
        <row r="26">
          <cell r="K26">
            <v>3</v>
          </cell>
        </row>
        <row r="27">
          <cell r="K27">
            <v>0</v>
          </cell>
        </row>
        <row r="28">
          <cell r="K28">
            <v>8</v>
          </cell>
        </row>
        <row r="29">
          <cell r="K29">
            <v>290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>
        <row r="18">
          <cell r="AU18">
            <v>5189018.7757089604</v>
          </cell>
        </row>
        <row r="19">
          <cell r="AU19">
            <v>10115387.109408228</v>
          </cell>
        </row>
        <row r="20">
          <cell r="AU20">
            <v>1163087.2482184868</v>
          </cell>
        </row>
        <row r="21">
          <cell r="AU21">
            <v>565235.44252020365</v>
          </cell>
        </row>
        <row r="22">
          <cell r="AU22">
            <v>2553799.3961102539</v>
          </cell>
        </row>
        <row r="23">
          <cell r="AU23">
            <v>4167778.0490392405</v>
          </cell>
        </row>
        <row r="24">
          <cell r="AU24">
            <v>670992.36232963158</v>
          </cell>
        </row>
        <row r="25">
          <cell r="AU25">
            <v>3364226.780925429</v>
          </cell>
        </row>
        <row r="26">
          <cell r="AU26">
            <v>222119.58403691914</v>
          </cell>
        </row>
        <row r="27">
          <cell r="AU27">
            <v>1733334.8230117378</v>
          </cell>
        </row>
        <row r="28">
          <cell r="AU28">
            <v>9274943.9999999572</v>
          </cell>
        </row>
        <row r="29">
          <cell r="AU29">
            <v>3669007.7099820492</v>
          </cell>
        </row>
      </sheetData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DD562-4D49-4D32-917A-08DF658B3206}">
  <sheetPr codeName="Sheet1"/>
  <dimension ref="A1:BF14"/>
  <sheetViews>
    <sheetView showGridLines="0" zoomScale="85" zoomScaleNormal="85" workbookViewId="0"/>
  </sheetViews>
  <sheetFormatPr defaultRowHeight="12.75" x14ac:dyDescent="0.2"/>
  <cols>
    <col min="2" max="2" width="16.125" customWidth="1"/>
  </cols>
  <sheetData>
    <row r="1" spans="1:58" s="1" customFormat="1" ht="18.75" x14ac:dyDescent="0.3">
      <c r="A1" s="249" t="str">
        <f>Output!A1</f>
        <v>PAL Accelerated depreciation</v>
      </c>
      <c r="B1" s="249"/>
      <c r="C1" s="249"/>
      <c r="D1" s="249"/>
      <c r="E1" s="249"/>
      <c r="F1" s="249"/>
      <c r="G1" s="250"/>
      <c r="H1" s="250"/>
      <c r="I1" s="250"/>
      <c r="J1" s="250"/>
      <c r="K1" s="250"/>
      <c r="L1" s="250"/>
      <c r="M1" s="249"/>
      <c r="N1" s="249"/>
      <c r="O1" s="249"/>
      <c r="P1" s="249"/>
      <c r="Q1" s="249"/>
      <c r="R1" s="249"/>
      <c r="S1" s="249"/>
      <c r="T1" s="249"/>
      <c r="U1" s="251"/>
      <c r="V1" s="251"/>
      <c r="W1" s="251"/>
      <c r="X1" s="251"/>
      <c r="Y1" s="251"/>
      <c r="Z1" s="251"/>
      <c r="AA1" s="251"/>
      <c r="AB1" s="251"/>
      <c r="AC1" s="251"/>
      <c r="AD1" s="251"/>
      <c r="AE1" s="251"/>
      <c r="AF1" s="251"/>
      <c r="AG1" s="251"/>
      <c r="AH1" s="251"/>
      <c r="AI1" s="251"/>
      <c r="AJ1" s="251"/>
      <c r="AK1" s="251"/>
      <c r="AL1" s="251"/>
      <c r="AM1" s="251"/>
      <c r="AN1" s="251"/>
      <c r="AO1" s="251"/>
      <c r="AP1" s="251"/>
      <c r="AQ1" s="251"/>
      <c r="AR1" s="251"/>
      <c r="AS1" s="251"/>
      <c r="AT1" s="251"/>
      <c r="AU1" s="251"/>
      <c r="AV1" s="251"/>
      <c r="AW1" s="251"/>
      <c r="AX1" s="251"/>
      <c r="AY1" s="251"/>
      <c r="AZ1" s="251"/>
      <c r="BA1" s="251"/>
      <c r="BB1" s="251"/>
      <c r="BC1" s="251"/>
      <c r="BD1" s="251"/>
      <c r="BE1" s="251"/>
      <c r="BF1" s="251"/>
    </row>
    <row r="2" spans="1:58" s="1" customFormat="1" ht="15.75" x14ac:dyDescent="0.25">
      <c r="A2" s="252" t="str">
        <f ca="1">RIGHT(CELL("filename", $A$1), LEN(CELL("filename", $A$1)) - SEARCH("]", CELL("filename", $A$1)))</f>
        <v>Assumptions</v>
      </c>
      <c r="B2" s="252"/>
      <c r="C2" s="252"/>
      <c r="D2" s="252"/>
      <c r="E2" s="252"/>
      <c r="F2" s="252"/>
      <c r="G2" s="253"/>
      <c r="H2" s="253"/>
      <c r="I2" s="253"/>
      <c r="J2" s="253"/>
      <c r="K2" s="253"/>
      <c r="L2" s="253"/>
      <c r="M2" s="252"/>
      <c r="N2" s="252"/>
      <c r="O2" s="252"/>
      <c r="P2" s="252"/>
      <c r="Q2" s="252"/>
      <c r="R2" s="252"/>
      <c r="S2" s="252"/>
      <c r="T2" s="252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  <c r="AH2" s="251"/>
      <c r="AI2" s="251"/>
      <c r="AJ2" s="251"/>
      <c r="AK2" s="251"/>
      <c r="AL2" s="251"/>
      <c r="AM2" s="251"/>
      <c r="AN2" s="251"/>
      <c r="AO2" s="251"/>
      <c r="AP2" s="251"/>
      <c r="AQ2" s="251"/>
      <c r="AR2" s="251"/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F2" s="251"/>
    </row>
    <row r="4" spans="1:58" x14ac:dyDescent="0.2">
      <c r="A4" s="45"/>
      <c r="B4" s="45"/>
      <c r="C4" s="45"/>
      <c r="D4" s="45"/>
      <c r="E4" s="45"/>
      <c r="F4" s="45"/>
      <c r="G4" s="45"/>
      <c r="H4" s="45"/>
    </row>
    <row r="5" spans="1:58" x14ac:dyDescent="0.2">
      <c r="A5" s="3"/>
      <c r="B5" s="3" t="s">
        <v>2</v>
      </c>
      <c r="C5" s="46">
        <v>51</v>
      </c>
      <c r="D5" s="47"/>
      <c r="E5" s="47"/>
      <c r="F5" s="47"/>
      <c r="G5" s="47"/>
      <c r="H5" s="47"/>
    </row>
    <row r="6" spans="1:58" x14ac:dyDescent="0.2">
      <c r="A6" s="3"/>
      <c r="B6" s="3" t="s">
        <v>8</v>
      </c>
      <c r="C6" s="46">
        <v>15</v>
      </c>
      <c r="D6" s="47"/>
      <c r="E6" s="47"/>
      <c r="F6" s="47"/>
      <c r="G6" s="47"/>
      <c r="H6" s="47"/>
    </row>
    <row r="7" spans="1:58" x14ac:dyDescent="0.2">
      <c r="A7" s="3"/>
      <c r="B7" s="3" t="s">
        <v>9</v>
      </c>
      <c r="C7" s="48"/>
      <c r="D7" s="47"/>
      <c r="E7" s="47"/>
      <c r="F7" s="47"/>
      <c r="G7" s="47"/>
      <c r="H7" s="47"/>
    </row>
    <row r="8" spans="1:58" x14ac:dyDescent="0.2">
      <c r="A8" s="45"/>
      <c r="B8" s="45"/>
      <c r="C8" s="45"/>
      <c r="D8" s="45"/>
      <c r="E8" s="45"/>
      <c r="F8" s="45"/>
      <c r="G8" s="45"/>
      <c r="H8" s="45"/>
    </row>
    <row r="10" spans="1:58" x14ac:dyDescent="0.2">
      <c r="B10" s="39" t="s">
        <v>20</v>
      </c>
      <c r="C10" s="40">
        <v>2011</v>
      </c>
      <c r="D10" s="40">
        <v>2012</v>
      </c>
      <c r="E10" s="40">
        <v>2013</v>
      </c>
      <c r="F10" s="40">
        <v>2014</v>
      </c>
      <c r="G10" s="40">
        <v>2015</v>
      </c>
      <c r="H10" s="40">
        <v>2016</v>
      </c>
      <c r="I10" s="40">
        <v>2017</v>
      </c>
      <c r="J10" s="40">
        <v>2018</v>
      </c>
      <c r="K10" s="40">
        <v>2019</v>
      </c>
      <c r="L10" s="40">
        <v>2020</v>
      </c>
      <c r="M10" s="40">
        <v>2021</v>
      </c>
    </row>
    <row r="11" spans="1:58" x14ac:dyDescent="0.2">
      <c r="B11" s="41" t="s">
        <v>21</v>
      </c>
      <c r="C11" s="42">
        <v>3.5490605427975108E-2</v>
      </c>
      <c r="D11" s="42">
        <v>1.2096774193548487E-2</v>
      </c>
      <c r="E11" s="42">
        <v>2.3904382470119501E-2</v>
      </c>
      <c r="F11" s="42">
        <v>3.0155642023346418E-2</v>
      </c>
      <c r="G11" s="42">
        <v>1.5108593012275628E-2</v>
      </c>
      <c r="H11" s="42">
        <v>1.0232558139534831E-2</v>
      </c>
      <c r="I11" s="42">
        <v>1.9337016574585641E-2</v>
      </c>
      <c r="J11" s="42">
        <v>2.0776874435411097E-2</v>
      </c>
      <c r="K11" s="42">
        <v>1.5929203539823078E-2</v>
      </c>
      <c r="L11" s="42">
        <v>2.000000000000024E-2</v>
      </c>
      <c r="M11" s="42">
        <v>2.1998043050963867E-2</v>
      </c>
    </row>
    <row r="12" spans="1:58" x14ac:dyDescent="0.2">
      <c r="B12" s="41" t="s">
        <v>22</v>
      </c>
      <c r="C12" s="43">
        <f t="shared" ref="C12:K12" si="0">D12*(1+D11)</f>
        <v>1.2063697867852392</v>
      </c>
      <c r="D12" s="43">
        <f t="shared" si="0"/>
        <v>1.1919510243933837</v>
      </c>
      <c r="E12" s="43">
        <f t="shared" si="0"/>
        <v>1.1641233740184409</v>
      </c>
      <c r="F12" s="43">
        <f t="shared" si="0"/>
        <v>1.1300461081123296</v>
      </c>
      <c r="G12" s="43">
        <f t="shared" si="0"/>
        <v>1.1132268172008903</v>
      </c>
      <c r="H12" s="43">
        <f t="shared" si="0"/>
        <v>1.1019510391261116</v>
      </c>
      <c r="I12" s="43">
        <f t="shared" si="0"/>
        <v>1.0810468188716866</v>
      </c>
      <c r="J12" s="43">
        <f t="shared" si="0"/>
        <v>1.0590432110539443</v>
      </c>
      <c r="K12" s="43">
        <f t="shared" si="0"/>
        <v>1.0424380039119834</v>
      </c>
      <c r="L12" s="43">
        <f>M12*(1+M11)</f>
        <v>1.0219980430509639</v>
      </c>
      <c r="M12" s="44">
        <v>1</v>
      </c>
    </row>
    <row r="14" spans="1:58" x14ac:dyDescent="0.2">
      <c r="B14" s="38" t="s">
        <v>191</v>
      </c>
      <c r="D14" s="14">
        <f>G12</f>
        <v>1.1132268172008903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F6DBD-9710-44F8-9B23-840DC1F6FC95}">
  <sheetPr codeName="Sheet12">
    <pageSetUpPr fitToPage="1"/>
  </sheetPr>
  <dimension ref="A1:CP67"/>
  <sheetViews>
    <sheetView showGridLines="0" zoomScale="85" zoomScaleNormal="85" workbookViewId="0">
      <selection activeCell="J50" sqref="J50"/>
    </sheetView>
  </sheetViews>
  <sheetFormatPr defaultColWidth="8" defaultRowHeight="12.75" x14ac:dyDescent="0.2"/>
  <cols>
    <col min="1" max="1" width="2.375" style="115" customWidth="1"/>
    <col min="2" max="2" width="3.875" style="115" customWidth="1"/>
    <col min="3" max="3" width="44.875" style="115" customWidth="1"/>
    <col min="4" max="4" width="12" style="115" customWidth="1"/>
    <col min="5" max="5" width="11.75" style="115" customWidth="1"/>
    <col min="6" max="6" width="11.25" style="115" customWidth="1"/>
    <col min="7" max="7" width="9.5" style="115" customWidth="1"/>
    <col min="8" max="62" width="10.625" style="115" customWidth="1"/>
    <col min="63" max="63" width="15" style="115" customWidth="1"/>
    <col min="64" max="64" width="10.5" style="115" customWidth="1"/>
    <col min="65" max="65" width="7.375" style="115" customWidth="1"/>
    <col min="66" max="70" width="10.625" style="115" customWidth="1"/>
    <col min="71" max="16384" width="8" style="115"/>
  </cols>
  <sheetData>
    <row r="1" spans="1:94" ht="18.75" x14ac:dyDescent="0.3">
      <c r="A1" s="146" t="s">
        <v>172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</row>
    <row r="2" spans="1:94" s="222" customFormat="1" ht="21" x14ac:dyDescent="0.35">
      <c r="A2" s="146" t="s">
        <v>171</v>
      </c>
      <c r="B2" s="112"/>
      <c r="C2" s="112"/>
      <c r="D2" s="112"/>
      <c r="E2" s="113"/>
      <c r="F2" s="113"/>
      <c r="G2" s="112"/>
      <c r="H2" s="227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  <c r="BB2" s="112"/>
      <c r="BC2" s="112"/>
      <c r="BD2" s="112"/>
      <c r="BE2" s="112"/>
      <c r="BF2" s="112"/>
      <c r="BG2" s="112"/>
      <c r="BH2" s="112"/>
      <c r="BI2" s="112"/>
      <c r="BJ2" s="112"/>
    </row>
    <row r="3" spans="1:94" s="222" customFormat="1" ht="21" x14ac:dyDescent="0.35">
      <c r="A3" s="146"/>
      <c r="B3" s="112"/>
      <c r="C3" s="112"/>
      <c r="D3" s="112"/>
      <c r="E3" s="113"/>
      <c r="F3" s="113"/>
      <c r="G3" s="112"/>
      <c r="H3" s="227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</row>
    <row r="4" spans="1:94" s="116" customFormat="1" x14ac:dyDescent="0.2">
      <c r="B4" s="205"/>
      <c r="C4" s="218"/>
      <c r="D4" s="218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2"/>
      <c r="AF4" s="202"/>
      <c r="AG4" s="202"/>
      <c r="AH4" s="202"/>
      <c r="AI4" s="202"/>
      <c r="AJ4" s="202"/>
      <c r="AK4" s="202"/>
      <c r="AL4" s="202"/>
      <c r="AM4" s="202"/>
      <c r="AN4" s="202"/>
      <c r="AO4" s="202"/>
      <c r="AP4" s="202"/>
      <c r="AQ4" s="202"/>
      <c r="AR4" s="202"/>
      <c r="AS4" s="202"/>
      <c r="AT4" s="202"/>
      <c r="AU4" s="202"/>
      <c r="AV4" s="202"/>
      <c r="AW4" s="202"/>
      <c r="AX4" s="202"/>
      <c r="AY4" s="202"/>
      <c r="AZ4" s="202"/>
      <c r="BA4" s="202"/>
      <c r="BB4" s="202"/>
      <c r="BC4" s="202"/>
      <c r="BD4" s="202"/>
      <c r="BE4" s="202"/>
      <c r="BF4" s="202"/>
      <c r="BG4" s="202"/>
      <c r="BH4" s="202"/>
      <c r="BI4" s="202"/>
      <c r="BJ4" s="202"/>
      <c r="BK4" s="220"/>
      <c r="BL4" s="115"/>
      <c r="BM4" s="205"/>
      <c r="BN4" s="206"/>
      <c r="BO4" s="206"/>
      <c r="BP4" s="206"/>
      <c r="BQ4" s="206"/>
      <c r="BR4" s="206"/>
      <c r="BS4" s="205"/>
      <c r="BT4" s="205"/>
      <c r="BU4" s="205"/>
      <c r="BV4" s="205"/>
      <c r="BW4" s="205"/>
      <c r="BX4" s="205"/>
      <c r="BY4" s="205"/>
      <c r="BZ4" s="205"/>
      <c r="CA4" s="205"/>
      <c r="CB4" s="205"/>
      <c r="CC4" s="205"/>
      <c r="CD4" s="205"/>
      <c r="CE4" s="205"/>
      <c r="CF4" s="205"/>
      <c r="CG4" s="205"/>
      <c r="CJ4" s="204"/>
    </row>
    <row r="5" spans="1:94" s="116" customFormat="1" x14ac:dyDescent="0.2">
      <c r="B5" s="226"/>
      <c r="C5" s="116" t="s">
        <v>170</v>
      </c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P5" s="202"/>
      <c r="AQ5" s="202"/>
      <c r="AR5" s="202"/>
      <c r="AS5" s="202"/>
      <c r="AT5" s="202"/>
      <c r="AU5" s="202"/>
      <c r="AV5" s="202"/>
      <c r="AW5" s="202"/>
      <c r="AX5" s="202"/>
      <c r="AY5" s="202"/>
      <c r="AZ5" s="202"/>
      <c r="BA5" s="202"/>
      <c r="BB5" s="202"/>
      <c r="BC5" s="202"/>
      <c r="BD5" s="202"/>
      <c r="BE5" s="202"/>
      <c r="BF5" s="202"/>
      <c r="BG5" s="202"/>
      <c r="BH5" s="202"/>
      <c r="BI5" s="202"/>
      <c r="BJ5" s="202"/>
      <c r="BK5" s="220"/>
      <c r="BL5" s="115"/>
      <c r="BM5" s="205"/>
      <c r="BN5" s="206"/>
      <c r="BO5" s="206"/>
      <c r="BP5" s="206"/>
      <c r="BQ5" s="206"/>
      <c r="BR5" s="206"/>
      <c r="BS5" s="205"/>
      <c r="BT5" s="205"/>
      <c r="BU5" s="205"/>
      <c r="BV5" s="205"/>
      <c r="BW5" s="205"/>
      <c r="BX5" s="205"/>
      <c r="BY5" s="205"/>
      <c r="BZ5" s="205"/>
      <c r="CA5" s="205"/>
      <c r="CB5" s="205"/>
      <c r="CC5" s="205"/>
      <c r="CD5" s="205"/>
      <c r="CE5" s="205"/>
      <c r="CF5" s="205"/>
      <c r="CG5" s="205"/>
      <c r="CJ5" s="204"/>
    </row>
    <row r="6" spans="1:94" s="116" customFormat="1" x14ac:dyDescent="0.2">
      <c r="B6" s="217"/>
      <c r="C6" s="116" t="s">
        <v>169</v>
      </c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P6" s="202"/>
      <c r="AQ6" s="202"/>
      <c r="AR6" s="202"/>
      <c r="AS6" s="202"/>
      <c r="AT6" s="202"/>
      <c r="AU6" s="202"/>
      <c r="AV6" s="202"/>
      <c r="AW6" s="202"/>
      <c r="AX6" s="202"/>
      <c r="AY6" s="202"/>
      <c r="AZ6" s="202"/>
      <c r="BA6" s="202"/>
      <c r="BB6" s="202"/>
      <c r="BC6" s="202"/>
      <c r="BD6" s="202"/>
      <c r="BE6" s="202"/>
      <c r="BF6" s="202"/>
      <c r="BG6" s="202"/>
      <c r="BH6" s="202"/>
      <c r="BI6" s="202"/>
      <c r="BJ6" s="202"/>
      <c r="BK6" s="220"/>
      <c r="BL6" s="115"/>
      <c r="BM6" s="205"/>
      <c r="BN6" s="206"/>
      <c r="BO6" s="206"/>
      <c r="BP6" s="206"/>
      <c r="BQ6" s="206"/>
      <c r="BR6" s="206"/>
      <c r="BS6" s="205"/>
      <c r="BT6" s="205"/>
      <c r="BU6" s="205"/>
      <c r="BV6" s="205"/>
      <c r="BW6" s="205"/>
      <c r="BX6" s="205"/>
      <c r="BY6" s="205"/>
      <c r="BZ6" s="205"/>
      <c r="CA6" s="205"/>
      <c r="CB6" s="205"/>
      <c r="CC6" s="205"/>
      <c r="CD6" s="205"/>
      <c r="CE6" s="205"/>
      <c r="CF6" s="205"/>
      <c r="CG6" s="205"/>
      <c r="CJ6" s="204"/>
    </row>
    <row r="7" spans="1:94" s="116" customFormat="1" x14ac:dyDescent="0.2">
      <c r="B7" s="205"/>
      <c r="C7" s="218"/>
      <c r="D7" s="218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2"/>
      <c r="AD7" s="202"/>
      <c r="AE7" s="202"/>
      <c r="AF7" s="202"/>
      <c r="AG7" s="202"/>
      <c r="AH7" s="202"/>
      <c r="AI7" s="202"/>
      <c r="AJ7" s="202"/>
      <c r="AK7" s="202"/>
      <c r="AL7" s="202"/>
      <c r="AM7" s="202"/>
      <c r="AN7" s="202"/>
      <c r="AO7" s="202"/>
      <c r="AP7" s="202"/>
      <c r="AQ7" s="202"/>
      <c r="AR7" s="202"/>
      <c r="AS7" s="202"/>
      <c r="AT7" s="202"/>
      <c r="AU7" s="202"/>
      <c r="AV7" s="202"/>
      <c r="AW7" s="202"/>
      <c r="AX7" s="202"/>
      <c r="AY7" s="202"/>
      <c r="AZ7" s="202"/>
      <c r="BA7" s="202"/>
      <c r="BB7" s="202"/>
      <c r="BC7" s="202"/>
      <c r="BD7" s="202"/>
      <c r="BE7" s="202"/>
      <c r="BF7" s="202"/>
      <c r="BG7" s="202"/>
      <c r="BH7" s="202"/>
      <c r="BI7" s="202"/>
      <c r="BJ7" s="202"/>
      <c r="BK7" s="220"/>
      <c r="BL7" s="115"/>
      <c r="BM7" s="205"/>
      <c r="BN7" s="206"/>
      <c r="BO7" s="206"/>
      <c r="BP7" s="206"/>
      <c r="BQ7" s="206"/>
      <c r="BR7" s="206"/>
      <c r="BS7" s="205"/>
      <c r="BT7" s="205"/>
      <c r="BU7" s="205"/>
      <c r="BV7" s="205"/>
      <c r="BW7" s="205"/>
      <c r="BX7" s="205"/>
      <c r="BY7" s="205"/>
      <c r="BZ7" s="205"/>
      <c r="CA7" s="205"/>
      <c r="CB7" s="205"/>
      <c r="CC7" s="205"/>
      <c r="CD7" s="205"/>
      <c r="CE7" s="205"/>
      <c r="CF7" s="205"/>
      <c r="CG7" s="205"/>
      <c r="CJ7" s="204"/>
    </row>
    <row r="8" spans="1:94" s="222" customFormat="1" ht="18.75" x14ac:dyDescent="0.3">
      <c r="A8" s="225"/>
      <c r="B8" s="225"/>
      <c r="C8" s="225"/>
      <c r="D8" s="225"/>
      <c r="E8" s="225"/>
      <c r="F8" s="225"/>
      <c r="G8" s="225"/>
      <c r="H8" s="225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4"/>
      <c r="AK8" s="224"/>
      <c r="AL8" s="224"/>
      <c r="AM8" s="224"/>
      <c r="AN8" s="224"/>
      <c r="AO8" s="224"/>
      <c r="AP8" s="224"/>
      <c r="AQ8" s="224"/>
      <c r="AR8" s="224"/>
      <c r="AS8" s="224"/>
      <c r="AT8" s="224"/>
      <c r="AU8" s="224"/>
      <c r="AV8" s="224"/>
      <c r="AW8" s="224"/>
      <c r="AX8" s="224"/>
      <c r="AY8" s="224"/>
      <c r="AZ8" s="224"/>
      <c r="BA8" s="224"/>
      <c r="BB8" s="224"/>
      <c r="BC8" s="224"/>
      <c r="BD8" s="224"/>
      <c r="BE8" s="224"/>
      <c r="BF8" s="224"/>
      <c r="BG8" s="224"/>
      <c r="BH8" s="224"/>
      <c r="BI8" s="224"/>
      <c r="BJ8" s="224"/>
      <c r="BK8" s="220"/>
      <c r="BL8" s="115"/>
      <c r="BM8" s="218"/>
      <c r="BN8" s="220"/>
      <c r="BO8" s="220"/>
      <c r="BP8" s="220"/>
      <c r="BQ8" s="220"/>
    </row>
    <row r="9" spans="1:94" ht="18.75" x14ac:dyDescent="0.3">
      <c r="A9" s="223"/>
      <c r="B9" s="223"/>
      <c r="C9" s="223"/>
      <c r="D9" s="223"/>
      <c r="E9" s="223"/>
      <c r="F9" s="223"/>
      <c r="G9" s="223"/>
      <c r="H9" s="223">
        <v>2016</v>
      </c>
      <c r="I9" s="223">
        <v>2017</v>
      </c>
      <c r="J9" s="223">
        <v>2018</v>
      </c>
      <c r="K9" s="223">
        <v>2019</v>
      </c>
      <c r="L9" s="223">
        <v>2020</v>
      </c>
      <c r="M9" s="223">
        <v>2021</v>
      </c>
      <c r="N9" s="223">
        <v>2022</v>
      </c>
      <c r="O9" s="223">
        <v>2023</v>
      </c>
      <c r="P9" s="223">
        <v>2024</v>
      </c>
      <c r="Q9" s="223">
        <v>2025</v>
      </c>
      <c r="R9" s="223">
        <v>2026</v>
      </c>
      <c r="S9" s="223">
        <v>2027</v>
      </c>
      <c r="T9" s="223">
        <v>2028</v>
      </c>
      <c r="U9" s="223">
        <v>2029</v>
      </c>
      <c r="V9" s="223">
        <v>2030</v>
      </c>
      <c r="W9" s="223">
        <v>2031</v>
      </c>
      <c r="X9" s="223">
        <v>2032</v>
      </c>
      <c r="Y9" s="223">
        <v>2033</v>
      </c>
      <c r="Z9" s="223">
        <v>2034</v>
      </c>
      <c r="AA9" s="223">
        <v>2035</v>
      </c>
      <c r="AB9" s="223">
        <v>2036</v>
      </c>
      <c r="AC9" s="223">
        <v>2037</v>
      </c>
      <c r="AD9" s="223">
        <v>2038</v>
      </c>
      <c r="AE9" s="223">
        <v>2039</v>
      </c>
      <c r="AF9" s="223">
        <v>2040</v>
      </c>
      <c r="AG9" s="223">
        <v>2041</v>
      </c>
      <c r="AH9" s="223">
        <v>2042</v>
      </c>
      <c r="AI9" s="223">
        <v>2043</v>
      </c>
      <c r="AJ9" s="223">
        <v>2044</v>
      </c>
      <c r="AK9" s="223">
        <v>2045</v>
      </c>
      <c r="AL9" s="223">
        <v>2046</v>
      </c>
      <c r="AM9" s="223">
        <v>2047</v>
      </c>
      <c r="AN9" s="223">
        <v>2048</v>
      </c>
      <c r="AO9" s="223">
        <v>2049</v>
      </c>
      <c r="AP9" s="223">
        <v>2050</v>
      </c>
      <c r="AQ9" s="223">
        <v>2051</v>
      </c>
      <c r="AR9" s="223">
        <v>2052</v>
      </c>
      <c r="AS9" s="223">
        <v>2053</v>
      </c>
      <c r="AT9" s="223">
        <v>2054</v>
      </c>
      <c r="AU9" s="223">
        <v>2055</v>
      </c>
      <c r="AV9" s="223">
        <v>2056</v>
      </c>
      <c r="AW9" s="223">
        <v>2057</v>
      </c>
      <c r="AX9" s="223">
        <v>2058</v>
      </c>
      <c r="AY9" s="223">
        <v>2059</v>
      </c>
      <c r="AZ9" s="223">
        <v>2060</v>
      </c>
      <c r="BA9" s="223">
        <v>2061</v>
      </c>
      <c r="BB9" s="223">
        <v>2062</v>
      </c>
      <c r="BC9" s="223">
        <v>2063</v>
      </c>
      <c r="BD9" s="223">
        <v>2064</v>
      </c>
      <c r="BE9" s="223">
        <v>2065</v>
      </c>
      <c r="BF9" s="223">
        <v>2066</v>
      </c>
      <c r="BG9" s="223">
        <v>2067</v>
      </c>
      <c r="BH9" s="223">
        <v>2068</v>
      </c>
      <c r="BI9" s="223">
        <v>2069</v>
      </c>
      <c r="BJ9" s="223">
        <v>2070</v>
      </c>
      <c r="BK9" s="220"/>
      <c r="BM9" s="218"/>
      <c r="BN9" s="220"/>
      <c r="BO9" s="220"/>
      <c r="BP9" s="220"/>
      <c r="BQ9" s="220"/>
      <c r="BR9" s="222"/>
      <c r="BS9" s="222"/>
      <c r="BT9" s="222"/>
      <c r="BU9" s="222"/>
      <c r="BV9" s="222"/>
      <c r="BW9" s="222"/>
      <c r="BX9" s="222"/>
      <c r="BY9" s="222"/>
      <c r="BZ9" s="222"/>
      <c r="CA9" s="222"/>
      <c r="CB9" s="222"/>
      <c r="CC9" s="222"/>
      <c r="CD9" s="222"/>
      <c r="CE9" s="222"/>
      <c r="CF9" s="222"/>
      <c r="CG9" s="222"/>
      <c r="CH9" s="222"/>
      <c r="CI9" s="222"/>
      <c r="CJ9" s="222"/>
      <c r="CK9" s="222"/>
      <c r="CL9" s="222"/>
      <c r="CM9" s="222"/>
      <c r="CN9" s="222"/>
      <c r="CO9" s="222"/>
      <c r="CP9" s="222"/>
    </row>
    <row r="10" spans="1:94" s="116" customFormat="1" x14ac:dyDescent="0.2">
      <c r="B10" s="205"/>
      <c r="C10" s="218"/>
      <c r="D10" s="218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02"/>
      <c r="V10" s="202"/>
      <c r="W10" s="202"/>
      <c r="X10" s="202"/>
      <c r="Y10" s="202"/>
      <c r="Z10" s="202"/>
      <c r="AA10" s="202"/>
      <c r="AB10" s="202"/>
      <c r="AC10" s="202"/>
      <c r="AD10" s="202"/>
      <c r="AE10" s="202"/>
      <c r="AF10" s="202"/>
      <c r="AG10" s="202"/>
      <c r="AH10" s="202"/>
      <c r="AI10" s="202"/>
      <c r="AJ10" s="202"/>
      <c r="AK10" s="202"/>
      <c r="AL10" s="202"/>
      <c r="AM10" s="202"/>
      <c r="AN10" s="202"/>
      <c r="AO10" s="202"/>
      <c r="AP10" s="202"/>
      <c r="AQ10" s="202"/>
      <c r="AR10" s="202"/>
      <c r="AS10" s="202"/>
      <c r="AT10" s="202"/>
      <c r="AU10" s="202"/>
      <c r="AV10" s="202"/>
      <c r="AW10" s="202"/>
      <c r="AX10" s="202"/>
      <c r="AY10" s="202"/>
      <c r="AZ10" s="202"/>
      <c r="BA10" s="202"/>
      <c r="BB10" s="202"/>
      <c r="BC10" s="202"/>
      <c r="BD10" s="202"/>
      <c r="BE10" s="202"/>
      <c r="BF10" s="202"/>
      <c r="BG10" s="202"/>
      <c r="BH10" s="202"/>
      <c r="BI10" s="202"/>
      <c r="BJ10" s="202"/>
      <c r="BK10" s="220"/>
      <c r="BL10" s="115"/>
      <c r="BM10" s="205"/>
      <c r="BN10" s="206"/>
      <c r="BO10" s="206"/>
      <c r="BP10" s="206"/>
      <c r="BQ10" s="206"/>
      <c r="BR10" s="206"/>
      <c r="BS10" s="205"/>
      <c r="BT10" s="205"/>
      <c r="BU10" s="205"/>
      <c r="BV10" s="205"/>
      <c r="BW10" s="205"/>
      <c r="BX10" s="205"/>
      <c r="BY10" s="205"/>
      <c r="BZ10" s="205"/>
      <c r="CA10" s="205"/>
      <c r="CB10" s="205"/>
      <c r="CC10" s="205"/>
      <c r="CD10" s="205"/>
      <c r="CE10" s="205"/>
      <c r="CF10" s="205"/>
      <c r="CG10" s="205"/>
      <c r="CJ10" s="204"/>
    </row>
    <row r="11" spans="1:94" s="60" customFormat="1" ht="15" x14ac:dyDescent="0.25">
      <c r="A11" s="208"/>
      <c r="B11" s="109"/>
      <c r="C11" s="208" t="s">
        <v>168</v>
      </c>
      <c r="D11" s="109"/>
      <c r="E11" s="109"/>
      <c r="F11" s="107"/>
      <c r="G11" s="107"/>
      <c r="H11" s="107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</row>
    <row r="12" spans="1:94" s="116" customFormat="1" x14ac:dyDescent="0.2">
      <c r="BL12" s="115"/>
      <c r="BS12" s="205"/>
      <c r="BT12" s="205"/>
      <c r="BU12" s="205"/>
      <c r="BV12" s="205"/>
      <c r="BW12" s="205"/>
      <c r="BX12" s="205"/>
      <c r="BY12" s="205"/>
      <c r="BZ12" s="205"/>
      <c r="CA12" s="205"/>
      <c r="CB12" s="205"/>
      <c r="CC12" s="205"/>
      <c r="CD12" s="205"/>
      <c r="CE12" s="205"/>
      <c r="CF12" s="205"/>
      <c r="CG12" s="205"/>
      <c r="CJ12" s="204"/>
    </row>
    <row r="13" spans="1:94" s="116" customFormat="1" x14ac:dyDescent="0.2">
      <c r="B13" s="205"/>
      <c r="C13" s="218"/>
      <c r="D13" s="218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02"/>
      <c r="V13" s="202"/>
      <c r="W13" s="202"/>
      <c r="X13" s="202"/>
      <c r="Y13" s="202"/>
      <c r="Z13" s="202"/>
      <c r="AA13" s="202"/>
      <c r="AB13" s="202"/>
      <c r="AC13" s="202"/>
      <c r="AD13" s="202"/>
      <c r="AE13" s="202"/>
      <c r="AF13" s="202"/>
      <c r="AG13" s="202"/>
      <c r="AH13" s="202"/>
      <c r="AI13" s="202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  <c r="BA13" s="202"/>
      <c r="BB13" s="202"/>
      <c r="BC13" s="202"/>
      <c r="BD13" s="202"/>
      <c r="BE13" s="202"/>
      <c r="BF13" s="202"/>
      <c r="BG13" s="202"/>
      <c r="BH13" s="202"/>
      <c r="BI13" s="202"/>
      <c r="BJ13" s="202"/>
      <c r="BK13" s="220"/>
      <c r="BL13" s="115"/>
      <c r="BM13" s="205"/>
      <c r="BN13" s="206"/>
      <c r="BO13" s="206"/>
      <c r="BP13" s="206"/>
      <c r="BQ13" s="206"/>
      <c r="BR13" s="206"/>
      <c r="BS13" s="205"/>
      <c r="BT13" s="205"/>
      <c r="BU13" s="205"/>
      <c r="BV13" s="205"/>
      <c r="BW13" s="205"/>
      <c r="BX13" s="205"/>
      <c r="BY13" s="205"/>
      <c r="BZ13" s="205"/>
      <c r="CA13" s="205"/>
      <c r="CB13" s="205"/>
      <c r="CC13" s="205"/>
      <c r="CD13" s="205"/>
      <c r="CE13" s="205"/>
      <c r="CF13" s="205"/>
      <c r="CG13" s="205"/>
      <c r="CJ13" s="204"/>
    </row>
    <row r="14" spans="1:94" s="116" customFormat="1" x14ac:dyDescent="0.2">
      <c r="B14" s="205"/>
      <c r="C14" s="218" t="s">
        <v>167</v>
      </c>
      <c r="D14" s="212">
        <v>2010</v>
      </c>
      <c r="G14" s="221">
        <v>25.606197014581664</v>
      </c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  <c r="AT14" s="202"/>
      <c r="AU14" s="202"/>
      <c r="AV14" s="202"/>
      <c r="AW14" s="202"/>
      <c r="AX14" s="202"/>
      <c r="AY14" s="202"/>
      <c r="AZ14" s="202"/>
      <c r="BA14" s="202"/>
      <c r="BB14" s="202"/>
      <c r="BC14" s="202"/>
      <c r="BD14" s="202"/>
      <c r="BE14" s="202"/>
      <c r="BF14" s="202"/>
      <c r="BG14" s="202"/>
      <c r="BH14" s="202"/>
      <c r="BI14" s="202"/>
      <c r="BJ14" s="202"/>
      <c r="BK14" s="220"/>
      <c r="BL14" s="115"/>
      <c r="BM14" s="205"/>
      <c r="BN14" s="206"/>
      <c r="BO14" s="206"/>
      <c r="BP14" s="206"/>
      <c r="BQ14" s="206"/>
      <c r="BR14" s="206"/>
      <c r="BS14" s="205"/>
      <c r="BT14" s="205"/>
      <c r="BU14" s="205"/>
      <c r="BV14" s="205"/>
      <c r="BW14" s="205"/>
      <c r="BX14" s="205"/>
      <c r="BY14" s="205"/>
      <c r="BZ14" s="205"/>
      <c r="CA14" s="205"/>
      <c r="CB14" s="205"/>
      <c r="CC14" s="205"/>
      <c r="CD14" s="205"/>
      <c r="CE14" s="205"/>
      <c r="CF14" s="205"/>
      <c r="CG14" s="205"/>
      <c r="CJ14" s="204"/>
    </row>
    <row r="15" spans="1:94" s="116" customFormat="1" x14ac:dyDescent="0.2">
      <c r="B15" s="205"/>
      <c r="C15" s="218" t="s">
        <v>167</v>
      </c>
      <c r="D15" s="212">
        <v>2018</v>
      </c>
      <c r="G15" s="116">
        <f>G14-(D15-D14)</f>
        <v>17.606197014581664</v>
      </c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202"/>
      <c r="U15" s="202"/>
      <c r="V15" s="202"/>
      <c r="W15" s="202"/>
      <c r="X15" s="202"/>
      <c r="Y15" s="202"/>
      <c r="Z15" s="202"/>
      <c r="AA15" s="202"/>
      <c r="AB15" s="202"/>
      <c r="AC15" s="202"/>
      <c r="AD15" s="202"/>
      <c r="AE15" s="202"/>
      <c r="AF15" s="202"/>
      <c r="AG15" s="202"/>
      <c r="AH15" s="202"/>
      <c r="AI15" s="202"/>
      <c r="AJ15" s="202"/>
      <c r="AK15" s="202"/>
      <c r="AL15" s="202"/>
      <c r="AM15" s="202"/>
      <c r="AN15" s="202"/>
      <c r="AO15" s="202"/>
      <c r="AP15" s="202"/>
      <c r="AQ15" s="202"/>
      <c r="AR15" s="202"/>
      <c r="AS15" s="202"/>
      <c r="AT15" s="202"/>
      <c r="AU15" s="202"/>
      <c r="AV15" s="202"/>
      <c r="AW15" s="202"/>
      <c r="AX15" s="202"/>
      <c r="AY15" s="202"/>
      <c r="AZ15" s="202"/>
      <c r="BA15" s="202"/>
      <c r="BB15" s="202"/>
      <c r="BC15" s="202"/>
      <c r="BD15" s="202"/>
      <c r="BE15" s="202"/>
      <c r="BF15" s="202"/>
      <c r="BG15" s="202"/>
      <c r="BH15" s="202"/>
      <c r="BI15" s="202"/>
      <c r="BJ15" s="202"/>
      <c r="BK15" s="220"/>
      <c r="BL15" s="115"/>
      <c r="BM15" s="205"/>
      <c r="BN15" s="206"/>
      <c r="BO15" s="206"/>
      <c r="BP15" s="206"/>
      <c r="BQ15" s="206"/>
      <c r="BR15" s="206"/>
      <c r="BS15" s="205"/>
      <c r="BT15" s="205"/>
      <c r="BU15" s="205"/>
      <c r="BV15" s="205"/>
      <c r="BW15" s="205"/>
      <c r="BX15" s="205"/>
      <c r="BY15" s="205"/>
      <c r="BZ15" s="205"/>
      <c r="CA15" s="205"/>
      <c r="CB15" s="205"/>
      <c r="CC15" s="205"/>
      <c r="CD15" s="205"/>
      <c r="CE15" s="205"/>
      <c r="CF15" s="205"/>
      <c r="CG15" s="205"/>
      <c r="CJ15" s="204"/>
    </row>
    <row r="16" spans="1:94" s="116" customFormat="1" x14ac:dyDescent="0.2">
      <c r="B16" s="205"/>
      <c r="C16" s="218"/>
      <c r="D16" s="218"/>
      <c r="H16" s="202"/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  <c r="AB16" s="202"/>
      <c r="AC16" s="202"/>
      <c r="AD16" s="202"/>
      <c r="AE16" s="202"/>
      <c r="AF16" s="202"/>
      <c r="AG16" s="202"/>
      <c r="AH16" s="202"/>
      <c r="AI16" s="202"/>
      <c r="AJ16" s="202"/>
      <c r="AK16" s="202"/>
      <c r="AL16" s="202"/>
      <c r="AM16" s="202"/>
      <c r="AN16" s="202"/>
      <c r="AO16" s="202"/>
      <c r="AP16" s="202"/>
      <c r="AQ16" s="202"/>
      <c r="AR16" s="202"/>
      <c r="AS16" s="202"/>
      <c r="AT16" s="202"/>
      <c r="AU16" s="202"/>
      <c r="AV16" s="202"/>
      <c r="AW16" s="202"/>
      <c r="AX16" s="202"/>
      <c r="AY16" s="202"/>
      <c r="AZ16" s="202"/>
      <c r="BA16" s="202"/>
      <c r="BB16" s="202"/>
      <c r="BC16" s="202"/>
      <c r="BD16" s="202"/>
      <c r="BE16" s="202"/>
      <c r="BF16" s="202"/>
      <c r="BG16" s="202"/>
      <c r="BH16" s="202"/>
      <c r="BI16" s="202"/>
      <c r="BJ16" s="202"/>
      <c r="BK16" s="220"/>
      <c r="BL16" s="115"/>
      <c r="BM16" s="205"/>
      <c r="BN16" s="206"/>
      <c r="BO16" s="206"/>
      <c r="BP16" s="206"/>
      <c r="BQ16" s="206"/>
      <c r="BR16" s="206"/>
      <c r="BS16" s="205"/>
      <c r="BT16" s="205"/>
      <c r="BU16" s="205"/>
      <c r="BV16" s="205"/>
      <c r="BW16" s="205"/>
      <c r="BX16" s="205"/>
      <c r="BY16" s="205"/>
      <c r="BZ16" s="205"/>
      <c r="CA16" s="205"/>
      <c r="CB16" s="205"/>
      <c r="CC16" s="205"/>
      <c r="CD16" s="205"/>
      <c r="CE16" s="205"/>
      <c r="CF16" s="205"/>
      <c r="CG16" s="205"/>
      <c r="CJ16" s="204"/>
    </row>
    <row r="17" spans="1:88" s="116" customFormat="1" x14ac:dyDescent="0.2">
      <c r="B17" s="205"/>
      <c r="C17" s="206" t="s">
        <v>166</v>
      </c>
      <c r="D17" s="203" t="s">
        <v>146</v>
      </c>
      <c r="H17" s="219">
        <v>95.496727552778324</v>
      </c>
      <c r="I17" s="219">
        <v>95.496727552778324</v>
      </c>
      <c r="J17" s="219">
        <v>97.135211782242408</v>
      </c>
      <c r="K17" s="219">
        <v>97.135211782242408</v>
      </c>
      <c r="L17" s="219">
        <v>97.135211782242408</v>
      </c>
      <c r="M17" s="219">
        <v>95.181759551041608</v>
      </c>
      <c r="N17" s="219">
        <v>95.181759551041608</v>
      </c>
      <c r="O17" s="219">
        <v>95.181759551041608</v>
      </c>
      <c r="P17" s="219">
        <v>95.181759551041608</v>
      </c>
      <c r="Q17" s="219">
        <v>95.181759551041608</v>
      </c>
      <c r="R17" s="219">
        <v>95.181759551041608</v>
      </c>
      <c r="S17" s="219">
        <v>95.181759551041608</v>
      </c>
      <c r="T17" s="219">
        <v>95.181759551041608</v>
      </c>
      <c r="U17" s="219">
        <v>95.181759551041608</v>
      </c>
      <c r="V17" s="219">
        <v>95.181759551041608</v>
      </c>
      <c r="W17" s="219">
        <v>95.181759551041608</v>
      </c>
      <c r="X17" s="219">
        <v>95.181759551041608</v>
      </c>
      <c r="Y17" s="219">
        <v>95.181759551041608</v>
      </c>
      <c r="Z17" s="219">
        <v>95.181759551041608</v>
      </c>
      <c r="AA17" s="219">
        <v>95.181759551041608</v>
      </c>
      <c r="AB17" s="219">
        <v>65.061955700974352</v>
      </c>
      <c r="AC17" s="219">
        <v>18.697311831400274</v>
      </c>
      <c r="AD17" s="219">
        <v>18.697311831400274</v>
      </c>
      <c r="AE17" s="219">
        <v>18.697311831400274</v>
      </c>
      <c r="AF17" s="219">
        <v>18.697311831400274</v>
      </c>
      <c r="AG17" s="219">
        <v>18.697311831400274</v>
      </c>
      <c r="AH17" s="219">
        <v>18.697311831400274</v>
      </c>
      <c r="AI17" s="219">
        <v>18.697311831400274</v>
      </c>
      <c r="AJ17" s="219">
        <v>18.697311831400274</v>
      </c>
      <c r="AK17" s="219">
        <v>18.697311831400274</v>
      </c>
      <c r="AL17" s="219">
        <v>18.697311831400274</v>
      </c>
      <c r="AM17" s="219">
        <v>18.697311831400274</v>
      </c>
      <c r="AN17" s="219">
        <v>18.697311831400274</v>
      </c>
      <c r="AO17" s="219">
        <v>18.697311831400274</v>
      </c>
      <c r="AP17" s="219">
        <v>18.697311831400274</v>
      </c>
      <c r="AQ17" s="219">
        <v>18.697311831400274</v>
      </c>
      <c r="AR17" s="219">
        <v>18.697311831400274</v>
      </c>
      <c r="AS17" s="219">
        <v>18.697311831400274</v>
      </c>
      <c r="AT17" s="219">
        <v>18.697311831400274</v>
      </c>
      <c r="AU17" s="219">
        <v>18.697311831400274</v>
      </c>
      <c r="AV17" s="219">
        <v>18.697311831400274</v>
      </c>
      <c r="AW17" s="219">
        <v>18.697311831400274</v>
      </c>
      <c r="AX17" s="219">
        <v>18.697311831400274</v>
      </c>
      <c r="AY17" s="219">
        <v>18.697311831400274</v>
      </c>
      <c r="AZ17" s="219">
        <v>18.697311831400274</v>
      </c>
      <c r="BA17" s="219">
        <v>18.697311831400274</v>
      </c>
      <c r="BB17" s="219">
        <v>18.77538988985172</v>
      </c>
      <c r="BC17" s="219">
        <v>15.64839631396217</v>
      </c>
      <c r="BD17" s="219">
        <v>11.392757868337752</v>
      </c>
      <c r="BE17" s="219">
        <v>8.2105932751082431</v>
      </c>
      <c r="BF17" s="219">
        <v>3.6048207024296559</v>
      </c>
      <c r="BG17" s="219">
        <v>0</v>
      </c>
      <c r="BH17" s="219">
        <v>0</v>
      </c>
      <c r="BI17" s="219">
        <v>0</v>
      </c>
      <c r="BJ17" s="219">
        <v>0</v>
      </c>
      <c r="BL17" s="115"/>
      <c r="BM17" s="205"/>
      <c r="BN17" s="206"/>
      <c r="BO17" s="206"/>
      <c r="BP17" s="206"/>
      <c r="BQ17" s="206"/>
      <c r="BR17" s="206"/>
      <c r="BS17" s="205"/>
      <c r="BT17" s="205"/>
      <c r="BU17" s="205"/>
      <c r="BV17" s="205"/>
      <c r="BW17" s="205"/>
      <c r="BX17" s="205"/>
      <c r="BY17" s="205"/>
      <c r="BZ17" s="205"/>
      <c r="CA17" s="205"/>
      <c r="CB17" s="205"/>
      <c r="CC17" s="205"/>
      <c r="CD17" s="205"/>
      <c r="CE17" s="205"/>
      <c r="CF17" s="205"/>
      <c r="CG17" s="205"/>
      <c r="CJ17" s="204"/>
    </row>
    <row r="18" spans="1:88" s="116" customFormat="1" x14ac:dyDescent="0.2">
      <c r="B18" s="205"/>
      <c r="C18" s="206"/>
      <c r="D18" s="218"/>
      <c r="BL18" s="115"/>
      <c r="BS18" s="205"/>
      <c r="BT18" s="205"/>
      <c r="BU18" s="205"/>
      <c r="BV18" s="205"/>
      <c r="BW18" s="205"/>
      <c r="BX18" s="205"/>
      <c r="BY18" s="205"/>
      <c r="BZ18" s="205"/>
      <c r="CA18" s="205"/>
      <c r="CB18" s="205"/>
      <c r="CC18" s="205"/>
      <c r="CD18" s="205"/>
      <c r="CE18" s="205"/>
      <c r="CF18" s="205"/>
      <c r="CG18" s="205"/>
      <c r="CJ18" s="204"/>
    </row>
    <row r="20" spans="1:88" s="60" customFormat="1" ht="15" x14ac:dyDescent="0.25">
      <c r="A20" s="208"/>
      <c r="B20" s="109"/>
      <c r="C20" s="208" t="s">
        <v>165</v>
      </c>
      <c r="D20" s="109"/>
      <c r="E20" s="109"/>
      <c r="F20" s="107"/>
      <c r="G20" s="107"/>
      <c r="H20" s="107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106"/>
      <c r="BE20" s="106"/>
      <c r="BF20" s="106"/>
      <c r="BG20" s="106"/>
      <c r="BH20" s="106"/>
      <c r="BI20" s="106"/>
      <c r="BJ20" s="106"/>
    </row>
    <row r="22" spans="1:88" x14ac:dyDescent="0.2">
      <c r="C22" s="115" t="s">
        <v>159</v>
      </c>
      <c r="G22" s="212">
        <v>2018</v>
      </c>
    </row>
    <row r="23" spans="1:88" x14ac:dyDescent="0.2">
      <c r="C23" s="115" t="s">
        <v>164</v>
      </c>
      <c r="D23" s="203" t="s">
        <v>146</v>
      </c>
      <c r="G23" s="217">
        <f>'T3 surge arrestors'!H25/1000000</f>
        <v>12.140189773552361</v>
      </c>
    </row>
    <row r="24" spans="1:88" x14ac:dyDescent="0.2">
      <c r="C24" s="115" t="s">
        <v>161</v>
      </c>
      <c r="G24" s="216">
        <v>2</v>
      </c>
    </row>
    <row r="26" spans="1:88" x14ac:dyDescent="0.2">
      <c r="C26" s="115" t="s">
        <v>157</v>
      </c>
      <c r="D26" s="203" t="s">
        <v>146</v>
      </c>
      <c r="H26" s="202">
        <f t="shared" ref="H26:AM26" si="0">G29</f>
        <v>0</v>
      </c>
      <c r="I26" s="202">
        <f t="shared" si="0"/>
        <v>0</v>
      </c>
      <c r="J26" s="202">
        <f t="shared" si="0"/>
        <v>0</v>
      </c>
      <c r="K26" s="202">
        <f t="shared" si="0"/>
        <v>12.140189773552361</v>
      </c>
      <c r="L26" s="202">
        <f t="shared" si="0"/>
        <v>6.0700948867761806</v>
      </c>
      <c r="M26" s="202">
        <f t="shared" si="0"/>
        <v>0</v>
      </c>
      <c r="N26" s="202">
        <f t="shared" si="0"/>
        <v>0</v>
      </c>
      <c r="O26" s="202">
        <f t="shared" si="0"/>
        <v>0</v>
      </c>
      <c r="P26" s="202">
        <f t="shared" si="0"/>
        <v>0</v>
      </c>
      <c r="Q26" s="202">
        <f t="shared" si="0"/>
        <v>0</v>
      </c>
      <c r="R26" s="202">
        <f t="shared" si="0"/>
        <v>0</v>
      </c>
      <c r="S26" s="202">
        <f t="shared" si="0"/>
        <v>0</v>
      </c>
      <c r="T26" s="202">
        <f t="shared" si="0"/>
        <v>0</v>
      </c>
      <c r="U26" s="202">
        <f t="shared" si="0"/>
        <v>0</v>
      </c>
      <c r="V26" s="202">
        <f t="shared" si="0"/>
        <v>0</v>
      </c>
      <c r="W26" s="202">
        <f t="shared" si="0"/>
        <v>0</v>
      </c>
      <c r="X26" s="202">
        <f t="shared" si="0"/>
        <v>0</v>
      </c>
      <c r="Y26" s="202">
        <f t="shared" si="0"/>
        <v>0</v>
      </c>
      <c r="Z26" s="202">
        <f t="shared" si="0"/>
        <v>0</v>
      </c>
      <c r="AA26" s="202">
        <f t="shared" si="0"/>
        <v>0</v>
      </c>
      <c r="AB26" s="202">
        <f t="shared" si="0"/>
        <v>0</v>
      </c>
      <c r="AC26" s="202">
        <f t="shared" si="0"/>
        <v>0</v>
      </c>
      <c r="AD26" s="202">
        <f t="shared" si="0"/>
        <v>0</v>
      </c>
      <c r="AE26" s="202">
        <f t="shared" si="0"/>
        <v>0</v>
      </c>
      <c r="AF26" s="202">
        <f t="shared" si="0"/>
        <v>0</v>
      </c>
      <c r="AG26" s="202">
        <f t="shared" si="0"/>
        <v>0</v>
      </c>
      <c r="AH26" s="202">
        <f t="shared" si="0"/>
        <v>0</v>
      </c>
      <c r="AI26" s="202">
        <f t="shared" si="0"/>
        <v>0</v>
      </c>
      <c r="AJ26" s="202">
        <f t="shared" si="0"/>
        <v>0</v>
      </c>
      <c r="AK26" s="202">
        <f t="shared" si="0"/>
        <v>0</v>
      </c>
      <c r="AL26" s="202">
        <f t="shared" si="0"/>
        <v>0</v>
      </c>
      <c r="AM26" s="202">
        <f t="shared" si="0"/>
        <v>0</v>
      </c>
      <c r="AN26" s="202">
        <f t="shared" ref="AN26:BJ26" si="1">AM29</f>
        <v>0</v>
      </c>
      <c r="AO26" s="202">
        <f t="shared" si="1"/>
        <v>0</v>
      </c>
      <c r="AP26" s="202">
        <f t="shared" si="1"/>
        <v>0</v>
      </c>
      <c r="AQ26" s="202">
        <f t="shared" si="1"/>
        <v>0</v>
      </c>
      <c r="AR26" s="202">
        <f t="shared" si="1"/>
        <v>0</v>
      </c>
      <c r="AS26" s="202">
        <f t="shared" si="1"/>
        <v>0</v>
      </c>
      <c r="AT26" s="202">
        <f t="shared" si="1"/>
        <v>0</v>
      </c>
      <c r="AU26" s="202">
        <f t="shared" si="1"/>
        <v>0</v>
      </c>
      <c r="AV26" s="202">
        <f t="shared" si="1"/>
        <v>0</v>
      </c>
      <c r="AW26" s="202">
        <f t="shared" si="1"/>
        <v>0</v>
      </c>
      <c r="AX26" s="202">
        <f t="shared" si="1"/>
        <v>0</v>
      </c>
      <c r="AY26" s="202">
        <f t="shared" si="1"/>
        <v>0</v>
      </c>
      <c r="AZ26" s="202">
        <f t="shared" si="1"/>
        <v>0</v>
      </c>
      <c r="BA26" s="202">
        <f t="shared" si="1"/>
        <v>0</v>
      </c>
      <c r="BB26" s="202">
        <f t="shared" si="1"/>
        <v>0</v>
      </c>
      <c r="BC26" s="202">
        <f t="shared" si="1"/>
        <v>0</v>
      </c>
      <c r="BD26" s="202">
        <f t="shared" si="1"/>
        <v>0</v>
      </c>
      <c r="BE26" s="202">
        <f t="shared" si="1"/>
        <v>0</v>
      </c>
      <c r="BF26" s="202">
        <f t="shared" si="1"/>
        <v>0</v>
      </c>
      <c r="BG26" s="202">
        <f t="shared" si="1"/>
        <v>0</v>
      </c>
      <c r="BH26" s="202">
        <f t="shared" si="1"/>
        <v>0</v>
      </c>
      <c r="BI26" s="202">
        <f t="shared" si="1"/>
        <v>0</v>
      </c>
      <c r="BJ26" s="202">
        <f t="shared" si="1"/>
        <v>0</v>
      </c>
    </row>
    <row r="27" spans="1:88" x14ac:dyDescent="0.2">
      <c r="C27" s="115" t="s">
        <v>156</v>
      </c>
      <c r="D27" s="203" t="s">
        <v>146</v>
      </c>
      <c r="H27" s="202">
        <f t="shared" ref="H27:AM27" si="2">IF(H$9=$G22, $G23,0)</f>
        <v>0</v>
      </c>
      <c r="I27" s="202">
        <f t="shared" si="2"/>
        <v>0</v>
      </c>
      <c r="J27" s="202">
        <f t="shared" si="2"/>
        <v>12.140189773552361</v>
      </c>
      <c r="K27" s="202">
        <f t="shared" si="2"/>
        <v>0</v>
      </c>
      <c r="L27" s="202">
        <f t="shared" si="2"/>
        <v>0</v>
      </c>
      <c r="M27" s="202">
        <f t="shared" si="2"/>
        <v>0</v>
      </c>
      <c r="N27" s="202">
        <f t="shared" si="2"/>
        <v>0</v>
      </c>
      <c r="O27" s="202">
        <f t="shared" si="2"/>
        <v>0</v>
      </c>
      <c r="P27" s="202">
        <f t="shared" si="2"/>
        <v>0</v>
      </c>
      <c r="Q27" s="202">
        <f t="shared" si="2"/>
        <v>0</v>
      </c>
      <c r="R27" s="202">
        <f t="shared" si="2"/>
        <v>0</v>
      </c>
      <c r="S27" s="202">
        <f t="shared" si="2"/>
        <v>0</v>
      </c>
      <c r="T27" s="202">
        <f t="shared" si="2"/>
        <v>0</v>
      </c>
      <c r="U27" s="202">
        <f t="shared" si="2"/>
        <v>0</v>
      </c>
      <c r="V27" s="202">
        <f t="shared" si="2"/>
        <v>0</v>
      </c>
      <c r="W27" s="202">
        <f t="shared" si="2"/>
        <v>0</v>
      </c>
      <c r="X27" s="202">
        <f t="shared" si="2"/>
        <v>0</v>
      </c>
      <c r="Y27" s="202">
        <f t="shared" si="2"/>
        <v>0</v>
      </c>
      <c r="Z27" s="202">
        <f t="shared" si="2"/>
        <v>0</v>
      </c>
      <c r="AA27" s="202">
        <f t="shared" si="2"/>
        <v>0</v>
      </c>
      <c r="AB27" s="202">
        <f t="shared" si="2"/>
        <v>0</v>
      </c>
      <c r="AC27" s="202">
        <f t="shared" si="2"/>
        <v>0</v>
      </c>
      <c r="AD27" s="202">
        <f t="shared" si="2"/>
        <v>0</v>
      </c>
      <c r="AE27" s="202">
        <f t="shared" si="2"/>
        <v>0</v>
      </c>
      <c r="AF27" s="202">
        <f t="shared" si="2"/>
        <v>0</v>
      </c>
      <c r="AG27" s="202">
        <f t="shared" si="2"/>
        <v>0</v>
      </c>
      <c r="AH27" s="202">
        <f t="shared" si="2"/>
        <v>0</v>
      </c>
      <c r="AI27" s="202">
        <f t="shared" si="2"/>
        <v>0</v>
      </c>
      <c r="AJ27" s="202">
        <f t="shared" si="2"/>
        <v>0</v>
      </c>
      <c r="AK27" s="202">
        <f t="shared" si="2"/>
        <v>0</v>
      </c>
      <c r="AL27" s="202">
        <f t="shared" si="2"/>
        <v>0</v>
      </c>
      <c r="AM27" s="202">
        <f t="shared" si="2"/>
        <v>0</v>
      </c>
      <c r="AN27" s="202">
        <f t="shared" ref="AN27:BJ27" si="3">IF(AN$9=$G22, $G23,0)</f>
        <v>0</v>
      </c>
      <c r="AO27" s="202">
        <f t="shared" si="3"/>
        <v>0</v>
      </c>
      <c r="AP27" s="202">
        <f t="shared" si="3"/>
        <v>0</v>
      </c>
      <c r="AQ27" s="202">
        <f t="shared" si="3"/>
        <v>0</v>
      </c>
      <c r="AR27" s="202">
        <f t="shared" si="3"/>
        <v>0</v>
      </c>
      <c r="AS27" s="202">
        <f t="shared" si="3"/>
        <v>0</v>
      </c>
      <c r="AT27" s="202">
        <f t="shared" si="3"/>
        <v>0</v>
      </c>
      <c r="AU27" s="202">
        <f t="shared" si="3"/>
        <v>0</v>
      </c>
      <c r="AV27" s="202">
        <f t="shared" si="3"/>
        <v>0</v>
      </c>
      <c r="AW27" s="202">
        <f t="shared" si="3"/>
        <v>0</v>
      </c>
      <c r="AX27" s="202">
        <f t="shared" si="3"/>
        <v>0</v>
      </c>
      <c r="AY27" s="202">
        <f t="shared" si="3"/>
        <v>0</v>
      </c>
      <c r="AZ27" s="202">
        <f t="shared" si="3"/>
        <v>0</v>
      </c>
      <c r="BA27" s="202">
        <f t="shared" si="3"/>
        <v>0</v>
      </c>
      <c r="BB27" s="202">
        <f t="shared" si="3"/>
        <v>0</v>
      </c>
      <c r="BC27" s="202">
        <f t="shared" si="3"/>
        <v>0</v>
      </c>
      <c r="BD27" s="202">
        <f t="shared" si="3"/>
        <v>0</v>
      </c>
      <c r="BE27" s="202">
        <f t="shared" si="3"/>
        <v>0</v>
      </c>
      <c r="BF27" s="202">
        <f t="shared" si="3"/>
        <v>0</v>
      </c>
      <c r="BG27" s="202">
        <f t="shared" si="3"/>
        <v>0</v>
      </c>
      <c r="BH27" s="202">
        <f t="shared" si="3"/>
        <v>0</v>
      </c>
      <c r="BI27" s="202">
        <f t="shared" si="3"/>
        <v>0</v>
      </c>
      <c r="BJ27" s="202">
        <f t="shared" si="3"/>
        <v>0</v>
      </c>
    </row>
    <row r="28" spans="1:88" x14ac:dyDescent="0.2">
      <c r="C28" s="115" t="s">
        <v>155</v>
      </c>
      <c r="D28" s="203" t="s">
        <v>146</v>
      </c>
      <c r="H28" s="202">
        <f t="shared" ref="H28:AM28" si="4">IF(G30=0,0,MIN(G29, G29/G30))</f>
        <v>0</v>
      </c>
      <c r="I28" s="202">
        <f t="shared" si="4"/>
        <v>0</v>
      </c>
      <c r="J28" s="202">
        <f t="shared" si="4"/>
        <v>0</v>
      </c>
      <c r="K28" s="202">
        <f t="shared" si="4"/>
        <v>6.0700948867761806</v>
      </c>
      <c r="L28" s="202">
        <f t="shared" si="4"/>
        <v>6.0700948867761806</v>
      </c>
      <c r="M28" s="202">
        <f t="shared" si="4"/>
        <v>0</v>
      </c>
      <c r="N28" s="202">
        <f t="shared" si="4"/>
        <v>0</v>
      </c>
      <c r="O28" s="202">
        <f t="shared" si="4"/>
        <v>0</v>
      </c>
      <c r="P28" s="202">
        <f t="shared" si="4"/>
        <v>0</v>
      </c>
      <c r="Q28" s="202">
        <f t="shared" si="4"/>
        <v>0</v>
      </c>
      <c r="R28" s="202">
        <f t="shared" si="4"/>
        <v>0</v>
      </c>
      <c r="S28" s="202">
        <f t="shared" si="4"/>
        <v>0</v>
      </c>
      <c r="T28" s="202">
        <f t="shared" si="4"/>
        <v>0</v>
      </c>
      <c r="U28" s="202">
        <f t="shared" si="4"/>
        <v>0</v>
      </c>
      <c r="V28" s="202">
        <f t="shared" si="4"/>
        <v>0</v>
      </c>
      <c r="W28" s="202">
        <f t="shared" si="4"/>
        <v>0</v>
      </c>
      <c r="X28" s="202">
        <f t="shared" si="4"/>
        <v>0</v>
      </c>
      <c r="Y28" s="202">
        <f t="shared" si="4"/>
        <v>0</v>
      </c>
      <c r="Z28" s="202">
        <f t="shared" si="4"/>
        <v>0</v>
      </c>
      <c r="AA28" s="202">
        <f t="shared" si="4"/>
        <v>0</v>
      </c>
      <c r="AB28" s="202">
        <f t="shared" si="4"/>
        <v>0</v>
      </c>
      <c r="AC28" s="202">
        <f t="shared" si="4"/>
        <v>0</v>
      </c>
      <c r="AD28" s="202">
        <f t="shared" si="4"/>
        <v>0</v>
      </c>
      <c r="AE28" s="202">
        <f t="shared" si="4"/>
        <v>0</v>
      </c>
      <c r="AF28" s="202">
        <f t="shared" si="4"/>
        <v>0</v>
      </c>
      <c r="AG28" s="202">
        <f t="shared" si="4"/>
        <v>0</v>
      </c>
      <c r="AH28" s="202">
        <f t="shared" si="4"/>
        <v>0</v>
      </c>
      <c r="AI28" s="202">
        <f t="shared" si="4"/>
        <v>0</v>
      </c>
      <c r="AJ28" s="202">
        <f t="shared" si="4"/>
        <v>0</v>
      </c>
      <c r="AK28" s="202">
        <f t="shared" si="4"/>
        <v>0</v>
      </c>
      <c r="AL28" s="202">
        <f t="shared" si="4"/>
        <v>0</v>
      </c>
      <c r="AM28" s="202">
        <f t="shared" si="4"/>
        <v>0</v>
      </c>
      <c r="AN28" s="202">
        <f t="shared" ref="AN28:BJ28" si="5">IF(AM30=0,0,MIN(AM29, AM29/AM30))</f>
        <v>0</v>
      </c>
      <c r="AO28" s="202">
        <f t="shared" si="5"/>
        <v>0</v>
      </c>
      <c r="AP28" s="202">
        <f t="shared" si="5"/>
        <v>0</v>
      </c>
      <c r="AQ28" s="202">
        <f t="shared" si="5"/>
        <v>0</v>
      </c>
      <c r="AR28" s="202">
        <f t="shared" si="5"/>
        <v>0</v>
      </c>
      <c r="AS28" s="202">
        <f t="shared" si="5"/>
        <v>0</v>
      </c>
      <c r="AT28" s="202">
        <f t="shared" si="5"/>
        <v>0</v>
      </c>
      <c r="AU28" s="202">
        <f t="shared" si="5"/>
        <v>0</v>
      </c>
      <c r="AV28" s="202">
        <f t="shared" si="5"/>
        <v>0</v>
      </c>
      <c r="AW28" s="202">
        <f t="shared" si="5"/>
        <v>0</v>
      </c>
      <c r="AX28" s="202">
        <f t="shared" si="5"/>
        <v>0</v>
      </c>
      <c r="AY28" s="202">
        <f t="shared" si="5"/>
        <v>0</v>
      </c>
      <c r="AZ28" s="202">
        <f t="shared" si="5"/>
        <v>0</v>
      </c>
      <c r="BA28" s="202">
        <f t="shared" si="5"/>
        <v>0</v>
      </c>
      <c r="BB28" s="202">
        <f t="shared" si="5"/>
        <v>0</v>
      </c>
      <c r="BC28" s="202">
        <f t="shared" si="5"/>
        <v>0</v>
      </c>
      <c r="BD28" s="202">
        <f t="shared" si="5"/>
        <v>0</v>
      </c>
      <c r="BE28" s="202">
        <f t="shared" si="5"/>
        <v>0</v>
      </c>
      <c r="BF28" s="202">
        <f t="shared" si="5"/>
        <v>0</v>
      </c>
      <c r="BG28" s="202">
        <f t="shared" si="5"/>
        <v>0</v>
      </c>
      <c r="BH28" s="202">
        <f t="shared" si="5"/>
        <v>0</v>
      </c>
      <c r="BI28" s="202">
        <f t="shared" si="5"/>
        <v>0</v>
      </c>
      <c r="BJ28" s="202">
        <f t="shared" si="5"/>
        <v>0</v>
      </c>
    </row>
    <row r="29" spans="1:88" x14ac:dyDescent="0.2">
      <c r="C29" s="115" t="s">
        <v>154</v>
      </c>
      <c r="D29" s="203" t="s">
        <v>146</v>
      </c>
      <c r="H29" s="202">
        <f t="shared" ref="H29:AM29" si="6">SUM(H26:H27)-H28</f>
        <v>0</v>
      </c>
      <c r="I29" s="202">
        <f t="shared" si="6"/>
        <v>0</v>
      </c>
      <c r="J29" s="202">
        <f t="shared" si="6"/>
        <v>12.140189773552361</v>
      </c>
      <c r="K29" s="202">
        <f t="shared" si="6"/>
        <v>6.0700948867761806</v>
      </c>
      <c r="L29" s="202">
        <f t="shared" si="6"/>
        <v>0</v>
      </c>
      <c r="M29" s="202">
        <f t="shared" si="6"/>
        <v>0</v>
      </c>
      <c r="N29" s="202">
        <f t="shared" si="6"/>
        <v>0</v>
      </c>
      <c r="O29" s="202">
        <f t="shared" si="6"/>
        <v>0</v>
      </c>
      <c r="P29" s="202">
        <f t="shared" si="6"/>
        <v>0</v>
      </c>
      <c r="Q29" s="202">
        <f t="shared" si="6"/>
        <v>0</v>
      </c>
      <c r="R29" s="202">
        <f t="shared" si="6"/>
        <v>0</v>
      </c>
      <c r="S29" s="202">
        <f t="shared" si="6"/>
        <v>0</v>
      </c>
      <c r="T29" s="202">
        <f t="shared" si="6"/>
        <v>0</v>
      </c>
      <c r="U29" s="202">
        <f t="shared" si="6"/>
        <v>0</v>
      </c>
      <c r="V29" s="202">
        <f t="shared" si="6"/>
        <v>0</v>
      </c>
      <c r="W29" s="202">
        <f t="shared" si="6"/>
        <v>0</v>
      </c>
      <c r="X29" s="202">
        <f t="shared" si="6"/>
        <v>0</v>
      </c>
      <c r="Y29" s="202">
        <f t="shared" si="6"/>
        <v>0</v>
      </c>
      <c r="Z29" s="202">
        <f t="shared" si="6"/>
        <v>0</v>
      </c>
      <c r="AA29" s="202">
        <f t="shared" si="6"/>
        <v>0</v>
      </c>
      <c r="AB29" s="202">
        <f t="shared" si="6"/>
        <v>0</v>
      </c>
      <c r="AC29" s="202">
        <f t="shared" si="6"/>
        <v>0</v>
      </c>
      <c r="AD29" s="202">
        <f t="shared" si="6"/>
        <v>0</v>
      </c>
      <c r="AE29" s="202">
        <f t="shared" si="6"/>
        <v>0</v>
      </c>
      <c r="AF29" s="202">
        <f t="shared" si="6"/>
        <v>0</v>
      </c>
      <c r="AG29" s="202">
        <f t="shared" si="6"/>
        <v>0</v>
      </c>
      <c r="AH29" s="202">
        <f t="shared" si="6"/>
        <v>0</v>
      </c>
      <c r="AI29" s="202">
        <f t="shared" si="6"/>
        <v>0</v>
      </c>
      <c r="AJ29" s="202">
        <f t="shared" si="6"/>
        <v>0</v>
      </c>
      <c r="AK29" s="202">
        <f t="shared" si="6"/>
        <v>0</v>
      </c>
      <c r="AL29" s="202">
        <f t="shared" si="6"/>
        <v>0</v>
      </c>
      <c r="AM29" s="202">
        <f t="shared" si="6"/>
        <v>0</v>
      </c>
      <c r="AN29" s="202">
        <f t="shared" ref="AN29:BJ29" si="7">SUM(AN26:AN27)-AN28</f>
        <v>0</v>
      </c>
      <c r="AO29" s="202">
        <f t="shared" si="7"/>
        <v>0</v>
      </c>
      <c r="AP29" s="202">
        <f t="shared" si="7"/>
        <v>0</v>
      </c>
      <c r="AQ29" s="202">
        <f t="shared" si="7"/>
        <v>0</v>
      </c>
      <c r="AR29" s="202">
        <f t="shared" si="7"/>
        <v>0</v>
      </c>
      <c r="AS29" s="202">
        <f t="shared" si="7"/>
        <v>0</v>
      </c>
      <c r="AT29" s="202">
        <f t="shared" si="7"/>
        <v>0</v>
      </c>
      <c r="AU29" s="202">
        <f t="shared" si="7"/>
        <v>0</v>
      </c>
      <c r="AV29" s="202">
        <f t="shared" si="7"/>
        <v>0</v>
      </c>
      <c r="AW29" s="202">
        <f t="shared" si="7"/>
        <v>0</v>
      </c>
      <c r="AX29" s="202">
        <f t="shared" si="7"/>
        <v>0</v>
      </c>
      <c r="AY29" s="202">
        <f t="shared" si="7"/>
        <v>0</v>
      </c>
      <c r="AZ29" s="202">
        <f t="shared" si="7"/>
        <v>0</v>
      </c>
      <c r="BA29" s="202">
        <f t="shared" si="7"/>
        <v>0</v>
      </c>
      <c r="BB29" s="202">
        <f t="shared" si="7"/>
        <v>0</v>
      </c>
      <c r="BC29" s="202">
        <f t="shared" si="7"/>
        <v>0</v>
      </c>
      <c r="BD29" s="202">
        <f t="shared" si="7"/>
        <v>0</v>
      </c>
      <c r="BE29" s="202">
        <f t="shared" si="7"/>
        <v>0</v>
      </c>
      <c r="BF29" s="202">
        <f t="shared" si="7"/>
        <v>0</v>
      </c>
      <c r="BG29" s="202">
        <f t="shared" si="7"/>
        <v>0</v>
      </c>
      <c r="BH29" s="202">
        <f t="shared" si="7"/>
        <v>0</v>
      </c>
      <c r="BI29" s="202">
        <f t="shared" si="7"/>
        <v>0</v>
      </c>
      <c r="BJ29" s="202">
        <f t="shared" si="7"/>
        <v>0</v>
      </c>
    </row>
    <row r="30" spans="1:88" x14ac:dyDescent="0.2">
      <c r="C30" s="214" t="s">
        <v>153</v>
      </c>
      <c r="D30" s="215" t="s">
        <v>152</v>
      </c>
      <c r="H30" s="213">
        <f t="shared" ref="H30:AM30" si="8">IF(H$9=$G22, $G24,MAX(MIN(G30, G30-1),0))</f>
        <v>0</v>
      </c>
      <c r="I30" s="213">
        <f t="shared" si="8"/>
        <v>0</v>
      </c>
      <c r="J30" s="213">
        <f t="shared" si="8"/>
        <v>2</v>
      </c>
      <c r="K30" s="213">
        <f t="shared" si="8"/>
        <v>1</v>
      </c>
      <c r="L30" s="213">
        <f t="shared" si="8"/>
        <v>0</v>
      </c>
      <c r="M30" s="213">
        <f t="shared" si="8"/>
        <v>0</v>
      </c>
      <c r="N30" s="213">
        <f t="shared" si="8"/>
        <v>0</v>
      </c>
      <c r="O30" s="213">
        <f t="shared" si="8"/>
        <v>0</v>
      </c>
      <c r="P30" s="213">
        <f t="shared" si="8"/>
        <v>0</v>
      </c>
      <c r="Q30" s="213">
        <f t="shared" si="8"/>
        <v>0</v>
      </c>
      <c r="R30" s="213">
        <f t="shared" si="8"/>
        <v>0</v>
      </c>
      <c r="S30" s="213">
        <f t="shared" si="8"/>
        <v>0</v>
      </c>
      <c r="T30" s="213">
        <f t="shared" si="8"/>
        <v>0</v>
      </c>
      <c r="U30" s="213">
        <f t="shared" si="8"/>
        <v>0</v>
      </c>
      <c r="V30" s="213">
        <f t="shared" si="8"/>
        <v>0</v>
      </c>
      <c r="W30" s="213">
        <f t="shared" si="8"/>
        <v>0</v>
      </c>
      <c r="X30" s="213">
        <f t="shared" si="8"/>
        <v>0</v>
      </c>
      <c r="Y30" s="213">
        <f t="shared" si="8"/>
        <v>0</v>
      </c>
      <c r="Z30" s="213">
        <f t="shared" si="8"/>
        <v>0</v>
      </c>
      <c r="AA30" s="213">
        <f t="shared" si="8"/>
        <v>0</v>
      </c>
      <c r="AB30" s="213">
        <f t="shared" si="8"/>
        <v>0</v>
      </c>
      <c r="AC30" s="213">
        <f t="shared" si="8"/>
        <v>0</v>
      </c>
      <c r="AD30" s="213">
        <f t="shared" si="8"/>
        <v>0</v>
      </c>
      <c r="AE30" s="213">
        <f t="shared" si="8"/>
        <v>0</v>
      </c>
      <c r="AF30" s="213">
        <f t="shared" si="8"/>
        <v>0</v>
      </c>
      <c r="AG30" s="213">
        <f t="shared" si="8"/>
        <v>0</v>
      </c>
      <c r="AH30" s="213">
        <f t="shared" si="8"/>
        <v>0</v>
      </c>
      <c r="AI30" s="213">
        <f t="shared" si="8"/>
        <v>0</v>
      </c>
      <c r="AJ30" s="213">
        <f t="shared" si="8"/>
        <v>0</v>
      </c>
      <c r="AK30" s="213">
        <f t="shared" si="8"/>
        <v>0</v>
      </c>
      <c r="AL30" s="213">
        <f t="shared" si="8"/>
        <v>0</v>
      </c>
      <c r="AM30" s="213">
        <f t="shared" si="8"/>
        <v>0</v>
      </c>
      <c r="AN30" s="213">
        <f t="shared" ref="AN30:BJ30" si="9">IF(AN$9=$G22, $G24,MAX(MIN(AM30, AM30-1),0))</f>
        <v>0</v>
      </c>
      <c r="AO30" s="213">
        <f t="shared" si="9"/>
        <v>0</v>
      </c>
      <c r="AP30" s="213">
        <f t="shared" si="9"/>
        <v>0</v>
      </c>
      <c r="AQ30" s="213">
        <f t="shared" si="9"/>
        <v>0</v>
      </c>
      <c r="AR30" s="213">
        <f t="shared" si="9"/>
        <v>0</v>
      </c>
      <c r="AS30" s="213">
        <f t="shared" si="9"/>
        <v>0</v>
      </c>
      <c r="AT30" s="213">
        <f t="shared" si="9"/>
        <v>0</v>
      </c>
      <c r="AU30" s="213">
        <f t="shared" si="9"/>
        <v>0</v>
      </c>
      <c r="AV30" s="213">
        <f t="shared" si="9"/>
        <v>0</v>
      </c>
      <c r="AW30" s="213">
        <f t="shared" si="9"/>
        <v>0</v>
      </c>
      <c r="AX30" s="213">
        <f t="shared" si="9"/>
        <v>0</v>
      </c>
      <c r="AY30" s="213">
        <f t="shared" si="9"/>
        <v>0</v>
      </c>
      <c r="AZ30" s="213">
        <f t="shared" si="9"/>
        <v>0</v>
      </c>
      <c r="BA30" s="213">
        <f t="shared" si="9"/>
        <v>0</v>
      </c>
      <c r="BB30" s="213">
        <f t="shared" si="9"/>
        <v>0</v>
      </c>
      <c r="BC30" s="213">
        <f t="shared" si="9"/>
        <v>0</v>
      </c>
      <c r="BD30" s="213">
        <f t="shared" si="9"/>
        <v>0</v>
      </c>
      <c r="BE30" s="213">
        <f t="shared" si="9"/>
        <v>0</v>
      </c>
      <c r="BF30" s="213">
        <f t="shared" si="9"/>
        <v>0</v>
      </c>
      <c r="BG30" s="213">
        <f t="shared" si="9"/>
        <v>0</v>
      </c>
      <c r="BH30" s="213">
        <f t="shared" si="9"/>
        <v>0</v>
      </c>
      <c r="BI30" s="213">
        <f t="shared" si="9"/>
        <v>0</v>
      </c>
      <c r="BJ30" s="213">
        <f t="shared" si="9"/>
        <v>0</v>
      </c>
    </row>
    <row r="33" spans="1:62" s="60" customFormat="1" ht="15" x14ac:dyDescent="0.25">
      <c r="A33" s="208"/>
      <c r="B33" s="109"/>
      <c r="C33" s="208" t="s">
        <v>163</v>
      </c>
      <c r="D33" s="109"/>
      <c r="E33" s="109"/>
      <c r="F33" s="107"/>
      <c r="G33" s="107"/>
      <c r="H33" s="107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  <c r="BI33" s="106"/>
      <c r="BJ33" s="106"/>
    </row>
    <row r="35" spans="1:62" x14ac:dyDescent="0.2">
      <c r="C35" s="115" t="s">
        <v>159</v>
      </c>
      <c r="G35" s="212">
        <v>2018</v>
      </c>
    </row>
    <row r="36" spans="1:62" x14ac:dyDescent="0.2">
      <c r="C36" s="115" t="s">
        <v>162</v>
      </c>
      <c r="D36" s="203" t="s">
        <v>146</v>
      </c>
      <c r="G36" s="217">
        <f>'T3 ACRs'!I34/1000000</f>
        <v>0.89626135009777497</v>
      </c>
    </row>
    <row r="37" spans="1:62" x14ac:dyDescent="0.2">
      <c r="C37" s="115" t="s">
        <v>161</v>
      </c>
      <c r="G37" s="216">
        <v>2</v>
      </c>
    </row>
    <row r="39" spans="1:62" x14ac:dyDescent="0.2">
      <c r="C39" s="115" t="s">
        <v>157</v>
      </c>
      <c r="D39" s="203" t="s">
        <v>146</v>
      </c>
      <c r="H39" s="202">
        <f t="shared" ref="H39:AM39" si="10">G42</f>
        <v>0</v>
      </c>
      <c r="I39" s="202">
        <f t="shared" si="10"/>
        <v>0</v>
      </c>
      <c r="J39" s="202">
        <f t="shared" si="10"/>
        <v>0</v>
      </c>
      <c r="K39" s="202">
        <f t="shared" si="10"/>
        <v>0.89626135009777497</v>
      </c>
      <c r="L39" s="202">
        <f t="shared" si="10"/>
        <v>0.44813067504888748</v>
      </c>
      <c r="M39" s="202">
        <f t="shared" si="10"/>
        <v>0</v>
      </c>
      <c r="N39" s="202">
        <f t="shared" si="10"/>
        <v>0</v>
      </c>
      <c r="O39" s="202">
        <f t="shared" si="10"/>
        <v>0</v>
      </c>
      <c r="P39" s="202">
        <f t="shared" si="10"/>
        <v>0</v>
      </c>
      <c r="Q39" s="202">
        <f t="shared" si="10"/>
        <v>0</v>
      </c>
      <c r="R39" s="202">
        <f t="shared" si="10"/>
        <v>0</v>
      </c>
      <c r="S39" s="202">
        <f t="shared" si="10"/>
        <v>0</v>
      </c>
      <c r="T39" s="202">
        <f t="shared" si="10"/>
        <v>0</v>
      </c>
      <c r="U39" s="202">
        <f t="shared" si="10"/>
        <v>0</v>
      </c>
      <c r="V39" s="202">
        <f t="shared" si="10"/>
        <v>0</v>
      </c>
      <c r="W39" s="202">
        <f t="shared" si="10"/>
        <v>0</v>
      </c>
      <c r="X39" s="202">
        <f t="shared" si="10"/>
        <v>0</v>
      </c>
      <c r="Y39" s="202">
        <f t="shared" si="10"/>
        <v>0</v>
      </c>
      <c r="Z39" s="202">
        <f t="shared" si="10"/>
        <v>0</v>
      </c>
      <c r="AA39" s="202">
        <f t="shared" si="10"/>
        <v>0</v>
      </c>
      <c r="AB39" s="202">
        <f t="shared" si="10"/>
        <v>0</v>
      </c>
      <c r="AC39" s="202">
        <f t="shared" si="10"/>
        <v>0</v>
      </c>
      <c r="AD39" s="202">
        <f t="shared" si="10"/>
        <v>0</v>
      </c>
      <c r="AE39" s="202">
        <f t="shared" si="10"/>
        <v>0</v>
      </c>
      <c r="AF39" s="202">
        <f t="shared" si="10"/>
        <v>0</v>
      </c>
      <c r="AG39" s="202">
        <f t="shared" si="10"/>
        <v>0</v>
      </c>
      <c r="AH39" s="202">
        <f t="shared" si="10"/>
        <v>0</v>
      </c>
      <c r="AI39" s="202">
        <f t="shared" si="10"/>
        <v>0</v>
      </c>
      <c r="AJ39" s="202">
        <f t="shared" si="10"/>
        <v>0</v>
      </c>
      <c r="AK39" s="202">
        <f t="shared" si="10"/>
        <v>0</v>
      </c>
      <c r="AL39" s="202">
        <f t="shared" si="10"/>
        <v>0</v>
      </c>
      <c r="AM39" s="202">
        <f t="shared" si="10"/>
        <v>0</v>
      </c>
      <c r="AN39" s="202">
        <f t="shared" ref="AN39:BJ39" si="11">AM42</f>
        <v>0</v>
      </c>
      <c r="AO39" s="202">
        <f t="shared" si="11"/>
        <v>0</v>
      </c>
      <c r="AP39" s="202">
        <f t="shared" si="11"/>
        <v>0</v>
      </c>
      <c r="AQ39" s="202">
        <f t="shared" si="11"/>
        <v>0</v>
      </c>
      <c r="AR39" s="202">
        <f t="shared" si="11"/>
        <v>0</v>
      </c>
      <c r="AS39" s="202">
        <f t="shared" si="11"/>
        <v>0</v>
      </c>
      <c r="AT39" s="202">
        <f t="shared" si="11"/>
        <v>0</v>
      </c>
      <c r="AU39" s="202">
        <f t="shared" si="11"/>
        <v>0</v>
      </c>
      <c r="AV39" s="202">
        <f t="shared" si="11"/>
        <v>0</v>
      </c>
      <c r="AW39" s="202">
        <f t="shared" si="11"/>
        <v>0</v>
      </c>
      <c r="AX39" s="202">
        <f t="shared" si="11"/>
        <v>0</v>
      </c>
      <c r="AY39" s="202">
        <f t="shared" si="11"/>
        <v>0</v>
      </c>
      <c r="AZ39" s="202">
        <f t="shared" si="11"/>
        <v>0</v>
      </c>
      <c r="BA39" s="202">
        <f t="shared" si="11"/>
        <v>0</v>
      </c>
      <c r="BB39" s="202">
        <f t="shared" si="11"/>
        <v>0</v>
      </c>
      <c r="BC39" s="202">
        <f t="shared" si="11"/>
        <v>0</v>
      </c>
      <c r="BD39" s="202">
        <f t="shared" si="11"/>
        <v>0</v>
      </c>
      <c r="BE39" s="202">
        <f t="shared" si="11"/>
        <v>0</v>
      </c>
      <c r="BF39" s="202">
        <f t="shared" si="11"/>
        <v>0</v>
      </c>
      <c r="BG39" s="202">
        <f t="shared" si="11"/>
        <v>0</v>
      </c>
      <c r="BH39" s="202">
        <f t="shared" si="11"/>
        <v>0</v>
      </c>
      <c r="BI39" s="202">
        <f t="shared" si="11"/>
        <v>0</v>
      </c>
      <c r="BJ39" s="202">
        <f t="shared" si="11"/>
        <v>0</v>
      </c>
    </row>
    <row r="40" spans="1:62" x14ac:dyDescent="0.2">
      <c r="C40" s="115" t="s">
        <v>156</v>
      </c>
      <c r="D40" s="203" t="s">
        <v>146</v>
      </c>
      <c r="H40" s="202">
        <f t="shared" ref="H40:AM40" si="12">IF(H$9=$G35, $G36,0)</f>
        <v>0</v>
      </c>
      <c r="I40" s="202">
        <f t="shared" si="12"/>
        <v>0</v>
      </c>
      <c r="J40" s="202">
        <f t="shared" si="12"/>
        <v>0.89626135009777497</v>
      </c>
      <c r="K40" s="202">
        <f t="shared" si="12"/>
        <v>0</v>
      </c>
      <c r="L40" s="202">
        <f t="shared" si="12"/>
        <v>0</v>
      </c>
      <c r="M40" s="202">
        <f t="shared" si="12"/>
        <v>0</v>
      </c>
      <c r="N40" s="202">
        <f t="shared" si="12"/>
        <v>0</v>
      </c>
      <c r="O40" s="202">
        <f t="shared" si="12"/>
        <v>0</v>
      </c>
      <c r="P40" s="202">
        <f t="shared" si="12"/>
        <v>0</v>
      </c>
      <c r="Q40" s="202">
        <f t="shared" si="12"/>
        <v>0</v>
      </c>
      <c r="R40" s="202">
        <f t="shared" si="12"/>
        <v>0</v>
      </c>
      <c r="S40" s="202">
        <f t="shared" si="12"/>
        <v>0</v>
      </c>
      <c r="T40" s="202">
        <f t="shared" si="12"/>
        <v>0</v>
      </c>
      <c r="U40" s="202">
        <f t="shared" si="12"/>
        <v>0</v>
      </c>
      <c r="V40" s="202">
        <f t="shared" si="12"/>
        <v>0</v>
      </c>
      <c r="W40" s="202">
        <f t="shared" si="12"/>
        <v>0</v>
      </c>
      <c r="X40" s="202">
        <f t="shared" si="12"/>
        <v>0</v>
      </c>
      <c r="Y40" s="202">
        <f t="shared" si="12"/>
        <v>0</v>
      </c>
      <c r="Z40" s="202">
        <f t="shared" si="12"/>
        <v>0</v>
      </c>
      <c r="AA40" s="202">
        <f t="shared" si="12"/>
        <v>0</v>
      </c>
      <c r="AB40" s="202">
        <f t="shared" si="12"/>
        <v>0</v>
      </c>
      <c r="AC40" s="202">
        <f t="shared" si="12"/>
        <v>0</v>
      </c>
      <c r="AD40" s="202">
        <f t="shared" si="12"/>
        <v>0</v>
      </c>
      <c r="AE40" s="202">
        <f t="shared" si="12"/>
        <v>0</v>
      </c>
      <c r="AF40" s="202">
        <f t="shared" si="12"/>
        <v>0</v>
      </c>
      <c r="AG40" s="202">
        <f t="shared" si="12"/>
        <v>0</v>
      </c>
      <c r="AH40" s="202">
        <f t="shared" si="12"/>
        <v>0</v>
      </c>
      <c r="AI40" s="202">
        <f t="shared" si="12"/>
        <v>0</v>
      </c>
      <c r="AJ40" s="202">
        <f t="shared" si="12"/>
        <v>0</v>
      </c>
      <c r="AK40" s="202">
        <f t="shared" si="12"/>
        <v>0</v>
      </c>
      <c r="AL40" s="202">
        <f t="shared" si="12"/>
        <v>0</v>
      </c>
      <c r="AM40" s="202">
        <f t="shared" si="12"/>
        <v>0</v>
      </c>
      <c r="AN40" s="202">
        <f t="shared" ref="AN40:BJ40" si="13">IF(AN$9=$G35, $G36,0)</f>
        <v>0</v>
      </c>
      <c r="AO40" s="202">
        <f t="shared" si="13"/>
        <v>0</v>
      </c>
      <c r="AP40" s="202">
        <f t="shared" si="13"/>
        <v>0</v>
      </c>
      <c r="AQ40" s="202">
        <f t="shared" si="13"/>
        <v>0</v>
      </c>
      <c r="AR40" s="202">
        <f t="shared" si="13"/>
        <v>0</v>
      </c>
      <c r="AS40" s="202">
        <f t="shared" si="13"/>
        <v>0</v>
      </c>
      <c r="AT40" s="202">
        <f t="shared" si="13"/>
        <v>0</v>
      </c>
      <c r="AU40" s="202">
        <f t="shared" si="13"/>
        <v>0</v>
      </c>
      <c r="AV40" s="202">
        <f t="shared" si="13"/>
        <v>0</v>
      </c>
      <c r="AW40" s="202">
        <f t="shared" si="13"/>
        <v>0</v>
      </c>
      <c r="AX40" s="202">
        <f t="shared" si="13"/>
        <v>0</v>
      </c>
      <c r="AY40" s="202">
        <f t="shared" si="13"/>
        <v>0</v>
      </c>
      <c r="AZ40" s="202">
        <f t="shared" si="13"/>
        <v>0</v>
      </c>
      <c r="BA40" s="202">
        <f t="shared" si="13"/>
        <v>0</v>
      </c>
      <c r="BB40" s="202">
        <f t="shared" si="13"/>
        <v>0</v>
      </c>
      <c r="BC40" s="202">
        <f t="shared" si="13"/>
        <v>0</v>
      </c>
      <c r="BD40" s="202">
        <f t="shared" si="13"/>
        <v>0</v>
      </c>
      <c r="BE40" s="202">
        <f t="shared" si="13"/>
        <v>0</v>
      </c>
      <c r="BF40" s="202">
        <f t="shared" si="13"/>
        <v>0</v>
      </c>
      <c r="BG40" s="202">
        <f t="shared" si="13"/>
        <v>0</v>
      </c>
      <c r="BH40" s="202">
        <f t="shared" si="13"/>
        <v>0</v>
      </c>
      <c r="BI40" s="202">
        <f t="shared" si="13"/>
        <v>0</v>
      </c>
      <c r="BJ40" s="202">
        <f t="shared" si="13"/>
        <v>0</v>
      </c>
    </row>
    <row r="41" spans="1:62" x14ac:dyDescent="0.2">
      <c r="C41" s="115" t="s">
        <v>155</v>
      </c>
      <c r="D41" s="203" t="s">
        <v>146</v>
      </c>
      <c r="H41" s="202">
        <f t="shared" ref="H41:AM41" si="14">IF(G43=0,0,MIN(G42, G42/G43))</f>
        <v>0</v>
      </c>
      <c r="I41" s="202">
        <f t="shared" si="14"/>
        <v>0</v>
      </c>
      <c r="J41" s="202">
        <f t="shared" si="14"/>
        <v>0</v>
      </c>
      <c r="K41" s="202">
        <f t="shared" si="14"/>
        <v>0.44813067504888748</v>
      </c>
      <c r="L41" s="202">
        <f t="shared" si="14"/>
        <v>0.44813067504888748</v>
      </c>
      <c r="M41" s="202">
        <f t="shared" si="14"/>
        <v>0</v>
      </c>
      <c r="N41" s="202">
        <f t="shared" si="14"/>
        <v>0</v>
      </c>
      <c r="O41" s="202">
        <f t="shared" si="14"/>
        <v>0</v>
      </c>
      <c r="P41" s="202">
        <f t="shared" si="14"/>
        <v>0</v>
      </c>
      <c r="Q41" s="202">
        <f t="shared" si="14"/>
        <v>0</v>
      </c>
      <c r="R41" s="202">
        <f t="shared" si="14"/>
        <v>0</v>
      </c>
      <c r="S41" s="202">
        <f t="shared" si="14"/>
        <v>0</v>
      </c>
      <c r="T41" s="202">
        <f t="shared" si="14"/>
        <v>0</v>
      </c>
      <c r="U41" s="202">
        <f t="shared" si="14"/>
        <v>0</v>
      </c>
      <c r="V41" s="202">
        <f t="shared" si="14"/>
        <v>0</v>
      </c>
      <c r="W41" s="202">
        <f t="shared" si="14"/>
        <v>0</v>
      </c>
      <c r="X41" s="202">
        <f t="shared" si="14"/>
        <v>0</v>
      </c>
      <c r="Y41" s="202">
        <f t="shared" si="14"/>
        <v>0</v>
      </c>
      <c r="Z41" s="202">
        <f t="shared" si="14"/>
        <v>0</v>
      </c>
      <c r="AA41" s="202">
        <f t="shared" si="14"/>
        <v>0</v>
      </c>
      <c r="AB41" s="202">
        <f t="shared" si="14"/>
        <v>0</v>
      </c>
      <c r="AC41" s="202">
        <f t="shared" si="14"/>
        <v>0</v>
      </c>
      <c r="AD41" s="202">
        <f t="shared" si="14"/>
        <v>0</v>
      </c>
      <c r="AE41" s="202">
        <f t="shared" si="14"/>
        <v>0</v>
      </c>
      <c r="AF41" s="202">
        <f t="shared" si="14"/>
        <v>0</v>
      </c>
      <c r="AG41" s="202">
        <f t="shared" si="14"/>
        <v>0</v>
      </c>
      <c r="AH41" s="202">
        <f t="shared" si="14"/>
        <v>0</v>
      </c>
      <c r="AI41" s="202">
        <f t="shared" si="14"/>
        <v>0</v>
      </c>
      <c r="AJ41" s="202">
        <f t="shared" si="14"/>
        <v>0</v>
      </c>
      <c r="AK41" s="202">
        <f t="shared" si="14"/>
        <v>0</v>
      </c>
      <c r="AL41" s="202">
        <f t="shared" si="14"/>
        <v>0</v>
      </c>
      <c r="AM41" s="202">
        <f t="shared" si="14"/>
        <v>0</v>
      </c>
      <c r="AN41" s="202">
        <f t="shared" ref="AN41:BJ41" si="15">IF(AM43=0,0,MIN(AM42, AM42/AM43))</f>
        <v>0</v>
      </c>
      <c r="AO41" s="202">
        <f t="shared" si="15"/>
        <v>0</v>
      </c>
      <c r="AP41" s="202">
        <f t="shared" si="15"/>
        <v>0</v>
      </c>
      <c r="AQ41" s="202">
        <f t="shared" si="15"/>
        <v>0</v>
      </c>
      <c r="AR41" s="202">
        <f t="shared" si="15"/>
        <v>0</v>
      </c>
      <c r="AS41" s="202">
        <f t="shared" si="15"/>
        <v>0</v>
      </c>
      <c r="AT41" s="202">
        <f t="shared" si="15"/>
        <v>0</v>
      </c>
      <c r="AU41" s="202">
        <f t="shared" si="15"/>
        <v>0</v>
      </c>
      <c r="AV41" s="202">
        <f t="shared" si="15"/>
        <v>0</v>
      </c>
      <c r="AW41" s="202">
        <f t="shared" si="15"/>
        <v>0</v>
      </c>
      <c r="AX41" s="202">
        <f t="shared" si="15"/>
        <v>0</v>
      </c>
      <c r="AY41" s="202">
        <f t="shared" si="15"/>
        <v>0</v>
      </c>
      <c r="AZ41" s="202">
        <f t="shared" si="15"/>
        <v>0</v>
      </c>
      <c r="BA41" s="202">
        <f t="shared" si="15"/>
        <v>0</v>
      </c>
      <c r="BB41" s="202">
        <f t="shared" si="15"/>
        <v>0</v>
      </c>
      <c r="BC41" s="202">
        <f t="shared" si="15"/>
        <v>0</v>
      </c>
      <c r="BD41" s="202">
        <f t="shared" si="15"/>
        <v>0</v>
      </c>
      <c r="BE41" s="202">
        <f t="shared" si="15"/>
        <v>0</v>
      </c>
      <c r="BF41" s="202">
        <f t="shared" si="15"/>
        <v>0</v>
      </c>
      <c r="BG41" s="202">
        <f t="shared" si="15"/>
        <v>0</v>
      </c>
      <c r="BH41" s="202">
        <f t="shared" si="15"/>
        <v>0</v>
      </c>
      <c r="BI41" s="202">
        <f t="shared" si="15"/>
        <v>0</v>
      </c>
      <c r="BJ41" s="202">
        <f t="shared" si="15"/>
        <v>0</v>
      </c>
    </row>
    <row r="42" spans="1:62" x14ac:dyDescent="0.2">
      <c r="C42" s="115" t="s">
        <v>154</v>
      </c>
      <c r="D42" s="203" t="s">
        <v>146</v>
      </c>
      <c r="H42" s="202">
        <f t="shared" ref="H42:AM42" si="16">SUM(H39:H40)-H41</f>
        <v>0</v>
      </c>
      <c r="I42" s="202">
        <f t="shared" si="16"/>
        <v>0</v>
      </c>
      <c r="J42" s="202">
        <f t="shared" si="16"/>
        <v>0.89626135009777497</v>
      </c>
      <c r="K42" s="202">
        <f t="shared" si="16"/>
        <v>0.44813067504888748</v>
      </c>
      <c r="L42" s="202">
        <f t="shared" si="16"/>
        <v>0</v>
      </c>
      <c r="M42" s="202">
        <f t="shared" si="16"/>
        <v>0</v>
      </c>
      <c r="N42" s="202">
        <f t="shared" si="16"/>
        <v>0</v>
      </c>
      <c r="O42" s="202">
        <f t="shared" si="16"/>
        <v>0</v>
      </c>
      <c r="P42" s="202">
        <f t="shared" si="16"/>
        <v>0</v>
      </c>
      <c r="Q42" s="202">
        <f t="shared" si="16"/>
        <v>0</v>
      </c>
      <c r="R42" s="202">
        <f t="shared" si="16"/>
        <v>0</v>
      </c>
      <c r="S42" s="202">
        <f t="shared" si="16"/>
        <v>0</v>
      </c>
      <c r="T42" s="202">
        <f t="shared" si="16"/>
        <v>0</v>
      </c>
      <c r="U42" s="202">
        <f t="shared" si="16"/>
        <v>0</v>
      </c>
      <c r="V42" s="202">
        <f t="shared" si="16"/>
        <v>0</v>
      </c>
      <c r="W42" s="202">
        <f t="shared" si="16"/>
        <v>0</v>
      </c>
      <c r="X42" s="202">
        <f t="shared" si="16"/>
        <v>0</v>
      </c>
      <c r="Y42" s="202">
        <f t="shared" si="16"/>
        <v>0</v>
      </c>
      <c r="Z42" s="202">
        <f t="shared" si="16"/>
        <v>0</v>
      </c>
      <c r="AA42" s="202">
        <f t="shared" si="16"/>
        <v>0</v>
      </c>
      <c r="AB42" s="202">
        <f t="shared" si="16"/>
        <v>0</v>
      </c>
      <c r="AC42" s="202">
        <f t="shared" si="16"/>
        <v>0</v>
      </c>
      <c r="AD42" s="202">
        <f t="shared" si="16"/>
        <v>0</v>
      </c>
      <c r="AE42" s="202">
        <f t="shared" si="16"/>
        <v>0</v>
      </c>
      <c r="AF42" s="202">
        <f t="shared" si="16"/>
        <v>0</v>
      </c>
      <c r="AG42" s="202">
        <f t="shared" si="16"/>
        <v>0</v>
      </c>
      <c r="AH42" s="202">
        <f t="shared" si="16"/>
        <v>0</v>
      </c>
      <c r="AI42" s="202">
        <f t="shared" si="16"/>
        <v>0</v>
      </c>
      <c r="AJ42" s="202">
        <f t="shared" si="16"/>
        <v>0</v>
      </c>
      <c r="AK42" s="202">
        <f t="shared" si="16"/>
        <v>0</v>
      </c>
      <c r="AL42" s="202">
        <f t="shared" si="16"/>
        <v>0</v>
      </c>
      <c r="AM42" s="202">
        <f t="shared" si="16"/>
        <v>0</v>
      </c>
      <c r="AN42" s="202">
        <f t="shared" ref="AN42:BJ42" si="17">SUM(AN39:AN40)-AN41</f>
        <v>0</v>
      </c>
      <c r="AO42" s="202">
        <f t="shared" si="17"/>
        <v>0</v>
      </c>
      <c r="AP42" s="202">
        <f t="shared" si="17"/>
        <v>0</v>
      </c>
      <c r="AQ42" s="202">
        <f t="shared" si="17"/>
        <v>0</v>
      </c>
      <c r="AR42" s="202">
        <f t="shared" si="17"/>
        <v>0</v>
      </c>
      <c r="AS42" s="202">
        <f t="shared" si="17"/>
        <v>0</v>
      </c>
      <c r="AT42" s="202">
        <f t="shared" si="17"/>
        <v>0</v>
      </c>
      <c r="AU42" s="202">
        <f t="shared" si="17"/>
        <v>0</v>
      </c>
      <c r="AV42" s="202">
        <f t="shared" si="17"/>
        <v>0</v>
      </c>
      <c r="AW42" s="202">
        <f t="shared" si="17"/>
        <v>0</v>
      </c>
      <c r="AX42" s="202">
        <f t="shared" si="17"/>
        <v>0</v>
      </c>
      <c r="AY42" s="202">
        <f t="shared" si="17"/>
        <v>0</v>
      </c>
      <c r="AZ42" s="202">
        <f t="shared" si="17"/>
        <v>0</v>
      </c>
      <c r="BA42" s="202">
        <f t="shared" si="17"/>
        <v>0</v>
      </c>
      <c r="BB42" s="202">
        <f t="shared" si="17"/>
        <v>0</v>
      </c>
      <c r="BC42" s="202">
        <f t="shared" si="17"/>
        <v>0</v>
      </c>
      <c r="BD42" s="202">
        <f t="shared" si="17"/>
        <v>0</v>
      </c>
      <c r="BE42" s="202">
        <f t="shared" si="17"/>
        <v>0</v>
      </c>
      <c r="BF42" s="202">
        <f t="shared" si="17"/>
        <v>0</v>
      </c>
      <c r="BG42" s="202">
        <f t="shared" si="17"/>
        <v>0</v>
      </c>
      <c r="BH42" s="202">
        <f t="shared" si="17"/>
        <v>0</v>
      </c>
      <c r="BI42" s="202">
        <f t="shared" si="17"/>
        <v>0</v>
      </c>
      <c r="BJ42" s="202">
        <f t="shared" si="17"/>
        <v>0</v>
      </c>
    </row>
    <row r="43" spans="1:62" x14ac:dyDescent="0.2">
      <c r="C43" s="214" t="s">
        <v>153</v>
      </c>
      <c r="D43" s="215" t="s">
        <v>152</v>
      </c>
      <c r="E43" s="214"/>
      <c r="F43" s="214"/>
      <c r="G43" s="214"/>
      <c r="H43" s="213">
        <f t="shared" ref="H43:AM43" si="18">IF(H$9=$G35, $G37,MAX(MIN(G43, G43-1),0))</f>
        <v>0</v>
      </c>
      <c r="I43" s="213">
        <f t="shared" si="18"/>
        <v>0</v>
      </c>
      <c r="J43" s="213">
        <f t="shared" si="18"/>
        <v>2</v>
      </c>
      <c r="K43" s="213">
        <f t="shared" si="18"/>
        <v>1</v>
      </c>
      <c r="L43" s="213">
        <f t="shared" si="18"/>
        <v>0</v>
      </c>
      <c r="M43" s="213">
        <f t="shared" si="18"/>
        <v>0</v>
      </c>
      <c r="N43" s="213">
        <f t="shared" si="18"/>
        <v>0</v>
      </c>
      <c r="O43" s="213">
        <f t="shared" si="18"/>
        <v>0</v>
      </c>
      <c r="P43" s="213">
        <f t="shared" si="18"/>
        <v>0</v>
      </c>
      <c r="Q43" s="213">
        <f t="shared" si="18"/>
        <v>0</v>
      </c>
      <c r="R43" s="213">
        <f t="shared" si="18"/>
        <v>0</v>
      </c>
      <c r="S43" s="213">
        <f t="shared" si="18"/>
        <v>0</v>
      </c>
      <c r="T43" s="213">
        <f t="shared" si="18"/>
        <v>0</v>
      </c>
      <c r="U43" s="213">
        <f t="shared" si="18"/>
        <v>0</v>
      </c>
      <c r="V43" s="213">
        <f t="shared" si="18"/>
        <v>0</v>
      </c>
      <c r="W43" s="213">
        <f t="shared" si="18"/>
        <v>0</v>
      </c>
      <c r="X43" s="213">
        <f t="shared" si="18"/>
        <v>0</v>
      </c>
      <c r="Y43" s="213">
        <f t="shared" si="18"/>
        <v>0</v>
      </c>
      <c r="Z43" s="213">
        <f t="shared" si="18"/>
        <v>0</v>
      </c>
      <c r="AA43" s="213">
        <f t="shared" si="18"/>
        <v>0</v>
      </c>
      <c r="AB43" s="213">
        <f t="shared" si="18"/>
        <v>0</v>
      </c>
      <c r="AC43" s="213">
        <f t="shared" si="18"/>
        <v>0</v>
      </c>
      <c r="AD43" s="213">
        <f t="shared" si="18"/>
        <v>0</v>
      </c>
      <c r="AE43" s="213">
        <f t="shared" si="18"/>
        <v>0</v>
      </c>
      <c r="AF43" s="213">
        <f t="shared" si="18"/>
        <v>0</v>
      </c>
      <c r="AG43" s="213">
        <f t="shared" si="18"/>
        <v>0</v>
      </c>
      <c r="AH43" s="213">
        <f t="shared" si="18"/>
        <v>0</v>
      </c>
      <c r="AI43" s="213">
        <f t="shared" si="18"/>
        <v>0</v>
      </c>
      <c r="AJ43" s="213">
        <f t="shared" si="18"/>
        <v>0</v>
      </c>
      <c r="AK43" s="213">
        <f t="shared" si="18"/>
        <v>0</v>
      </c>
      <c r="AL43" s="213">
        <f t="shared" si="18"/>
        <v>0</v>
      </c>
      <c r="AM43" s="213">
        <f t="shared" si="18"/>
        <v>0</v>
      </c>
      <c r="AN43" s="213">
        <f t="shared" ref="AN43:BJ43" si="19">IF(AN$9=$G35, $G37,MAX(MIN(AM43, AM43-1),0))</f>
        <v>0</v>
      </c>
      <c r="AO43" s="213">
        <f t="shared" si="19"/>
        <v>0</v>
      </c>
      <c r="AP43" s="213">
        <f t="shared" si="19"/>
        <v>0</v>
      </c>
      <c r="AQ43" s="213">
        <f t="shared" si="19"/>
        <v>0</v>
      </c>
      <c r="AR43" s="213">
        <f t="shared" si="19"/>
        <v>0</v>
      </c>
      <c r="AS43" s="213">
        <f t="shared" si="19"/>
        <v>0</v>
      </c>
      <c r="AT43" s="213">
        <f t="shared" si="19"/>
        <v>0</v>
      </c>
      <c r="AU43" s="213">
        <f t="shared" si="19"/>
        <v>0</v>
      </c>
      <c r="AV43" s="213">
        <f t="shared" si="19"/>
        <v>0</v>
      </c>
      <c r="AW43" s="213">
        <f t="shared" si="19"/>
        <v>0</v>
      </c>
      <c r="AX43" s="213">
        <f t="shared" si="19"/>
        <v>0</v>
      </c>
      <c r="AY43" s="213">
        <f t="shared" si="19"/>
        <v>0</v>
      </c>
      <c r="AZ43" s="213">
        <f t="shared" si="19"/>
        <v>0</v>
      </c>
      <c r="BA43" s="213">
        <f t="shared" si="19"/>
        <v>0</v>
      </c>
      <c r="BB43" s="213">
        <f t="shared" si="19"/>
        <v>0</v>
      </c>
      <c r="BC43" s="213">
        <f t="shared" si="19"/>
        <v>0</v>
      </c>
      <c r="BD43" s="213">
        <f t="shared" si="19"/>
        <v>0</v>
      </c>
      <c r="BE43" s="213">
        <f t="shared" si="19"/>
        <v>0</v>
      </c>
      <c r="BF43" s="213">
        <f t="shared" si="19"/>
        <v>0</v>
      </c>
      <c r="BG43" s="213">
        <f t="shared" si="19"/>
        <v>0</v>
      </c>
      <c r="BH43" s="213">
        <f t="shared" si="19"/>
        <v>0</v>
      </c>
      <c r="BI43" s="213">
        <f t="shared" si="19"/>
        <v>0</v>
      </c>
      <c r="BJ43" s="213">
        <f t="shared" si="19"/>
        <v>0</v>
      </c>
    </row>
    <row r="46" spans="1:62" s="60" customFormat="1" ht="15" x14ac:dyDescent="0.25">
      <c r="A46" s="208"/>
      <c r="B46" s="109"/>
      <c r="C46" s="208" t="s">
        <v>160</v>
      </c>
      <c r="D46" s="109"/>
      <c r="E46" s="109"/>
      <c r="F46" s="107"/>
      <c r="G46" s="107"/>
      <c r="H46" s="107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06"/>
      <c r="U46" s="106"/>
      <c r="V46" s="106"/>
      <c r="W46" s="106"/>
      <c r="X46" s="106"/>
      <c r="Y46" s="106"/>
      <c r="Z46" s="106"/>
      <c r="AA46" s="106"/>
      <c r="AB46" s="106"/>
      <c r="AC46" s="106"/>
      <c r="AD46" s="106"/>
      <c r="AE46" s="106"/>
      <c r="AF46" s="106"/>
      <c r="AG46" s="106"/>
      <c r="AH46" s="106"/>
      <c r="AI46" s="106"/>
      <c r="AJ46" s="106"/>
      <c r="AK46" s="106"/>
      <c r="AL46" s="106"/>
      <c r="AM46" s="106"/>
      <c r="AN46" s="106"/>
      <c r="AO46" s="106"/>
      <c r="AP46" s="106"/>
      <c r="AQ46" s="106"/>
      <c r="AR46" s="106"/>
      <c r="AS46" s="106"/>
      <c r="AT46" s="106"/>
      <c r="AU46" s="106"/>
      <c r="AV46" s="106"/>
      <c r="AW46" s="106"/>
      <c r="AX46" s="106"/>
      <c r="AY46" s="106"/>
      <c r="AZ46" s="106"/>
      <c r="BA46" s="106"/>
      <c r="BB46" s="106"/>
      <c r="BC46" s="106"/>
      <c r="BD46" s="106"/>
      <c r="BE46" s="106"/>
      <c r="BF46" s="106"/>
      <c r="BG46" s="106"/>
      <c r="BH46" s="106"/>
      <c r="BI46" s="106"/>
      <c r="BJ46" s="106"/>
    </row>
    <row r="48" spans="1:62" x14ac:dyDescent="0.2">
      <c r="C48" s="115" t="s">
        <v>159</v>
      </c>
      <c r="G48" s="212">
        <v>2018</v>
      </c>
    </row>
    <row r="49" spans="1:88" x14ac:dyDescent="0.2">
      <c r="C49" s="115" t="s">
        <v>158</v>
      </c>
      <c r="D49" s="203" t="s">
        <v>146</v>
      </c>
      <c r="G49" s="211">
        <f>G36+G23</f>
        <v>13.036451123650137</v>
      </c>
    </row>
    <row r="50" spans="1:88" x14ac:dyDescent="0.2">
      <c r="C50" s="115" t="str">
        <f>"Year end remaining life  in "&amp;G48</f>
        <v>Year end remaining life  in 2018</v>
      </c>
      <c r="G50" s="210">
        <f>G15</f>
        <v>17.606197014581664</v>
      </c>
    </row>
    <row r="52" spans="1:88" x14ac:dyDescent="0.2">
      <c r="C52" s="115" t="s">
        <v>157</v>
      </c>
      <c r="D52" s="203" t="s">
        <v>146</v>
      </c>
      <c r="H52" s="115">
        <f t="shared" ref="H52:AM52" si="20">G55</f>
        <v>0</v>
      </c>
      <c r="I52" s="209">
        <f t="shared" si="20"/>
        <v>0</v>
      </c>
      <c r="J52" s="209">
        <f t="shared" si="20"/>
        <v>0</v>
      </c>
      <c r="K52" s="209">
        <f t="shared" si="20"/>
        <v>13.036451123650137</v>
      </c>
      <c r="L52" s="209">
        <f t="shared" si="20"/>
        <v>12.296004387035001</v>
      </c>
      <c r="M52" s="209">
        <f t="shared" si="20"/>
        <v>11.555557650419866</v>
      </c>
      <c r="N52" s="209">
        <f t="shared" si="20"/>
        <v>10.81511091380473</v>
      </c>
      <c r="O52" s="209">
        <f t="shared" si="20"/>
        <v>10.074664177189595</v>
      </c>
      <c r="P52" s="209">
        <f t="shared" si="20"/>
        <v>9.3342174405744593</v>
      </c>
      <c r="Q52" s="209">
        <f t="shared" si="20"/>
        <v>8.5937707039593239</v>
      </c>
      <c r="R52" s="209">
        <f t="shared" si="20"/>
        <v>7.8533239673441884</v>
      </c>
      <c r="S52" s="209">
        <f t="shared" si="20"/>
        <v>7.1128772307290529</v>
      </c>
      <c r="T52" s="209">
        <f t="shared" si="20"/>
        <v>6.3724304941139174</v>
      </c>
      <c r="U52" s="209">
        <f t="shared" si="20"/>
        <v>5.6319837574987819</v>
      </c>
      <c r="V52" s="209">
        <f t="shared" si="20"/>
        <v>4.8915370208836464</v>
      </c>
      <c r="W52" s="209">
        <f t="shared" si="20"/>
        <v>4.1510902842685109</v>
      </c>
      <c r="X52" s="209">
        <f t="shared" si="20"/>
        <v>3.410643547653375</v>
      </c>
      <c r="Y52" s="209">
        <f t="shared" si="20"/>
        <v>2.670196811038239</v>
      </c>
      <c r="Z52" s="209">
        <f t="shared" si="20"/>
        <v>1.9297500744231031</v>
      </c>
      <c r="AA52" s="209">
        <f t="shared" si="20"/>
        <v>1.1893033378079672</v>
      </c>
      <c r="AB52" s="209">
        <f t="shared" si="20"/>
        <v>0.448856601192831</v>
      </c>
      <c r="AC52" s="209">
        <f t="shared" si="20"/>
        <v>0</v>
      </c>
      <c r="AD52" s="209">
        <f t="shared" si="20"/>
        <v>0</v>
      </c>
      <c r="AE52" s="209">
        <f t="shared" si="20"/>
        <v>0</v>
      </c>
      <c r="AF52" s="209">
        <f t="shared" si="20"/>
        <v>0</v>
      </c>
      <c r="AG52" s="209">
        <f t="shared" si="20"/>
        <v>0</v>
      </c>
      <c r="AH52" s="209">
        <f t="shared" si="20"/>
        <v>0</v>
      </c>
      <c r="AI52" s="209">
        <f t="shared" si="20"/>
        <v>0</v>
      </c>
      <c r="AJ52" s="209">
        <f t="shared" si="20"/>
        <v>0</v>
      </c>
      <c r="AK52" s="209">
        <f t="shared" si="20"/>
        <v>0</v>
      </c>
      <c r="AL52" s="209">
        <f t="shared" si="20"/>
        <v>0</v>
      </c>
      <c r="AM52" s="209">
        <f t="shared" si="20"/>
        <v>0</v>
      </c>
      <c r="AN52" s="209">
        <f t="shared" ref="AN52:BJ52" si="21">AM55</f>
        <v>0</v>
      </c>
      <c r="AO52" s="209">
        <f t="shared" si="21"/>
        <v>0</v>
      </c>
      <c r="AP52" s="209">
        <f t="shared" si="21"/>
        <v>0</v>
      </c>
      <c r="AQ52" s="209">
        <f t="shared" si="21"/>
        <v>0</v>
      </c>
      <c r="AR52" s="209">
        <f t="shared" si="21"/>
        <v>0</v>
      </c>
      <c r="AS52" s="209">
        <f t="shared" si="21"/>
        <v>0</v>
      </c>
      <c r="AT52" s="209">
        <f t="shared" si="21"/>
        <v>0</v>
      </c>
      <c r="AU52" s="209">
        <f t="shared" si="21"/>
        <v>0</v>
      </c>
      <c r="AV52" s="209">
        <f t="shared" si="21"/>
        <v>0</v>
      </c>
      <c r="AW52" s="209">
        <f t="shared" si="21"/>
        <v>0</v>
      </c>
      <c r="AX52" s="209">
        <f t="shared" si="21"/>
        <v>0</v>
      </c>
      <c r="AY52" s="209">
        <f t="shared" si="21"/>
        <v>0</v>
      </c>
      <c r="AZ52" s="209">
        <f t="shared" si="21"/>
        <v>0</v>
      </c>
      <c r="BA52" s="209">
        <f t="shared" si="21"/>
        <v>0</v>
      </c>
      <c r="BB52" s="209">
        <f t="shared" si="21"/>
        <v>0</v>
      </c>
      <c r="BC52" s="209">
        <f t="shared" si="21"/>
        <v>0</v>
      </c>
      <c r="BD52" s="209">
        <f t="shared" si="21"/>
        <v>0</v>
      </c>
      <c r="BE52" s="209">
        <f t="shared" si="21"/>
        <v>0</v>
      </c>
      <c r="BF52" s="209">
        <f t="shared" si="21"/>
        <v>0</v>
      </c>
      <c r="BG52" s="209">
        <f t="shared" si="21"/>
        <v>0</v>
      </c>
      <c r="BH52" s="209">
        <f t="shared" si="21"/>
        <v>0</v>
      </c>
      <c r="BI52" s="209">
        <f t="shared" si="21"/>
        <v>0</v>
      </c>
      <c r="BJ52" s="209">
        <f t="shared" si="21"/>
        <v>0</v>
      </c>
    </row>
    <row r="53" spans="1:88" x14ac:dyDescent="0.2">
      <c r="C53" s="115" t="s">
        <v>156</v>
      </c>
      <c r="D53" s="203" t="s">
        <v>146</v>
      </c>
      <c r="H53" s="202">
        <f t="shared" ref="H53:AM53" si="22">IF(H$9=$G48, $G49,0)</f>
        <v>0</v>
      </c>
      <c r="I53" s="202">
        <f t="shared" si="22"/>
        <v>0</v>
      </c>
      <c r="J53" s="202">
        <f t="shared" si="22"/>
        <v>13.036451123650137</v>
      </c>
      <c r="K53" s="202">
        <f t="shared" si="22"/>
        <v>0</v>
      </c>
      <c r="L53" s="202">
        <f t="shared" si="22"/>
        <v>0</v>
      </c>
      <c r="M53" s="202">
        <f t="shared" si="22"/>
        <v>0</v>
      </c>
      <c r="N53" s="202">
        <f t="shared" si="22"/>
        <v>0</v>
      </c>
      <c r="O53" s="202">
        <f t="shared" si="22"/>
        <v>0</v>
      </c>
      <c r="P53" s="202">
        <f t="shared" si="22"/>
        <v>0</v>
      </c>
      <c r="Q53" s="202">
        <f t="shared" si="22"/>
        <v>0</v>
      </c>
      <c r="R53" s="202">
        <f t="shared" si="22"/>
        <v>0</v>
      </c>
      <c r="S53" s="202">
        <f t="shared" si="22"/>
        <v>0</v>
      </c>
      <c r="T53" s="202">
        <f t="shared" si="22"/>
        <v>0</v>
      </c>
      <c r="U53" s="202">
        <f t="shared" si="22"/>
        <v>0</v>
      </c>
      <c r="V53" s="202">
        <f t="shared" si="22"/>
        <v>0</v>
      </c>
      <c r="W53" s="202">
        <f t="shared" si="22"/>
        <v>0</v>
      </c>
      <c r="X53" s="202">
        <f t="shared" si="22"/>
        <v>0</v>
      </c>
      <c r="Y53" s="202">
        <f t="shared" si="22"/>
        <v>0</v>
      </c>
      <c r="Z53" s="202">
        <f t="shared" si="22"/>
        <v>0</v>
      </c>
      <c r="AA53" s="202">
        <f t="shared" si="22"/>
        <v>0</v>
      </c>
      <c r="AB53" s="202">
        <f t="shared" si="22"/>
        <v>0</v>
      </c>
      <c r="AC53" s="202">
        <f t="shared" si="22"/>
        <v>0</v>
      </c>
      <c r="AD53" s="202">
        <f t="shared" si="22"/>
        <v>0</v>
      </c>
      <c r="AE53" s="202">
        <f t="shared" si="22"/>
        <v>0</v>
      </c>
      <c r="AF53" s="202">
        <f t="shared" si="22"/>
        <v>0</v>
      </c>
      <c r="AG53" s="202">
        <f t="shared" si="22"/>
        <v>0</v>
      </c>
      <c r="AH53" s="202">
        <f t="shared" si="22"/>
        <v>0</v>
      </c>
      <c r="AI53" s="202">
        <f t="shared" si="22"/>
        <v>0</v>
      </c>
      <c r="AJ53" s="202">
        <f t="shared" si="22"/>
        <v>0</v>
      </c>
      <c r="AK53" s="202">
        <f t="shared" si="22"/>
        <v>0</v>
      </c>
      <c r="AL53" s="202">
        <f t="shared" si="22"/>
        <v>0</v>
      </c>
      <c r="AM53" s="202">
        <f t="shared" si="22"/>
        <v>0</v>
      </c>
      <c r="AN53" s="202">
        <f t="shared" ref="AN53:BJ53" si="23">IF(AN$9=$G48, $G49,0)</f>
        <v>0</v>
      </c>
      <c r="AO53" s="202">
        <f t="shared" si="23"/>
        <v>0</v>
      </c>
      <c r="AP53" s="202">
        <f t="shared" si="23"/>
        <v>0</v>
      </c>
      <c r="AQ53" s="202">
        <f t="shared" si="23"/>
        <v>0</v>
      </c>
      <c r="AR53" s="202">
        <f t="shared" si="23"/>
        <v>0</v>
      </c>
      <c r="AS53" s="202">
        <f t="shared" si="23"/>
        <v>0</v>
      </c>
      <c r="AT53" s="202">
        <f t="shared" si="23"/>
        <v>0</v>
      </c>
      <c r="AU53" s="202">
        <f t="shared" si="23"/>
        <v>0</v>
      </c>
      <c r="AV53" s="202">
        <f t="shared" si="23"/>
        <v>0</v>
      </c>
      <c r="AW53" s="202">
        <f t="shared" si="23"/>
        <v>0</v>
      </c>
      <c r="AX53" s="202">
        <f t="shared" si="23"/>
        <v>0</v>
      </c>
      <c r="AY53" s="202">
        <f t="shared" si="23"/>
        <v>0</v>
      </c>
      <c r="AZ53" s="202">
        <f t="shared" si="23"/>
        <v>0</v>
      </c>
      <c r="BA53" s="202">
        <f t="shared" si="23"/>
        <v>0</v>
      </c>
      <c r="BB53" s="202">
        <f t="shared" si="23"/>
        <v>0</v>
      </c>
      <c r="BC53" s="202">
        <f t="shared" si="23"/>
        <v>0</v>
      </c>
      <c r="BD53" s="202">
        <f t="shared" si="23"/>
        <v>0</v>
      </c>
      <c r="BE53" s="202">
        <f t="shared" si="23"/>
        <v>0</v>
      </c>
      <c r="BF53" s="202">
        <f t="shared" si="23"/>
        <v>0</v>
      </c>
      <c r="BG53" s="202">
        <f t="shared" si="23"/>
        <v>0</v>
      </c>
      <c r="BH53" s="202">
        <f t="shared" si="23"/>
        <v>0</v>
      </c>
      <c r="BI53" s="202">
        <f t="shared" si="23"/>
        <v>0</v>
      </c>
      <c r="BJ53" s="202">
        <f t="shared" si="23"/>
        <v>0</v>
      </c>
    </row>
    <row r="54" spans="1:88" x14ac:dyDescent="0.2">
      <c r="C54" s="115" t="s">
        <v>155</v>
      </c>
      <c r="D54" s="203" t="s">
        <v>146</v>
      </c>
      <c r="H54" s="209">
        <f t="shared" ref="H54:AM54" si="24">IF(G56=0,0,MIN(G55, G55/G56))</f>
        <v>0</v>
      </c>
      <c r="I54" s="209">
        <f t="shared" si="24"/>
        <v>0</v>
      </c>
      <c r="J54" s="209">
        <f t="shared" si="24"/>
        <v>0</v>
      </c>
      <c r="K54" s="209">
        <f t="shared" si="24"/>
        <v>0.7404467366151356</v>
      </c>
      <c r="L54" s="209">
        <f t="shared" si="24"/>
        <v>0.74044673661513571</v>
      </c>
      <c r="M54" s="209">
        <f t="shared" si="24"/>
        <v>0.74044673661513571</v>
      </c>
      <c r="N54" s="209">
        <f t="shared" si="24"/>
        <v>0.74044673661513571</v>
      </c>
      <c r="O54" s="209">
        <f t="shared" si="24"/>
        <v>0.74044673661513571</v>
      </c>
      <c r="P54" s="209">
        <f t="shared" si="24"/>
        <v>0.74044673661513571</v>
      </c>
      <c r="Q54" s="209">
        <f t="shared" si="24"/>
        <v>0.74044673661513571</v>
      </c>
      <c r="R54" s="209">
        <f t="shared" si="24"/>
        <v>0.74044673661513571</v>
      </c>
      <c r="S54" s="209">
        <f t="shared" si="24"/>
        <v>0.74044673661513583</v>
      </c>
      <c r="T54" s="209">
        <f t="shared" si="24"/>
        <v>0.74044673661513583</v>
      </c>
      <c r="U54" s="209">
        <f t="shared" si="24"/>
        <v>0.74044673661513583</v>
      </c>
      <c r="V54" s="209">
        <f t="shared" si="24"/>
        <v>0.74044673661513594</v>
      </c>
      <c r="W54" s="209">
        <f t="shared" si="24"/>
        <v>0.74044673661513605</v>
      </c>
      <c r="X54" s="209">
        <f t="shared" si="24"/>
        <v>0.74044673661513605</v>
      </c>
      <c r="Y54" s="209">
        <f t="shared" si="24"/>
        <v>0.74044673661513605</v>
      </c>
      <c r="Z54" s="209">
        <f t="shared" si="24"/>
        <v>0.74044673661513605</v>
      </c>
      <c r="AA54" s="209">
        <f t="shared" si="24"/>
        <v>0.74044673661513616</v>
      </c>
      <c r="AB54" s="209">
        <f t="shared" si="24"/>
        <v>0.448856601192831</v>
      </c>
      <c r="AC54" s="209">
        <f t="shared" si="24"/>
        <v>0</v>
      </c>
      <c r="AD54" s="209">
        <f t="shared" si="24"/>
        <v>0</v>
      </c>
      <c r="AE54" s="209">
        <f t="shared" si="24"/>
        <v>0</v>
      </c>
      <c r="AF54" s="209">
        <f t="shared" si="24"/>
        <v>0</v>
      </c>
      <c r="AG54" s="209">
        <f t="shared" si="24"/>
        <v>0</v>
      </c>
      <c r="AH54" s="209">
        <f t="shared" si="24"/>
        <v>0</v>
      </c>
      <c r="AI54" s="209">
        <f t="shared" si="24"/>
        <v>0</v>
      </c>
      <c r="AJ54" s="209">
        <f t="shared" si="24"/>
        <v>0</v>
      </c>
      <c r="AK54" s="209">
        <f t="shared" si="24"/>
        <v>0</v>
      </c>
      <c r="AL54" s="209">
        <f t="shared" si="24"/>
        <v>0</v>
      </c>
      <c r="AM54" s="209">
        <f t="shared" si="24"/>
        <v>0</v>
      </c>
      <c r="AN54" s="209">
        <f t="shared" ref="AN54:BJ54" si="25">IF(AM56=0,0,MIN(AM55, AM55/AM56))</f>
        <v>0</v>
      </c>
      <c r="AO54" s="209">
        <f t="shared" si="25"/>
        <v>0</v>
      </c>
      <c r="AP54" s="209">
        <f t="shared" si="25"/>
        <v>0</v>
      </c>
      <c r="AQ54" s="209">
        <f t="shared" si="25"/>
        <v>0</v>
      </c>
      <c r="AR54" s="209">
        <f t="shared" si="25"/>
        <v>0</v>
      </c>
      <c r="AS54" s="209">
        <f t="shared" si="25"/>
        <v>0</v>
      </c>
      <c r="AT54" s="209">
        <f t="shared" si="25"/>
        <v>0</v>
      </c>
      <c r="AU54" s="209">
        <f t="shared" si="25"/>
        <v>0</v>
      </c>
      <c r="AV54" s="209">
        <f t="shared" si="25"/>
        <v>0</v>
      </c>
      <c r="AW54" s="209">
        <f t="shared" si="25"/>
        <v>0</v>
      </c>
      <c r="AX54" s="209">
        <f t="shared" si="25"/>
        <v>0</v>
      </c>
      <c r="AY54" s="209">
        <f t="shared" si="25"/>
        <v>0</v>
      </c>
      <c r="AZ54" s="209">
        <f t="shared" si="25"/>
        <v>0</v>
      </c>
      <c r="BA54" s="209">
        <f t="shared" si="25"/>
        <v>0</v>
      </c>
      <c r="BB54" s="209">
        <f t="shared" si="25"/>
        <v>0</v>
      </c>
      <c r="BC54" s="209">
        <f t="shared" si="25"/>
        <v>0</v>
      </c>
      <c r="BD54" s="209">
        <f t="shared" si="25"/>
        <v>0</v>
      </c>
      <c r="BE54" s="209">
        <f t="shared" si="25"/>
        <v>0</v>
      </c>
      <c r="BF54" s="209">
        <f t="shared" si="25"/>
        <v>0</v>
      </c>
      <c r="BG54" s="209">
        <f t="shared" si="25"/>
        <v>0</v>
      </c>
      <c r="BH54" s="209">
        <f t="shared" si="25"/>
        <v>0</v>
      </c>
      <c r="BI54" s="209">
        <f t="shared" si="25"/>
        <v>0</v>
      </c>
      <c r="BJ54" s="209">
        <f t="shared" si="25"/>
        <v>0</v>
      </c>
    </row>
    <row r="55" spans="1:88" x14ac:dyDescent="0.2">
      <c r="C55" s="115" t="s">
        <v>154</v>
      </c>
      <c r="D55" s="203" t="s">
        <v>146</v>
      </c>
      <c r="H55" s="115">
        <f t="shared" ref="H55:AM55" si="26">SUM(H52:H53)-H54</f>
        <v>0</v>
      </c>
      <c r="I55" s="209">
        <f t="shared" si="26"/>
        <v>0</v>
      </c>
      <c r="J55" s="209">
        <f t="shared" si="26"/>
        <v>13.036451123650137</v>
      </c>
      <c r="K55" s="209">
        <f t="shared" si="26"/>
        <v>12.296004387035001</v>
      </c>
      <c r="L55" s="209">
        <f t="shared" si="26"/>
        <v>11.555557650419866</v>
      </c>
      <c r="M55" s="209">
        <f t="shared" si="26"/>
        <v>10.81511091380473</v>
      </c>
      <c r="N55" s="209">
        <f t="shared" si="26"/>
        <v>10.074664177189595</v>
      </c>
      <c r="O55" s="209">
        <f t="shared" si="26"/>
        <v>9.3342174405744593</v>
      </c>
      <c r="P55" s="209">
        <f t="shared" si="26"/>
        <v>8.5937707039593239</v>
      </c>
      <c r="Q55" s="209">
        <f t="shared" si="26"/>
        <v>7.8533239673441884</v>
      </c>
      <c r="R55" s="209">
        <f t="shared" si="26"/>
        <v>7.1128772307290529</v>
      </c>
      <c r="S55" s="209">
        <f t="shared" si="26"/>
        <v>6.3724304941139174</v>
      </c>
      <c r="T55" s="209">
        <f t="shared" si="26"/>
        <v>5.6319837574987819</v>
      </c>
      <c r="U55" s="209">
        <f t="shared" si="26"/>
        <v>4.8915370208836464</v>
      </c>
      <c r="V55" s="209">
        <f t="shared" si="26"/>
        <v>4.1510902842685109</v>
      </c>
      <c r="W55" s="209">
        <f t="shared" si="26"/>
        <v>3.410643547653375</v>
      </c>
      <c r="X55" s="209">
        <f t="shared" si="26"/>
        <v>2.670196811038239</v>
      </c>
      <c r="Y55" s="209">
        <f t="shared" si="26"/>
        <v>1.9297500744231031</v>
      </c>
      <c r="Z55" s="209">
        <f t="shared" si="26"/>
        <v>1.1893033378079672</v>
      </c>
      <c r="AA55" s="209">
        <f t="shared" si="26"/>
        <v>0.448856601192831</v>
      </c>
      <c r="AB55" s="209">
        <f t="shared" si="26"/>
        <v>0</v>
      </c>
      <c r="AC55" s="209">
        <f t="shared" si="26"/>
        <v>0</v>
      </c>
      <c r="AD55" s="209">
        <f t="shared" si="26"/>
        <v>0</v>
      </c>
      <c r="AE55" s="209">
        <f t="shared" si="26"/>
        <v>0</v>
      </c>
      <c r="AF55" s="209">
        <f t="shared" si="26"/>
        <v>0</v>
      </c>
      <c r="AG55" s="209">
        <f t="shared" si="26"/>
        <v>0</v>
      </c>
      <c r="AH55" s="209">
        <f t="shared" si="26"/>
        <v>0</v>
      </c>
      <c r="AI55" s="209">
        <f t="shared" si="26"/>
        <v>0</v>
      </c>
      <c r="AJ55" s="209">
        <f t="shared" si="26"/>
        <v>0</v>
      </c>
      <c r="AK55" s="209">
        <f t="shared" si="26"/>
        <v>0</v>
      </c>
      <c r="AL55" s="209">
        <f t="shared" si="26"/>
        <v>0</v>
      </c>
      <c r="AM55" s="209">
        <f t="shared" si="26"/>
        <v>0</v>
      </c>
      <c r="AN55" s="209">
        <f t="shared" ref="AN55:BJ55" si="27">SUM(AN52:AN53)-AN54</f>
        <v>0</v>
      </c>
      <c r="AO55" s="209">
        <f t="shared" si="27"/>
        <v>0</v>
      </c>
      <c r="AP55" s="209">
        <f t="shared" si="27"/>
        <v>0</v>
      </c>
      <c r="AQ55" s="209">
        <f t="shared" si="27"/>
        <v>0</v>
      </c>
      <c r="AR55" s="209">
        <f t="shared" si="27"/>
        <v>0</v>
      </c>
      <c r="AS55" s="209">
        <f t="shared" si="27"/>
        <v>0</v>
      </c>
      <c r="AT55" s="209">
        <f t="shared" si="27"/>
        <v>0</v>
      </c>
      <c r="AU55" s="209">
        <f t="shared" si="27"/>
        <v>0</v>
      </c>
      <c r="AV55" s="209">
        <f t="shared" si="27"/>
        <v>0</v>
      </c>
      <c r="AW55" s="209">
        <f t="shared" si="27"/>
        <v>0</v>
      </c>
      <c r="AX55" s="209">
        <f t="shared" si="27"/>
        <v>0</v>
      </c>
      <c r="AY55" s="209">
        <f t="shared" si="27"/>
        <v>0</v>
      </c>
      <c r="AZ55" s="209">
        <f t="shared" si="27"/>
        <v>0</v>
      </c>
      <c r="BA55" s="209">
        <f t="shared" si="27"/>
        <v>0</v>
      </c>
      <c r="BB55" s="209">
        <f t="shared" si="27"/>
        <v>0</v>
      </c>
      <c r="BC55" s="209">
        <f t="shared" si="27"/>
        <v>0</v>
      </c>
      <c r="BD55" s="209">
        <f t="shared" si="27"/>
        <v>0</v>
      </c>
      <c r="BE55" s="209">
        <f t="shared" si="27"/>
        <v>0</v>
      </c>
      <c r="BF55" s="209">
        <f t="shared" si="27"/>
        <v>0</v>
      </c>
      <c r="BG55" s="209">
        <f t="shared" si="27"/>
        <v>0</v>
      </c>
      <c r="BH55" s="209">
        <f t="shared" si="27"/>
        <v>0</v>
      </c>
      <c r="BI55" s="209">
        <f t="shared" si="27"/>
        <v>0</v>
      </c>
      <c r="BJ55" s="209">
        <f t="shared" si="27"/>
        <v>0</v>
      </c>
    </row>
    <row r="56" spans="1:88" x14ac:dyDescent="0.2">
      <c r="C56" s="115" t="s">
        <v>153</v>
      </c>
      <c r="D56" s="203" t="s">
        <v>152</v>
      </c>
      <c r="H56" s="115">
        <f t="shared" ref="H56:AM56" si="28">IF(H$9=$G48, $G50,MAX(MIN(G56, G56-1),0))</f>
        <v>0</v>
      </c>
      <c r="I56" s="209">
        <f t="shared" si="28"/>
        <v>0</v>
      </c>
      <c r="J56" s="209">
        <f t="shared" si="28"/>
        <v>17.606197014581664</v>
      </c>
      <c r="K56" s="209">
        <f t="shared" si="28"/>
        <v>16.606197014581664</v>
      </c>
      <c r="L56" s="209">
        <f t="shared" si="28"/>
        <v>15.606197014581664</v>
      </c>
      <c r="M56" s="209">
        <f t="shared" si="28"/>
        <v>14.606197014581664</v>
      </c>
      <c r="N56" s="209">
        <f t="shared" si="28"/>
        <v>13.606197014581664</v>
      </c>
      <c r="O56" s="209">
        <f t="shared" si="28"/>
        <v>12.606197014581664</v>
      </c>
      <c r="P56" s="209">
        <f t="shared" si="28"/>
        <v>11.606197014581664</v>
      </c>
      <c r="Q56" s="209">
        <f t="shared" si="28"/>
        <v>10.606197014581664</v>
      </c>
      <c r="R56" s="209">
        <f t="shared" si="28"/>
        <v>9.6061970145816638</v>
      </c>
      <c r="S56" s="209">
        <f t="shared" si="28"/>
        <v>8.6061970145816638</v>
      </c>
      <c r="T56" s="209">
        <f t="shared" si="28"/>
        <v>7.6061970145816638</v>
      </c>
      <c r="U56" s="209">
        <f t="shared" si="28"/>
        <v>6.6061970145816638</v>
      </c>
      <c r="V56" s="209">
        <f t="shared" si="28"/>
        <v>5.6061970145816638</v>
      </c>
      <c r="W56" s="209">
        <f t="shared" si="28"/>
        <v>4.6061970145816638</v>
      </c>
      <c r="X56" s="209">
        <f t="shared" si="28"/>
        <v>3.6061970145816638</v>
      </c>
      <c r="Y56" s="209">
        <f t="shared" si="28"/>
        <v>2.6061970145816638</v>
      </c>
      <c r="Z56" s="209">
        <f t="shared" si="28"/>
        <v>1.6061970145816638</v>
      </c>
      <c r="AA56" s="209">
        <f t="shared" si="28"/>
        <v>0.60619701458166375</v>
      </c>
      <c r="AB56" s="209">
        <f t="shared" si="28"/>
        <v>0</v>
      </c>
      <c r="AC56" s="209">
        <f t="shared" si="28"/>
        <v>0</v>
      </c>
      <c r="AD56" s="209">
        <f t="shared" si="28"/>
        <v>0</v>
      </c>
      <c r="AE56" s="209">
        <f t="shared" si="28"/>
        <v>0</v>
      </c>
      <c r="AF56" s="209">
        <f t="shared" si="28"/>
        <v>0</v>
      </c>
      <c r="AG56" s="209">
        <f t="shared" si="28"/>
        <v>0</v>
      </c>
      <c r="AH56" s="209">
        <f t="shared" si="28"/>
        <v>0</v>
      </c>
      <c r="AI56" s="209">
        <f t="shared" si="28"/>
        <v>0</v>
      </c>
      <c r="AJ56" s="209">
        <f t="shared" si="28"/>
        <v>0</v>
      </c>
      <c r="AK56" s="209">
        <f t="shared" si="28"/>
        <v>0</v>
      </c>
      <c r="AL56" s="209">
        <f t="shared" si="28"/>
        <v>0</v>
      </c>
      <c r="AM56" s="209">
        <f t="shared" si="28"/>
        <v>0</v>
      </c>
      <c r="AN56" s="209">
        <f t="shared" ref="AN56:BJ56" si="29">IF(AN$9=$G48, $G50,MAX(MIN(AM56, AM56-1),0))</f>
        <v>0</v>
      </c>
      <c r="AO56" s="209">
        <f t="shared" si="29"/>
        <v>0</v>
      </c>
      <c r="AP56" s="209">
        <f t="shared" si="29"/>
        <v>0</v>
      </c>
      <c r="AQ56" s="209">
        <f t="shared" si="29"/>
        <v>0</v>
      </c>
      <c r="AR56" s="209">
        <f t="shared" si="29"/>
        <v>0</v>
      </c>
      <c r="AS56" s="209">
        <f t="shared" si="29"/>
        <v>0</v>
      </c>
      <c r="AT56" s="209">
        <f t="shared" si="29"/>
        <v>0</v>
      </c>
      <c r="AU56" s="209">
        <f t="shared" si="29"/>
        <v>0</v>
      </c>
      <c r="AV56" s="209">
        <f t="shared" si="29"/>
        <v>0</v>
      </c>
      <c r="AW56" s="209">
        <f t="shared" si="29"/>
        <v>0</v>
      </c>
      <c r="AX56" s="209">
        <f t="shared" si="29"/>
        <v>0</v>
      </c>
      <c r="AY56" s="209">
        <f t="shared" si="29"/>
        <v>0</v>
      </c>
      <c r="AZ56" s="209">
        <f t="shared" si="29"/>
        <v>0</v>
      </c>
      <c r="BA56" s="209">
        <f t="shared" si="29"/>
        <v>0</v>
      </c>
      <c r="BB56" s="209">
        <f t="shared" si="29"/>
        <v>0</v>
      </c>
      <c r="BC56" s="209">
        <f t="shared" si="29"/>
        <v>0</v>
      </c>
      <c r="BD56" s="209">
        <f t="shared" si="29"/>
        <v>0</v>
      </c>
      <c r="BE56" s="209">
        <f t="shared" si="29"/>
        <v>0</v>
      </c>
      <c r="BF56" s="209">
        <f t="shared" si="29"/>
        <v>0</v>
      </c>
      <c r="BG56" s="209">
        <f t="shared" si="29"/>
        <v>0</v>
      </c>
      <c r="BH56" s="209">
        <f t="shared" si="29"/>
        <v>0</v>
      </c>
      <c r="BI56" s="209">
        <f t="shared" si="29"/>
        <v>0</v>
      </c>
      <c r="BJ56" s="209">
        <f t="shared" si="29"/>
        <v>0</v>
      </c>
    </row>
    <row r="59" spans="1:88" s="60" customFormat="1" ht="15" x14ac:dyDescent="0.25">
      <c r="A59" s="208"/>
      <c r="B59" s="109"/>
      <c r="C59" s="208" t="s">
        <v>151</v>
      </c>
      <c r="D59" s="109"/>
      <c r="E59" s="109"/>
      <c r="F59" s="107"/>
      <c r="G59" s="107"/>
      <c r="H59" s="107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106"/>
      <c r="AR59" s="106"/>
      <c r="AS59" s="106"/>
      <c r="AT59" s="106"/>
      <c r="AU59" s="106"/>
      <c r="AV59" s="106"/>
      <c r="AW59" s="106"/>
      <c r="AX59" s="106"/>
      <c r="AY59" s="106"/>
      <c r="AZ59" s="106"/>
      <c r="BA59" s="106"/>
      <c r="BB59" s="106"/>
      <c r="BC59" s="106"/>
      <c r="BD59" s="106"/>
      <c r="BE59" s="106"/>
      <c r="BF59" s="106"/>
      <c r="BG59" s="106"/>
      <c r="BH59" s="106"/>
      <c r="BI59" s="106"/>
      <c r="BJ59" s="106"/>
    </row>
    <row r="61" spans="1:88" s="116" customFormat="1" x14ac:dyDescent="0.2">
      <c r="B61" s="205"/>
      <c r="C61" s="206" t="s">
        <v>150</v>
      </c>
      <c r="D61" s="203" t="s">
        <v>146</v>
      </c>
      <c r="F61" s="203"/>
      <c r="H61" s="207">
        <f t="shared" ref="H61:AM61" si="30">H17</f>
        <v>95.496727552778324</v>
      </c>
      <c r="I61" s="207">
        <f t="shared" si="30"/>
        <v>95.496727552778324</v>
      </c>
      <c r="J61" s="207">
        <f t="shared" si="30"/>
        <v>97.135211782242408</v>
      </c>
      <c r="K61" s="207">
        <f t="shared" si="30"/>
        <v>97.135211782242408</v>
      </c>
      <c r="L61" s="207">
        <f t="shared" si="30"/>
        <v>97.135211782242408</v>
      </c>
      <c r="M61" s="207">
        <f t="shared" si="30"/>
        <v>95.181759551041608</v>
      </c>
      <c r="N61" s="207">
        <f t="shared" si="30"/>
        <v>95.181759551041608</v>
      </c>
      <c r="O61" s="207">
        <f t="shared" si="30"/>
        <v>95.181759551041608</v>
      </c>
      <c r="P61" s="207">
        <f t="shared" si="30"/>
        <v>95.181759551041608</v>
      </c>
      <c r="Q61" s="207">
        <f t="shared" si="30"/>
        <v>95.181759551041608</v>
      </c>
      <c r="R61" s="207">
        <f t="shared" si="30"/>
        <v>95.181759551041608</v>
      </c>
      <c r="S61" s="207">
        <f t="shared" si="30"/>
        <v>95.181759551041608</v>
      </c>
      <c r="T61" s="207">
        <f t="shared" si="30"/>
        <v>95.181759551041608</v>
      </c>
      <c r="U61" s="207">
        <f t="shared" si="30"/>
        <v>95.181759551041608</v>
      </c>
      <c r="V61" s="207">
        <f t="shared" si="30"/>
        <v>95.181759551041608</v>
      </c>
      <c r="W61" s="207">
        <f t="shared" si="30"/>
        <v>95.181759551041608</v>
      </c>
      <c r="X61" s="207">
        <f t="shared" si="30"/>
        <v>95.181759551041608</v>
      </c>
      <c r="Y61" s="207">
        <f t="shared" si="30"/>
        <v>95.181759551041608</v>
      </c>
      <c r="Z61" s="207">
        <f t="shared" si="30"/>
        <v>95.181759551041608</v>
      </c>
      <c r="AA61" s="207">
        <f t="shared" si="30"/>
        <v>95.181759551041608</v>
      </c>
      <c r="AB61" s="207">
        <f t="shared" si="30"/>
        <v>65.061955700974352</v>
      </c>
      <c r="AC61" s="207">
        <f t="shared" si="30"/>
        <v>18.697311831400274</v>
      </c>
      <c r="AD61" s="207">
        <f t="shared" si="30"/>
        <v>18.697311831400274</v>
      </c>
      <c r="AE61" s="207">
        <f t="shared" si="30"/>
        <v>18.697311831400274</v>
      </c>
      <c r="AF61" s="207">
        <f t="shared" si="30"/>
        <v>18.697311831400274</v>
      </c>
      <c r="AG61" s="207">
        <f t="shared" si="30"/>
        <v>18.697311831400274</v>
      </c>
      <c r="AH61" s="207">
        <f t="shared" si="30"/>
        <v>18.697311831400274</v>
      </c>
      <c r="AI61" s="207">
        <f t="shared" si="30"/>
        <v>18.697311831400274</v>
      </c>
      <c r="AJ61" s="207">
        <f t="shared" si="30"/>
        <v>18.697311831400274</v>
      </c>
      <c r="AK61" s="207">
        <f t="shared" si="30"/>
        <v>18.697311831400274</v>
      </c>
      <c r="AL61" s="207">
        <f t="shared" si="30"/>
        <v>18.697311831400274</v>
      </c>
      <c r="AM61" s="207">
        <f t="shared" si="30"/>
        <v>18.697311831400274</v>
      </c>
      <c r="AN61" s="207">
        <f t="shared" ref="AN61:BJ61" si="31">AN17</f>
        <v>18.697311831400274</v>
      </c>
      <c r="AO61" s="207">
        <f t="shared" si="31"/>
        <v>18.697311831400274</v>
      </c>
      <c r="AP61" s="207">
        <f t="shared" si="31"/>
        <v>18.697311831400274</v>
      </c>
      <c r="AQ61" s="207">
        <f t="shared" si="31"/>
        <v>18.697311831400274</v>
      </c>
      <c r="AR61" s="207">
        <f t="shared" si="31"/>
        <v>18.697311831400274</v>
      </c>
      <c r="AS61" s="207">
        <f t="shared" si="31"/>
        <v>18.697311831400274</v>
      </c>
      <c r="AT61" s="207">
        <f t="shared" si="31"/>
        <v>18.697311831400274</v>
      </c>
      <c r="AU61" s="207">
        <f t="shared" si="31"/>
        <v>18.697311831400274</v>
      </c>
      <c r="AV61" s="207">
        <f t="shared" si="31"/>
        <v>18.697311831400274</v>
      </c>
      <c r="AW61" s="207">
        <f t="shared" si="31"/>
        <v>18.697311831400274</v>
      </c>
      <c r="AX61" s="207">
        <f t="shared" si="31"/>
        <v>18.697311831400274</v>
      </c>
      <c r="AY61" s="207">
        <f t="shared" si="31"/>
        <v>18.697311831400274</v>
      </c>
      <c r="AZ61" s="207">
        <f t="shared" si="31"/>
        <v>18.697311831400274</v>
      </c>
      <c r="BA61" s="207">
        <f t="shared" si="31"/>
        <v>18.697311831400274</v>
      </c>
      <c r="BB61" s="207">
        <f t="shared" si="31"/>
        <v>18.77538988985172</v>
      </c>
      <c r="BC61" s="207">
        <f t="shared" si="31"/>
        <v>15.64839631396217</v>
      </c>
      <c r="BD61" s="207">
        <f t="shared" si="31"/>
        <v>11.392757868337752</v>
      </c>
      <c r="BE61" s="207">
        <f t="shared" si="31"/>
        <v>8.2105932751082431</v>
      </c>
      <c r="BF61" s="207">
        <f t="shared" si="31"/>
        <v>3.6048207024296559</v>
      </c>
      <c r="BG61" s="207">
        <f t="shared" si="31"/>
        <v>0</v>
      </c>
      <c r="BH61" s="207">
        <f t="shared" si="31"/>
        <v>0</v>
      </c>
      <c r="BI61" s="207">
        <f t="shared" si="31"/>
        <v>0</v>
      </c>
      <c r="BJ61" s="207">
        <f t="shared" si="31"/>
        <v>0</v>
      </c>
      <c r="BL61" s="115"/>
      <c r="BP61" s="206"/>
      <c r="BQ61" s="206"/>
      <c r="BR61" s="206"/>
      <c r="BS61" s="205"/>
      <c r="BT61" s="205"/>
      <c r="BU61" s="205"/>
      <c r="BV61" s="205"/>
      <c r="BW61" s="205"/>
      <c r="BX61" s="205"/>
      <c r="BY61" s="205"/>
      <c r="BZ61" s="205"/>
      <c r="CA61" s="205"/>
      <c r="CB61" s="205"/>
      <c r="CC61" s="205"/>
      <c r="CD61" s="205"/>
      <c r="CE61" s="205"/>
      <c r="CF61" s="205"/>
      <c r="CG61" s="205"/>
      <c r="CJ61" s="204"/>
    </row>
    <row r="62" spans="1:88" x14ac:dyDescent="0.2">
      <c r="C62" s="115" t="str">
        <f>C46</f>
        <v>Depreciation for corresponding assets: Final Determination</v>
      </c>
      <c r="D62" s="203" t="s">
        <v>146</v>
      </c>
      <c r="F62" s="203"/>
      <c r="H62" s="202">
        <f t="shared" ref="H62:AM62" si="32">-H54</f>
        <v>0</v>
      </c>
      <c r="I62" s="202">
        <f t="shared" si="32"/>
        <v>0</v>
      </c>
      <c r="J62" s="202">
        <f t="shared" si="32"/>
        <v>0</v>
      </c>
      <c r="K62" s="202">
        <f t="shared" si="32"/>
        <v>-0.7404467366151356</v>
      </c>
      <c r="L62" s="202">
        <f t="shared" si="32"/>
        <v>-0.74044673661513571</v>
      </c>
      <c r="M62" s="202">
        <f t="shared" si="32"/>
        <v>-0.74044673661513571</v>
      </c>
      <c r="N62" s="202">
        <f t="shared" si="32"/>
        <v>-0.74044673661513571</v>
      </c>
      <c r="O62" s="202">
        <f t="shared" si="32"/>
        <v>-0.74044673661513571</v>
      </c>
      <c r="P62" s="202">
        <f t="shared" si="32"/>
        <v>-0.74044673661513571</v>
      </c>
      <c r="Q62" s="202">
        <f t="shared" si="32"/>
        <v>-0.74044673661513571</v>
      </c>
      <c r="R62" s="202">
        <f t="shared" si="32"/>
        <v>-0.74044673661513571</v>
      </c>
      <c r="S62" s="202">
        <f t="shared" si="32"/>
        <v>-0.74044673661513583</v>
      </c>
      <c r="T62" s="202">
        <f t="shared" si="32"/>
        <v>-0.74044673661513583</v>
      </c>
      <c r="U62" s="202">
        <f t="shared" si="32"/>
        <v>-0.74044673661513583</v>
      </c>
      <c r="V62" s="202">
        <f t="shared" si="32"/>
        <v>-0.74044673661513594</v>
      </c>
      <c r="W62" s="202">
        <f t="shared" si="32"/>
        <v>-0.74044673661513605</v>
      </c>
      <c r="X62" s="202">
        <f t="shared" si="32"/>
        <v>-0.74044673661513605</v>
      </c>
      <c r="Y62" s="202">
        <f t="shared" si="32"/>
        <v>-0.74044673661513605</v>
      </c>
      <c r="Z62" s="202">
        <f t="shared" si="32"/>
        <v>-0.74044673661513605</v>
      </c>
      <c r="AA62" s="202">
        <f t="shared" si="32"/>
        <v>-0.74044673661513616</v>
      </c>
      <c r="AB62" s="202">
        <f t="shared" si="32"/>
        <v>-0.448856601192831</v>
      </c>
      <c r="AC62" s="202">
        <f t="shared" si="32"/>
        <v>0</v>
      </c>
      <c r="AD62" s="202">
        <f t="shared" si="32"/>
        <v>0</v>
      </c>
      <c r="AE62" s="202">
        <f t="shared" si="32"/>
        <v>0</v>
      </c>
      <c r="AF62" s="202">
        <f t="shared" si="32"/>
        <v>0</v>
      </c>
      <c r="AG62" s="202">
        <f t="shared" si="32"/>
        <v>0</v>
      </c>
      <c r="AH62" s="202">
        <f t="shared" si="32"/>
        <v>0</v>
      </c>
      <c r="AI62" s="202">
        <f t="shared" si="32"/>
        <v>0</v>
      </c>
      <c r="AJ62" s="202">
        <f t="shared" si="32"/>
        <v>0</v>
      </c>
      <c r="AK62" s="202">
        <f t="shared" si="32"/>
        <v>0</v>
      </c>
      <c r="AL62" s="202">
        <f t="shared" si="32"/>
        <v>0</v>
      </c>
      <c r="AM62" s="202">
        <f t="shared" si="32"/>
        <v>0</v>
      </c>
      <c r="AN62" s="202">
        <f t="shared" ref="AN62:BJ62" si="33">-AN54</f>
        <v>0</v>
      </c>
      <c r="AO62" s="202">
        <f t="shared" si="33"/>
        <v>0</v>
      </c>
      <c r="AP62" s="202">
        <f t="shared" si="33"/>
        <v>0</v>
      </c>
      <c r="AQ62" s="202">
        <f t="shared" si="33"/>
        <v>0</v>
      </c>
      <c r="AR62" s="202">
        <f t="shared" si="33"/>
        <v>0</v>
      </c>
      <c r="AS62" s="202">
        <f t="shared" si="33"/>
        <v>0</v>
      </c>
      <c r="AT62" s="202">
        <f t="shared" si="33"/>
        <v>0</v>
      </c>
      <c r="AU62" s="202">
        <f t="shared" si="33"/>
        <v>0</v>
      </c>
      <c r="AV62" s="202">
        <f t="shared" si="33"/>
        <v>0</v>
      </c>
      <c r="AW62" s="202">
        <f t="shared" si="33"/>
        <v>0</v>
      </c>
      <c r="AX62" s="202">
        <f t="shared" si="33"/>
        <v>0</v>
      </c>
      <c r="AY62" s="202">
        <f t="shared" si="33"/>
        <v>0</v>
      </c>
      <c r="AZ62" s="202">
        <f t="shared" si="33"/>
        <v>0</v>
      </c>
      <c r="BA62" s="202">
        <f t="shared" si="33"/>
        <v>0</v>
      </c>
      <c r="BB62" s="202">
        <f t="shared" si="33"/>
        <v>0</v>
      </c>
      <c r="BC62" s="202">
        <f t="shared" si="33"/>
        <v>0</v>
      </c>
      <c r="BD62" s="202">
        <f t="shared" si="33"/>
        <v>0</v>
      </c>
      <c r="BE62" s="202">
        <f t="shared" si="33"/>
        <v>0</v>
      </c>
      <c r="BF62" s="202">
        <f t="shared" si="33"/>
        <v>0</v>
      </c>
      <c r="BG62" s="202">
        <f t="shared" si="33"/>
        <v>0</v>
      </c>
      <c r="BH62" s="202">
        <f t="shared" si="33"/>
        <v>0</v>
      </c>
      <c r="BI62" s="202">
        <f t="shared" si="33"/>
        <v>0</v>
      </c>
      <c r="BJ62" s="202">
        <f t="shared" si="33"/>
        <v>0</v>
      </c>
    </row>
    <row r="63" spans="1:88" x14ac:dyDescent="0.2">
      <c r="C63" s="115" t="s">
        <v>149</v>
      </c>
      <c r="D63" s="203" t="s">
        <v>146</v>
      </c>
      <c r="F63" s="203"/>
      <c r="H63" s="202">
        <f t="shared" ref="H63:AM63" si="34">H28</f>
        <v>0</v>
      </c>
      <c r="I63" s="202">
        <f t="shared" si="34"/>
        <v>0</v>
      </c>
      <c r="J63" s="202">
        <f t="shared" si="34"/>
        <v>0</v>
      </c>
      <c r="K63" s="202">
        <f t="shared" si="34"/>
        <v>6.0700948867761806</v>
      </c>
      <c r="L63" s="202">
        <f t="shared" si="34"/>
        <v>6.0700948867761806</v>
      </c>
      <c r="M63" s="202">
        <f t="shared" si="34"/>
        <v>0</v>
      </c>
      <c r="N63" s="202">
        <f t="shared" si="34"/>
        <v>0</v>
      </c>
      <c r="O63" s="202">
        <f t="shared" si="34"/>
        <v>0</v>
      </c>
      <c r="P63" s="202">
        <f t="shared" si="34"/>
        <v>0</v>
      </c>
      <c r="Q63" s="202">
        <f t="shared" si="34"/>
        <v>0</v>
      </c>
      <c r="R63" s="202">
        <f t="shared" si="34"/>
        <v>0</v>
      </c>
      <c r="S63" s="202">
        <f t="shared" si="34"/>
        <v>0</v>
      </c>
      <c r="T63" s="202">
        <f t="shared" si="34"/>
        <v>0</v>
      </c>
      <c r="U63" s="202">
        <f t="shared" si="34"/>
        <v>0</v>
      </c>
      <c r="V63" s="202">
        <f t="shared" si="34"/>
        <v>0</v>
      </c>
      <c r="W63" s="202">
        <f t="shared" si="34"/>
        <v>0</v>
      </c>
      <c r="X63" s="202">
        <f t="shared" si="34"/>
        <v>0</v>
      </c>
      <c r="Y63" s="202">
        <f t="shared" si="34"/>
        <v>0</v>
      </c>
      <c r="Z63" s="202">
        <f t="shared" si="34"/>
        <v>0</v>
      </c>
      <c r="AA63" s="202">
        <f t="shared" si="34"/>
        <v>0</v>
      </c>
      <c r="AB63" s="202">
        <f t="shared" si="34"/>
        <v>0</v>
      </c>
      <c r="AC63" s="202">
        <f t="shared" si="34"/>
        <v>0</v>
      </c>
      <c r="AD63" s="202">
        <f t="shared" si="34"/>
        <v>0</v>
      </c>
      <c r="AE63" s="202">
        <f t="shared" si="34"/>
        <v>0</v>
      </c>
      <c r="AF63" s="202">
        <f t="shared" si="34"/>
        <v>0</v>
      </c>
      <c r="AG63" s="202">
        <f t="shared" si="34"/>
        <v>0</v>
      </c>
      <c r="AH63" s="202">
        <f t="shared" si="34"/>
        <v>0</v>
      </c>
      <c r="AI63" s="202">
        <f t="shared" si="34"/>
        <v>0</v>
      </c>
      <c r="AJ63" s="202">
        <f t="shared" si="34"/>
        <v>0</v>
      </c>
      <c r="AK63" s="202">
        <f t="shared" si="34"/>
        <v>0</v>
      </c>
      <c r="AL63" s="202">
        <f t="shared" si="34"/>
        <v>0</v>
      </c>
      <c r="AM63" s="202">
        <f t="shared" si="34"/>
        <v>0</v>
      </c>
      <c r="AN63" s="202">
        <f t="shared" ref="AN63:BJ63" si="35">AN28</f>
        <v>0</v>
      </c>
      <c r="AO63" s="202">
        <f t="shared" si="35"/>
        <v>0</v>
      </c>
      <c r="AP63" s="202">
        <f t="shared" si="35"/>
        <v>0</v>
      </c>
      <c r="AQ63" s="202">
        <f t="shared" si="35"/>
        <v>0</v>
      </c>
      <c r="AR63" s="202">
        <f t="shared" si="35"/>
        <v>0</v>
      </c>
      <c r="AS63" s="202">
        <f t="shared" si="35"/>
        <v>0</v>
      </c>
      <c r="AT63" s="202">
        <f t="shared" si="35"/>
        <v>0</v>
      </c>
      <c r="AU63" s="202">
        <f t="shared" si="35"/>
        <v>0</v>
      </c>
      <c r="AV63" s="202">
        <f t="shared" si="35"/>
        <v>0</v>
      </c>
      <c r="AW63" s="202">
        <f t="shared" si="35"/>
        <v>0</v>
      </c>
      <c r="AX63" s="202">
        <f t="shared" si="35"/>
        <v>0</v>
      </c>
      <c r="AY63" s="202">
        <f t="shared" si="35"/>
        <v>0</v>
      </c>
      <c r="AZ63" s="202">
        <f t="shared" si="35"/>
        <v>0</v>
      </c>
      <c r="BA63" s="202">
        <f t="shared" si="35"/>
        <v>0</v>
      </c>
      <c r="BB63" s="202">
        <f t="shared" si="35"/>
        <v>0</v>
      </c>
      <c r="BC63" s="202">
        <f t="shared" si="35"/>
        <v>0</v>
      </c>
      <c r="BD63" s="202">
        <f t="shared" si="35"/>
        <v>0</v>
      </c>
      <c r="BE63" s="202">
        <f t="shared" si="35"/>
        <v>0</v>
      </c>
      <c r="BF63" s="202">
        <f t="shared" si="35"/>
        <v>0</v>
      </c>
      <c r="BG63" s="202">
        <f t="shared" si="35"/>
        <v>0</v>
      </c>
      <c r="BH63" s="202">
        <f t="shared" si="35"/>
        <v>0</v>
      </c>
      <c r="BI63" s="202">
        <f t="shared" si="35"/>
        <v>0</v>
      </c>
      <c r="BJ63" s="202">
        <f t="shared" si="35"/>
        <v>0</v>
      </c>
    </row>
    <row r="64" spans="1:88" x14ac:dyDescent="0.2">
      <c r="C64" s="115" t="s">
        <v>148</v>
      </c>
      <c r="D64" s="203" t="s">
        <v>146</v>
      </c>
      <c r="F64" s="203"/>
      <c r="H64" s="202">
        <f t="shared" ref="H64:AM64" si="36">H41</f>
        <v>0</v>
      </c>
      <c r="I64" s="202">
        <f t="shared" si="36"/>
        <v>0</v>
      </c>
      <c r="J64" s="202">
        <f t="shared" si="36"/>
        <v>0</v>
      </c>
      <c r="K64" s="202">
        <f t="shared" si="36"/>
        <v>0.44813067504888748</v>
      </c>
      <c r="L64" s="202">
        <f t="shared" si="36"/>
        <v>0.44813067504888748</v>
      </c>
      <c r="M64" s="202">
        <f t="shared" si="36"/>
        <v>0</v>
      </c>
      <c r="N64" s="202">
        <f t="shared" si="36"/>
        <v>0</v>
      </c>
      <c r="O64" s="202">
        <f t="shared" si="36"/>
        <v>0</v>
      </c>
      <c r="P64" s="202">
        <f t="shared" si="36"/>
        <v>0</v>
      </c>
      <c r="Q64" s="202">
        <f t="shared" si="36"/>
        <v>0</v>
      </c>
      <c r="R64" s="202">
        <f t="shared" si="36"/>
        <v>0</v>
      </c>
      <c r="S64" s="202">
        <f t="shared" si="36"/>
        <v>0</v>
      </c>
      <c r="T64" s="202">
        <f t="shared" si="36"/>
        <v>0</v>
      </c>
      <c r="U64" s="202">
        <f t="shared" si="36"/>
        <v>0</v>
      </c>
      <c r="V64" s="202">
        <f t="shared" si="36"/>
        <v>0</v>
      </c>
      <c r="W64" s="202">
        <f t="shared" si="36"/>
        <v>0</v>
      </c>
      <c r="X64" s="202">
        <f t="shared" si="36"/>
        <v>0</v>
      </c>
      <c r="Y64" s="202">
        <f t="shared" si="36"/>
        <v>0</v>
      </c>
      <c r="Z64" s="202">
        <f t="shared" si="36"/>
        <v>0</v>
      </c>
      <c r="AA64" s="202">
        <f t="shared" si="36"/>
        <v>0</v>
      </c>
      <c r="AB64" s="202">
        <f t="shared" si="36"/>
        <v>0</v>
      </c>
      <c r="AC64" s="202">
        <f t="shared" si="36"/>
        <v>0</v>
      </c>
      <c r="AD64" s="202">
        <f t="shared" si="36"/>
        <v>0</v>
      </c>
      <c r="AE64" s="202">
        <f t="shared" si="36"/>
        <v>0</v>
      </c>
      <c r="AF64" s="202">
        <f t="shared" si="36"/>
        <v>0</v>
      </c>
      <c r="AG64" s="202">
        <f t="shared" si="36"/>
        <v>0</v>
      </c>
      <c r="AH64" s="202">
        <f t="shared" si="36"/>
        <v>0</v>
      </c>
      <c r="AI64" s="202">
        <f t="shared" si="36"/>
        <v>0</v>
      </c>
      <c r="AJ64" s="202">
        <f t="shared" si="36"/>
        <v>0</v>
      </c>
      <c r="AK64" s="202">
        <f t="shared" si="36"/>
        <v>0</v>
      </c>
      <c r="AL64" s="202">
        <f t="shared" si="36"/>
        <v>0</v>
      </c>
      <c r="AM64" s="202">
        <f t="shared" si="36"/>
        <v>0</v>
      </c>
      <c r="AN64" s="202">
        <f t="shared" ref="AN64:BJ64" si="37">AN41</f>
        <v>0</v>
      </c>
      <c r="AO64" s="202">
        <f t="shared" si="37"/>
        <v>0</v>
      </c>
      <c r="AP64" s="202">
        <f t="shared" si="37"/>
        <v>0</v>
      </c>
      <c r="AQ64" s="202">
        <f t="shared" si="37"/>
        <v>0</v>
      </c>
      <c r="AR64" s="202">
        <f t="shared" si="37"/>
        <v>0</v>
      </c>
      <c r="AS64" s="202">
        <f t="shared" si="37"/>
        <v>0</v>
      </c>
      <c r="AT64" s="202">
        <f t="shared" si="37"/>
        <v>0</v>
      </c>
      <c r="AU64" s="202">
        <f t="shared" si="37"/>
        <v>0</v>
      </c>
      <c r="AV64" s="202">
        <f t="shared" si="37"/>
        <v>0</v>
      </c>
      <c r="AW64" s="202">
        <f t="shared" si="37"/>
        <v>0</v>
      </c>
      <c r="AX64" s="202">
        <f t="shared" si="37"/>
        <v>0</v>
      </c>
      <c r="AY64" s="202">
        <f t="shared" si="37"/>
        <v>0</v>
      </c>
      <c r="AZ64" s="202">
        <f t="shared" si="37"/>
        <v>0</v>
      </c>
      <c r="BA64" s="202">
        <f t="shared" si="37"/>
        <v>0</v>
      </c>
      <c r="BB64" s="202">
        <f t="shared" si="37"/>
        <v>0</v>
      </c>
      <c r="BC64" s="202">
        <f t="shared" si="37"/>
        <v>0</v>
      </c>
      <c r="BD64" s="202">
        <f t="shared" si="37"/>
        <v>0</v>
      </c>
      <c r="BE64" s="202">
        <f t="shared" si="37"/>
        <v>0</v>
      </c>
      <c r="BF64" s="202">
        <f t="shared" si="37"/>
        <v>0</v>
      </c>
      <c r="BG64" s="202">
        <f t="shared" si="37"/>
        <v>0</v>
      </c>
      <c r="BH64" s="202">
        <f t="shared" si="37"/>
        <v>0</v>
      </c>
      <c r="BI64" s="202">
        <f t="shared" si="37"/>
        <v>0</v>
      </c>
      <c r="BJ64" s="202">
        <f t="shared" si="37"/>
        <v>0</v>
      </c>
    </row>
    <row r="65" spans="3:62" x14ac:dyDescent="0.2">
      <c r="C65" s="115" t="s">
        <v>147</v>
      </c>
      <c r="D65" s="203" t="s">
        <v>146</v>
      </c>
      <c r="F65" s="203"/>
      <c r="H65" s="202">
        <f t="shared" ref="H65:AM65" si="38">SUM(H61:H64)</f>
        <v>95.496727552778324</v>
      </c>
      <c r="I65" s="202">
        <f t="shared" si="38"/>
        <v>95.496727552778324</v>
      </c>
      <c r="J65" s="202">
        <f t="shared" si="38"/>
        <v>97.135211782242408</v>
      </c>
      <c r="K65" s="202">
        <f t="shared" si="38"/>
        <v>102.91299060745233</v>
      </c>
      <c r="L65" s="202">
        <f t="shared" si="38"/>
        <v>102.91299060745233</v>
      </c>
      <c r="M65" s="202">
        <f t="shared" si="38"/>
        <v>94.441312814426468</v>
      </c>
      <c r="N65" s="202">
        <f t="shared" si="38"/>
        <v>94.441312814426468</v>
      </c>
      <c r="O65" s="202">
        <f t="shared" si="38"/>
        <v>94.441312814426468</v>
      </c>
      <c r="P65" s="202">
        <f t="shared" si="38"/>
        <v>94.441312814426468</v>
      </c>
      <c r="Q65" s="202">
        <f t="shared" si="38"/>
        <v>94.441312814426468</v>
      </c>
      <c r="R65" s="202">
        <f t="shared" si="38"/>
        <v>94.441312814426468</v>
      </c>
      <c r="S65" s="202">
        <f t="shared" si="38"/>
        <v>94.441312814426468</v>
      </c>
      <c r="T65" s="202">
        <f t="shared" si="38"/>
        <v>94.441312814426468</v>
      </c>
      <c r="U65" s="202">
        <f t="shared" si="38"/>
        <v>94.441312814426468</v>
      </c>
      <c r="V65" s="202">
        <f t="shared" si="38"/>
        <v>94.441312814426468</v>
      </c>
      <c r="W65" s="202">
        <f t="shared" si="38"/>
        <v>94.441312814426468</v>
      </c>
      <c r="X65" s="202">
        <f t="shared" si="38"/>
        <v>94.441312814426468</v>
      </c>
      <c r="Y65" s="202">
        <f t="shared" si="38"/>
        <v>94.441312814426468</v>
      </c>
      <c r="Z65" s="202">
        <f t="shared" si="38"/>
        <v>94.441312814426468</v>
      </c>
      <c r="AA65" s="202">
        <f t="shared" si="38"/>
        <v>94.441312814426468</v>
      </c>
      <c r="AB65" s="202">
        <f t="shared" si="38"/>
        <v>64.613099099781522</v>
      </c>
      <c r="AC65" s="202">
        <f t="shared" si="38"/>
        <v>18.697311831400274</v>
      </c>
      <c r="AD65" s="202">
        <f t="shared" si="38"/>
        <v>18.697311831400274</v>
      </c>
      <c r="AE65" s="202">
        <f t="shared" si="38"/>
        <v>18.697311831400274</v>
      </c>
      <c r="AF65" s="202">
        <f t="shared" si="38"/>
        <v>18.697311831400274</v>
      </c>
      <c r="AG65" s="202">
        <f t="shared" si="38"/>
        <v>18.697311831400274</v>
      </c>
      <c r="AH65" s="202">
        <f t="shared" si="38"/>
        <v>18.697311831400274</v>
      </c>
      <c r="AI65" s="202">
        <f t="shared" si="38"/>
        <v>18.697311831400274</v>
      </c>
      <c r="AJ65" s="202">
        <f t="shared" si="38"/>
        <v>18.697311831400274</v>
      </c>
      <c r="AK65" s="202">
        <f t="shared" si="38"/>
        <v>18.697311831400274</v>
      </c>
      <c r="AL65" s="202">
        <f t="shared" si="38"/>
        <v>18.697311831400274</v>
      </c>
      <c r="AM65" s="202">
        <f t="shared" si="38"/>
        <v>18.697311831400274</v>
      </c>
      <c r="AN65" s="202">
        <f t="shared" ref="AN65:BJ65" si="39">SUM(AN61:AN64)</f>
        <v>18.697311831400274</v>
      </c>
      <c r="AO65" s="202">
        <f t="shared" si="39"/>
        <v>18.697311831400274</v>
      </c>
      <c r="AP65" s="202">
        <f t="shared" si="39"/>
        <v>18.697311831400274</v>
      </c>
      <c r="AQ65" s="202">
        <f t="shared" si="39"/>
        <v>18.697311831400274</v>
      </c>
      <c r="AR65" s="202">
        <f t="shared" si="39"/>
        <v>18.697311831400274</v>
      </c>
      <c r="AS65" s="202">
        <f t="shared" si="39"/>
        <v>18.697311831400274</v>
      </c>
      <c r="AT65" s="202">
        <f t="shared" si="39"/>
        <v>18.697311831400274</v>
      </c>
      <c r="AU65" s="202">
        <f t="shared" si="39"/>
        <v>18.697311831400274</v>
      </c>
      <c r="AV65" s="202">
        <f t="shared" si="39"/>
        <v>18.697311831400274</v>
      </c>
      <c r="AW65" s="202">
        <f t="shared" si="39"/>
        <v>18.697311831400274</v>
      </c>
      <c r="AX65" s="202">
        <f t="shared" si="39"/>
        <v>18.697311831400274</v>
      </c>
      <c r="AY65" s="202">
        <f t="shared" si="39"/>
        <v>18.697311831400274</v>
      </c>
      <c r="AZ65" s="202">
        <f t="shared" si="39"/>
        <v>18.697311831400274</v>
      </c>
      <c r="BA65" s="202">
        <f t="shared" si="39"/>
        <v>18.697311831400274</v>
      </c>
      <c r="BB65" s="202">
        <f t="shared" si="39"/>
        <v>18.77538988985172</v>
      </c>
      <c r="BC65" s="202">
        <f t="shared" si="39"/>
        <v>15.64839631396217</v>
      </c>
      <c r="BD65" s="202">
        <f t="shared" si="39"/>
        <v>11.392757868337752</v>
      </c>
      <c r="BE65" s="202">
        <f t="shared" si="39"/>
        <v>8.2105932751082431</v>
      </c>
      <c r="BF65" s="202">
        <f t="shared" si="39"/>
        <v>3.6048207024296559</v>
      </c>
      <c r="BG65" s="202">
        <f t="shared" si="39"/>
        <v>0</v>
      </c>
      <c r="BH65" s="202">
        <f t="shared" si="39"/>
        <v>0</v>
      </c>
      <c r="BI65" s="202">
        <f t="shared" si="39"/>
        <v>0</v>
      </c>
      <c r="BJ65" s="202">
        <f t="shared" si="39"/>
        <v>0</v>
      </c>
    </row>
    <row r="67" spans="3:62" x14ac:dyDescent="0.2">
      <c r="C67" s="201" t="s">
        <v>145</v>
      </c>
      <c r="D67" s="201"/>
      <c r="E67" s="201"/>
      <c r="F67" s="201"/>
      <c r="G67" s="201" t="s">
        <v>144</v>
      </c>
      <c r="H67" s="200">
        <f>SUM(H62:BJ64)</f>
        <v>-6.6613381477509392E-16</v>
      </c>
    </row>
  </sheetData>
  <conditionalFormatting sqref="H2:H3">
    <cfRule type="containsText" dxfId="0" priority="1" operator="containsText" text="TRUE">
      <formula>NOT(ISERROR(SEARCH("TRUE",H2)))</formula>
    </cfRule>
  </conditionalFormatting>
  <pageMargins left="0.70866141732283472" right="0.51181102362204722" top="0.55118110236220474" bottom="0.55118110236220474" header="0.31496062992125984" footer="0.31496062992125984"/>
  <pageSetup paperSize="9" scale="5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8AF5A-4521-4F10-B9BD-87286DDB1FAE}">
  <sheetPr codeName="Sheet6">
    <tabColor rgb="FF0066FF"/>
    <pageSetUpPr fitToPage="1"/>
  </sheetPr>
  <dimension ref="A1:BF66"/>
  <sheetViews>
    <sheetView showGridLines="0" zoomScale="70" zoomScaleNormal="70" zoomScaleSheetLayoutView="85" workbookViewId="0">
      <selection activeCell="G50" sqref="G50"/>
    </sheetView>
  </sheetViews>
  <sheetFormatPr defaultRowHeight="12.75" x14ac:dyDescent="0.2"/>
  <cols>
    <col min="1" max="2" width="2.375" style="54" customWidth="1"/>
    <col min="3" max="3" width="2" style="54" customWidth="1"/>
    <col min="4" max="4" width="30.5" style="54" bestFit="1" customWidth="1"/>
    <col min="5" max="16" width="11.5" style="54" customWidth="1"/>
    <col min="17" max="18" width="11.5" style="55" customWidth="1"/>
    <col min="19" max="20" width="11.5" style="54" customWidth="1"/>
    <col min="21" max="41" width="11.875" style="54" customWidth="1"/>
    <col min="42" max="16384" width="9" style="54"/>
  </cols>
  <sheetData>
    <row r="1" spans="1:58" s="1" customFormat="1" ht="18.75" x14ac:dyDescent="0.3">
      <c r="A1" s="249" t="s">
        <v>190</v>
      </c>
      <c r="B1" s="249"/>
      <c r="C1" s="249"/>
      <c r="D1" s="249"/>
      <c r="E1" s="249"/>
      <c r="F1" s="249"/>
      <c r="G1" s="250"/>
      <c r="H1" s="250"/>
      <c r="I1" s="250"/>
      <c r="J1" s="250"/>
      <c r="K1" s="250"/>
      <c r="L1" s="250"/>
      <c r="M1" s="249"/>
      <c r="N1" s="249"/>
      <c r="O1" s="249"/>
      <c r="P1" s="249"/>
      <c r="Q1" s="249"/>
      <c r="R1" s="249"/>
      <c r="S1" s="249"/>
      <c r="T1" s="249"/>
      <c r="U1" s="251"/>
      <c r="V1" s="251"/>
      <c r="W1" s="251"/>
      <c r="X1" s="251"/>
      <c r="Y1" s="251"/>
      <c r="Z1" s="251"/>
      <c r="AA1" s="251"/>
      <c r="AB1" s="251"/>
      <c r="AC1" s="251"/>
      <c r="AD1" s="251"/>
      <c r="AE1" s="251"/>
      <c r="AF1" s="251"/>
      <c r="AG1" s="251"/>
      <c r="AH1" s="251"/>
      <c r="AI1" s="251"/>
      <c r="AJ1" s="251"/>
      <c r="AK1" s="251"/>
      <c r="AL1" s="251"/>
      <c r="AM1" s="251"/>
      <c r="AN1" s="251"/>
      <c r="AO1" s="251"/>
      <c r="AP1" s="251"/>
      <c r="AQ1" s="251"/>
      <c r="AR1" s="251"/>
      <c r="AS1" s="251"/>
      <c r="AT1" s="251"/>
      <c r="AU1" s="251"/>
      <c r="AV1" s="251"/>
      <c r="AW1" s="251"/>
      <c r="AX1" s="251"/>
      <c r="AY1" s="251"/>
      <c r="AZ1" s="251"/>
      <c r="BA1" s="251"/>
      <c r="BB1" s="251"/>
      <c r="BC1" s="251"/>
      <c r="BD1" s="251"/>
      <c r="BE1" s="251"/>
      <c r="BF1" s="251"/>
    </row>
    <row r="2" spans="1:58" s="1" customFormat="1" ht="15.75" x14ac:dyDescent="0.25">
      <c r="A2" s="252" t="str">
        <f ca="1">RIGHT(CELL("filename", $A$1), LEN(CELL("filename", $A$1)) - SEARCH("]", CELL("filename", $A$1)))</f>
        <v>REFCL_Data</v>
      </c>
      <c r="B2" s="252"/>
      <c r="C2" s="252"/>
      <c r="D2" s="252"/>
      <c r="E2" s="252"/>
      <c r="F2" s="252"/>
      <c r="G2" s="253"/>
      <c r="H2" s="253"/>
      <c r="I2" s="253"/>
      <c r="J2" s="253"/>
      <c r="K2" s="253"/>
      <c r="L2" s="253"/>
      <c r="M2" s="252"/>
      <c r="N2" s="252"/>
      <c r="O2" s="252"/>
      <c r="P2" s="252"/>
      <c r="Q2" s="252"/>
      <c r="R2" s="252"/>
      <c r="S2" s="252"/>
      <c r="T2" s="252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  <c r="AH2" s="251"/>
      <c r="AI2" s="251"/>
      <c r="AJ2" s="251"/>
      <c r="AK2" s="251"/>
      <c r="AL2" s="251"/>
      <c r="AM2" s="251"/>
      <c r="AN2" s="251"/>
      <c r="AO2" s="251"/>
      <c r="AP2" s="251"/>
      <c r="AQ2" s="251"/>
      <c r="AR2" s="251"/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F2" s="251"/>
    </row>
    <row r="3" spans="1:58" s="1" customFormat="1" ht="15.75" x14ac:dyDescent="0.25">
      <c r="A3" s="296" t="s">
        <v>81</v>
      </c>
      <c r="B3" s="252"/>
      <c r="C3" s="252"/>
      <c r="D3" s="252"/>
      <c r="E3" s="252"/>
      <c r="F3" s="252"/>
      <c r="G3" s="253"/>
      <c r="H3" s="253"/>
      <c r="I3" s="253"/>
      <c r="J3" s="253"/>
      <c r="K3" s="253"/>
      <c r="L3" s="253"/>
      <c r="M3" s="252"/>
      <c r="N3" s="252"/>
      <c r="O3" s="252"/>
      <c r="P3" s="252"/>
      <c r="Q3" s="252"/>
      <c r="R3" s="252"/>
      <c r="S3" s="252"/>
      <c r="T3" s="252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  <c r="AH3" s="251"/>
      <c r="AI3" s="251"/>
      <c r="AJ3" s="251"/>
      <c r="AK3" s="251"/>
      <c r="AL3" s="251"/>
      <c r="AM3" s="251"/>
      <c r="AN3" s="251"/>
      <c r="AO3" s="251"/>
      <c r="AP3" s="251"/>
      <c r="AQ3" s="251"/>
      <c r="AR3" s="251"/>
      <c r="AS3" s="251"/>
      <c r="AT3" s="251"/>
      <c r="AU3" s="251"/>
      <c r="AV3" s="251"/>
      <c r="AW3" s="251"/>
      <c r="AX3" s="251"/>
      <c r="AY3" s="251"/>
      <c r="AZ3" s="251"/>
      <c r="BA3" s="251"/>
      <c r="BB3" s="251"/>
      <c r="BC3" s="251"/>
      <c r="BD3" s="251"/>
      <c r="BE3" s="251"/>
      <c r="BF3" s="251"/>
    </row>
    <row r="4" spans="1:58" x14ac:dyDescent="0.2">
      <c r="A4" s="105"/>
      <c r="J4" s="110"/>
      <c r="K4" s="110"/>
      <c r="L4" s="110"/>
      <c r="M4" s="110"/>
      <c r="N4" s="110"/>
      <c r="P4" s="110"/>
      <c r="S4" s="110"/>
      <c r="Y4" s="111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</row>
    <row r="5" spans="1:58" x14ac:dyDescent="0.2">
      <c r="A5" s="105"/>
      <c r="C5" s="64"/>
      <c r="D5" s="64"/>
      <c r="E5" s="64"/>
      <c r="I5" s="64"/>
      <c r="U5" s="58"/>
      <c r="V5" s="58"/>
      <c r="W5" s="58"/>
      <c r="X5" s="58"/>
    </row>
    <row r="6" spans="1:58" x14ac:dyDescent="0.2">
      <c r="A6" s="104"/>
      <c r="B6" s="104"/>
    </row>
    <row r="7" spans="1:58" s="60" customFormat="1" x14ac:dyDescent="0.2">
      <c r="A7" s="109" t="s">
        <v>80</v>
      </c>
      <c r="B7" s="109"/>
      <c r="C7" s="109"/>
      <c r="D7" s="109"/>
      <c r="E7" s="109"/>
      <c r="F7" s="107"/>
      <c r="G7" s="107"/>
      <c r="H7" s="107"/>
      <c r="I7" s="109"/>
      <c r="J7" s="106"/>
      <c r="K7" s="106"/>
      <c r="L7" s="106"/>
      <c r="M7" s="106"/>
      <c r="N7" s="106"/>
      <c r="O7" s="107"/>
      <c r="P7" s="106"/>
      <c r="Q7" s="108"/>
      <c r="R7" s="108"/>
      <c r="S7" s="106"/>
      <c r="T7" s="107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106"/>
    </row>
    <row r="8" spans="1:58" x14ac:dyDescent="0.2">
      <c r="A8" s="105"/>
      <c r="B8" s="104"/>
    </row>
    <row r="9" spans="1:58" ht="15" x14ac:dyDescent="0.25">
      <c r="J9" s="99" t="s">
        <v>26</v>
      </c>
      <c r="K9" s="102"/>
      <c r="L9" s="102"/>
      <c r="M9" s="102"/>
      <c r="N9" s="102"/>
      <c r="O9" s="98"/>
      <c r="Q9" s="312" t="s">
        <v>79</v>
      </c>
      <c r="R9" s="313"/>
      <c r="T9" s="103" t="s">
        <v>78</v>
      </c>
      <c r="U9" s="102"/>
      <c r="V9" s="102" t="s">
        <v>49</v>
      </c>
      <c r="W9" s="102" t="s">
        <v>49</v>
      </c>
      <c r="X9" s="102" t="s">
        <v>49</v>
      </c>
      <c r="Y9" s="102" t="s">
        <v>49</v>
      </c>
      <c r="Z9" s="102" t="s">
        <v>49</v>
      </c>
      <c r="AA9" s="102" t="s">
        <v>49</v>
      </c>
      <c r="AB9" s="102" t="s">
        <v>42</v>
      </c>
      <c r="AC9" s="102" t="s">
        <v>42</v>
      </c>
      <c r="AD9" s="102" t="s">
        <v>42</v>
      </c>
      <c r="AE9" s="102" t="s">
        <v>42</v>
      </c>
      <c r="AF9" s="102" t="s">
        <v>42</v>
      </c>
      <c r="AG9" s="102" t="s">
        <v>42</v>
      </c>
      <c r="AH9" s="102" t="s">
        <v>34</v>
      </c>
      <c r="AI9" s="102" t="s">
        <v>34</v>
      </c>
      <c r="AJ9" s="102" t="s">
        <v>34</v>
      </c>
      <c r="AK9" s="102" t="s">
        <v>34</v>
      </c>
      <c r="AL9" s="102" t="s">
        <v>34</v>
      </c>
      <c r="AM9" s="102" t="s">
        <v>34</v>
      </c>
      <c r="AN9" s="102" t="s">
        <v>34</v>
      </c>
      <c r="AO9" s="98" t="s">
        <v>33</v>
      </c>
    </row>
    <row r="10" spans="1:58" ht="15" x14ac:dyDescent="0.25">
      <c r="B10" s="101" t="s">
        <v>77</v>
      </c>
      <c r="F10" s="100" t="s">
        <v>32</v>
      </c>
      <c r="G10" s="100" t="s">
        <v>31</v>
      </c>
      <c r="H10" s="100" t="s">
        <v>30</v>
      </c>
      <c r="J10" s="97" t="s">
        <v>76</v>
      </c>
      <c r="K10" s="97" t="s">
        <v>49</v>
      </c>
      <c r="L10" s="96" t="s">
        <v>42</v>
      </c>
      <c r="M10" s="96" t="s">
        <v>34</v>
      </c>
      <c r="N10" s="100" t="s">
        <v>33</v>
      </c>
      <c r="O10" s="100" t="s">
        <v>75</v>
      </c>
      <c r="Q10" s="99" t="s">
        <v>74</v>
      </c>
      <c r="R10" s="98" t="s">
        <v>73</v>
      </c>
      <c r="T10" s="97" t="s">
        <v>57</v>
      </c>
      <c r="U10" s="96" t="s">
        <v>56</v>
      </c>
      <c r="V10" s="97" t="s">
        <v>55</v>
      </c>
      <c r="W10" s="96" t="s">
        <v>54</v>
      </c>
      <c r="X10" s="96" t="s">
        <v>53</v>
      </c>
      <c r="Y10" s="96" t="s">
        <v>52</v>
      </c>
      <c r="Z10" s="96" t="s">
        <v>51</v>
      </c>
      <c r="AA10" s="95" t="s">
        <v>50</v>
      </c>
      <c r="AB10" s="97" t="s">
        <v>48</v>
      </c>
      <c r="AC10" s="96" t="s">
        <v>47</v>
      </c>
      <c r="AD10" s="96" t="s">
        <v>46</v>
      </c>
      <c r="AE10" s="96" t="s">
        <v>45</v>
      </c>
      <c r="AF10" s="96" t="s">
        <v>44</v>
      </c>
      <c r="AG10" s="95" t="s">
        <v>43</v>
      </c>
      <c r="AH10" s="96" t="s">
        <v>41</v>
      </c>
      <c r="AI10" s="96" t="s">
        <v>40</v>
      </c>
      <c r="AJ10" s="96" t="s">
        <v>39</v>
      </c>
      <c r="AK10" s="96" t="s">
        <v>38</v>
      </c>
      <c r="AL10" s="96" t="s">
        <v>37</v>
      </c>
      <c r="AM10" s="96" t="s">
        <v>36</v>
      </c>
      <c r="AN10" s="95" t="s">
        <v>35</v>
      </c>
      <c r="AO10" s="95" t="s">
        <v>33</v>
      </c>
    </row>
    <row r="11" spans="1:58" x14ac:dyDescent="0.2">
      <c r="D11" s="56" t="s">
        <v>70</v>
      </c>
      <c r="F11" s="77">
        <v>1218.8062360697741</v>
      </c>
      <c r="G11" s="77">
        <v>1183.4344281784981</v>
      </c>
      <c r="H11" s="77">
        <f>[3]Tot_cost!AU18/M11</f>
        <v>2475.6768968077099</v>
      </c>
      <c r="J11" s="266"/>
      <c r="K11" s="263">
        <f t="shared" ref="K11:K23" si="0">SUMIF($T$9:$AO$9,K$10, $T11:$AO11)</f>
        <v>3706</v>
      </c>
      <c r="L11" s="262">
        <f t="shared" ref="L11:N23" si="1">SUMIF($T$9:$AO$9,L$10, $T11:$AO11)</f>
        <v>3811</v>
      </c>
      <c r="M11" s="262">
        <f t="shared" si="1"/>
        <v>2096</v>
      </c>
      <c r="N11" s="263">
        <f t="shared" si="1"/>
        <v>611</v>
      </c>
      <c r="O11" s="263">
        <f>SUM(M11:N11)</f>
        <v>2707</v>
      </c>
      <c r="P11" s="59"/>
      <c r="Q11" s="94" t="s">
        <v>72</v>
      </c>
      <c r="R11" s="93" t="s">
        <v>71</v>
      </c>
      <c r="S11" s="59"/>
      <c r="T11" s="85"/>
      <c r="U11" s="86"/>
      <c r="V11" s="85">
        <v>390</v>
      </c>
      <c r="W11" s="84">
        <v>768</v>
      </c>
      <c r="X11" s="84">
        <v>886</v>
      </c>
      <c r="Y11" s="84">
        <v>560</v>
      </c>
      <c r="Z11" s="84">
        <v>256</v>
      </c>
      <c r="AA11" s="83">
        <v>846</v>
      </c>
      <c r="AB11" s="92">
        <v>1079</v>
      </c>
      <c r="AC11" s="91">
        <v>1049</v>
      </c>
      <c r="AD11" s="91">
        <v>527</v>
      </c>
      <c r="AE11" s="91">
        <v>442</v>
      </c>
      <c r="AF11" s="91">
        <v>248</v>
      </c>
      <c r="AG11" s="90">
        <v>466</v>
      </c>
      <c r="AH11" s="89">
        <f>[3]ART_volumes!K18</f>
        <v>406</v>
      </c>
      <c r="AI11" s="84">
        <f>[3]CRO_volumes!K18</f>
        <v>92</v>
      </c>
      <c r="AJ11" s="84">
        <f>[3]HTN_volumes!K18</f>
        <v>369</v>
      </c>
      <c r="AK11" s="84">
        <f>[3]KRT_volumes!K18</f>
        <v>341</v>
      </c>
      <c r="AL11" s="84">
        <f>[3]MBN_volumes!K18</f>
        <v>148</v>
      </c>
      <c r="AM11" s="84">
        <f>[3]STL_volumes!K18</f>
        <v>184</v>
      </c>
      <c r="AN11" s="83">
        <f>[3]TRG_volumes!K18</f>
        <v>556</v>
      </c>
      <c r="AO11" s="83">
        <v>611</v>
      </c>
    </row>
    <row r="12" spans="1:58" x14ac:dyDescent="0.2">
      <c r="D12" s="56" t="s">
        <v>69</v>
      </c>
      <c r="F12" s="77">
        <v>1580.6526451884408</v>
      </c>
      <c r="G12" s="77">
        <v>1517.6562073744819</v>
      </c>
      <c r="H12" s="77">
        <f>[3]Tot_cost!AU19/M12</f>
        <v>2620.5666086549813</v>
      </c>
      <c r="J12" s="267"/>
      <c r="K12" s="263">
        <f t="shared" si="0"/>
        <v>2573</v>
      </c>
      <c r="L12" s="262">
        <f t="shared" si="1"/>
        <v>4175</v>
      </c>
      <c r="M12" s="262">
        <f t="shared" si="1"/>
        <v>3860</v>
      </c>
      <c r="N12" s="263">
        <f t="shared" si="1"/>
        <v>998</v>
      </c>
      <c r="O12" s="263">
        <f>SUM(M12:N12)</f>
        <v>4858</v>
      </c>
      <c r="P12" s="59"/>
      <c r="Q12" s="88" t="s">
        <v>72</v>
      </c>
      <c r="R12" s="87" t="s">
        <v>71</v>
      </c>
      <c r="S12" s="59"/>
      <c r="T12" s="85"/>
      <c r="U12" s="86"/>
      <c r="V12" s="85">
        <v>346</v>
      </c>
      <c r="W12" s="84">
        <v>658</v>
      </c>
      <c r="X12" s="84">
        <v>444</v>
      </c>
      <c r="Y12" s="84">
        <v>354</v>
      </c>
      <c r="Z12" s="84">
        <v>105</v>
      </c>
      <c r="AA12" s="83">
        <v>666</v>
      </c>
      <c r="AB12" s="85">
        <v>1104</v>
      </c>
      <c r="AC12" s="84">
        <v>857</v>
      </c>
      <c r="AD12" s="84">
        <v>712</v>
      </c>
      <c r="AE12" s="84">
        <v>316</v>
      </c>
      <c r="AF12" s="84">
        <v>446</v>
      </c>
      <c r="AG12" s="83">
        <v>740</v>
      </c>
      <c r="AH12" s="89">
        <f>[3]ART_volumes!K19</f>
        <v>347</v>
      </c>
      <c r="AI12" s="84">
        <f>[3]CRO_volumes!K19</f>
        <v>889</v>
      </c>
      <c r="AJ12" s="84">
        <f>[3]HTN_volumes!K19</f>
        <v>265</v>
      </c>
      <c r="AK12" s="84">
        <f>[3]KRT_volumes!K19</f>
        <v>553</v>
      </c>
      <c r="AL12" s="84">
        <f>[3]MBN_volumes!K19</f>
        <v>1040</v>
      </c>
      <c r="AM12" s="84">
        <f>[3]STL_volumes!K19</f>
        <v>249</v>
      </c>
      <c r="AN12" s="83">
        <f>[3]TRG_volumes!K19</f>
        <v>517</v>
      </c>
      <c r="AO12" s="83">
        <v>998</v>
      </c>
    </row>
    <row r="13" spans="1:58" x14ac:dyDescent="0.2">
      <c r="D13" s="54" t="s">
        <v>68</v>
      </c>
      <c r="F13" s="77">
        <v>52490.625494596236</v>
      </c>
      <c r="G13" s="77">
        <v>50810.105884188524</v>
      </c>
      <c r="H13" s="77">
        <f>[3]Tot_cost!AU20/M13</f>
        <v>58154.362410924339</v>
      </c>
      <c r="J13" s="267"/>
      <c r="K13" s="263">
        <f t="shared" si="0"/>
        <v>13</v>
      </c>
      <c r="L13" s="262">
        <f t="shared" si="1"/>
        <v>40</v>
      </c>
      <c r="M13" s="262">
        <f t="shared" si="1"/>
        <v>20</v>
      </c>
      <c r="N13" s="263">
        <f t="shared" si="1"/>
        <v>2</v>
      </c>
      <c r="O13" s="263">
        <f t="shared" ref="O13:O23" si="2">SUM(J13:N13)</f>
        <v>75</v>
      </c>
      <c r="P13" s="59"/>
      <c r="Q13" s="88" t="s">
        <v>72</v>
      </c>
      <c r="R13" s="87" t="s">
        <v>71</v>
      </c>
      <c r="S13" s="59"/>
      <c r="T13" s="85"/>
      <c r="U13" s="86"/>
      <c r="V13" s="85">
        <v>4</v>
      </c>
      <c r="W13" s="84">
        <v>4</v>
      </c>
      <c r="X13" s="84">
        <v>1</v>
      </c>
      <c r="Y13" s="84">
        <v>1</v>
      </c>
      <c r="Z13" s="84">
        <v>0</v>
      </c>
      <c r="AA13" s="83">
        <v>3</v>
      </c>
      <c r="AB13" s="85">
        <v>13</v>
      </c>
      <c r="AC13" s="84">
        <v>11</v>
      </c>
      <c r="AD13" s="84">
        <v>1</v>
      </c>
      <c r="AE13" s="84">
        <v>3</v>
      </c>
      <c r="AF13" s="84">
        <v>8</v>
      </c>
      <c r="AG13" s="83">
        <v>4</v>
      </c>
      <c r="AH13" s="89">
        <f>[3]ART_volumes!K20</f>
        <v>1</v>
      </c>
      <c r="AI13" s="84">
        <f>[3]CRO_volumes!K20</f>
        <v>3</v>
      </c>
      <c r="AJ13" s="84">
        <f>[3]HTN_volumes!K20</f>
        <v>6</v>
      </c>
      <c r="AK13" s="84">
        <f>[3]KRT_volumes!K20</f>
        <v>3</v>
      </c>
      <c r="AL13" s="84">
        <f>[3]MBN_volumes!K20</f>
        <v>1</v>
      </c>
      <c r="AM13" s="84">
        <f>[3]STL_volumes!K20</f>
        <v>1</v>
      </c>
      <c r="AN13" s="83">
        <f>[3]TRG_volumes!K20</f>
        <v>5</v>
      </c>
      <c r="AO13" s="83">
        <v>2</v>
      </c>
    </row>
    <row r="14" spans="1:58" x14ac:dyDescent="0.2">
      <c r="D14" s="56" t="s">
        <v>67</v>
      </c>
      <c r="F14" s="77">
        <v>13333.693372777832</v>
      </c>
      <c r="G14" s="77">
        <v>15034.919217366642</v>
      </c>
      <c r="H14" s="77">
        <f>[3]Tot_cost!AU21/M14</f>
        <v>25692.520114554711</v>
      </c>
      <c r="J14" s="267"/>
      <c r="K14" s="263">
        <f t="shared" si="0"/>
        <v>31</v>
      </c>
      <c r="L14" s="262">
        <f t="shared" si="1"/>
        <v>53</v>
      </c>
      <c r="M14" s="262">
        <f t="shared" si="1"/>
        <v>22</v>
      </c>
      <c r="N14" s="263">
        <f t="shared" si="1"/>
        <v>4</v>
      </c>
      <c r="O14" s="263">
        <f t="shared" si="2"/>
        <v>110</v>
      </c>
      <c r="P14" s="59"/>
      <c r="Q14" s="88" t="s">
        <v>72</v>
      </c>
      <c r="R14" s="87" t="s">
        <v>72</v>
      </c>
      <c r="S14" s="59"/>
      <c r="T14" s="85"/>
      <c r="U14" s="86"/>
      <c r="V14" s="85">
        <v>2</v>
      </c>
      <c r="W14" s="84">
        <v>17</v>
      </c>
      <c r="X14" s="84">
        <v>3</v>
      </c>
      <c r="Y14" s="84">
        <v>6</v>
      </c>
      <c r="Z14" s="84">
        <v>0</v>
      </c>
      <c r="AA14" s="83">
        <v>3</v>
      </c>
      <c r="AB14" s="85">
        <v>21</v>
      </c>
      <c r="AC14" s="84">
        <v>10</v>
      </c>
      <c r="AD14" s="84">
        <v>9</v>
      </c>
      <c r="AE14" s="84">
        <v>2</v>
      </c>
      <c r="AF14" s="84">
        <v>7</v>
      </c>
      <c r="AG14" s="83">
        <v>4</v>
      </c>
      <c r="AH14" s="89">
        <f>[3]ART_volumes!K21</f>
        <v>0</v>
      </c>
      <c r="AI14" s="84">
        <f>[3]CRO_volumes!K21</f>
        <v>4</v>
      </c>
      <c r="AJ14" s="84">
        <f>[3]HTN_volumes!K21</f>
        <v>1</v>
      </c>
      <c r="AK14" s="84">
        <f>[3]KRT_volumes!K21</f>
        <v>3</v>
      </c>
      <c r="AL14" s="84">
        <f>[3]MBN_volumes!K21</f>
        <v>2</v>
      </c>
      <c r="AM14" s="84">
        <f>[3]STL_volumes!K21</f>
        <v>7</v>
      </c>
      <c r="AN14" s="83">
        <f>[3]TRG_volumes!K21</f>
        <v>5</v>
      </c>
      <c r="AO14" s="83">
        <v>4</v>
      </c>
    </row>
    <row r="15" spans="1:58" x14ac:dyDescent="0.2">
      <c r="D15" s="54" t="s">
        <v>66</v>
      </c>
      <c r="F15" s="77">
        <v>26783.233947808279</v>
      </c>
      <c r="G15" s="77">
        <v>31901.824684915722</v>
      </c>
      <c r="H15" s="77">
        <f>[3]Tot_cost!AU22/M15</f>
        <v>35969.005579017663</v>
      </c>
      <c r="J15" s="267"/>
      <c r="K15" s="263">
        <f t="shared" si="0"/>
        <v>42</v>
      </c>
      <c r="L15" s="262">
        <f t="shared" si="1"/>
        <v>117</v>
      </c>
      <c r="M15" s="262">
        <f t="shared" si="1"/>
        <v>71</v>
      </c>
      <c r="N15" s="263">
        <f t="shared" si="1"/>
        <v>0</v>
      </c>
      <c r="O15" s="263">
        <f t="shared" si="2"/>
        <v>230</v>
      </c>
      <c r="P15" s="59"/>
      <c r="Q15" s="88" t="s">
        <v>72</v>
      </c>
      <c r="R15" s="87" t="s">
        <v>72</v>
      </c>
      <c r="S15" s="59"/>
      <c r="T15" s="85"/>
      <c r="U15" s="86"/>
      <c r="V15" s="85">
        <v>2</v>
      </c>
      <c r="W15" s="84">
        <v>9</v>
      </c>
      <c r="X15" s="84">
        <v>8</v>
      </c>
      <c r="Y15" s="84">
        <v>3</v>
      </c>
      <c r="Z15" s="84">
        <v>12</v>
      </c>
      <c r="AA15" s="83">
        <v>8</v>
      </c>
      <c r="AB15" s="85">
        <v>32</v>
      </c>
      <c r="AC15" s="84">
        <v>31</v>
      </c>
      <c r="AD15" s="84">
        <v>10</v>
      </c>
      <c r="AE15" s="84">
        <v>11</v>
      </c>
      <c r="AF15" s="84">
        <v>13</v>
      </c>
      <c r="AG15" s="83">
        <v>20</v>
      </c>
      <c r="AH15" s="89">
        <f>[3]ART_volumes!K22</f>
        <v>19</v>
      </c>
      <c r="AI15" s="84">
        <f>[3]CRO_volumes!K22</f>
        <v>2</v>
      </c>
      <c r="AJ15" s="84">
        <f>[3]HTN_volumes!K22</f>
        <v>18</v>
      </c>
      <c r="AK15" s="84">
        <f>[3]KRT_volumes!K22</f>
        <v>10</v>
      </c>
      <c r="AL15" s="84">
        <f>[3]MBN_volumes!K22</f>
        <v>2</v>
      </c>
      <c r="AM15" s="84">
        <f>[3]STL_volumes!K22</f>
        <v>4</v>
      </c>
      <c r="AN15" s="83">
        <f>[3]TRG_volumes!K22</f>
        <v>16</v>
      </c>
      <c r="AO15" s="83"/>
    </row>
    <row r="16" spans="1:58" x14ac:dyDescent="0.2">
      <c r="D16" s="54" t="s">
        <v>65</v>
      </c>
      <c r="F16" s="77">
        <v>35652.141464441505</v>
      </c>
      <c r="G16" s="77">
        <v>35016.040417869997</v>
      </c>
      <c r="H16" s="77">
        <f>[3]Tot_cost!AU23/M16</f>
        <v>29984.014741289498</v>
      </c>
      <c r="J16" s="267"/>
      <c r="K16" s="263">
        <f t="shared" si="0"/>
        <v>190</v>
      </c>
      <c r="L16" s="262">
        <f t="shared" si="1"/>
        <v>287</v>
      </c>
      <c r="M16" s="262">
        <f t="shared" si="1"/>
        <v>139</v>
      </c>
      <c r="N16" s="263">
        <f t="shared" si="1"/>
        <v>0</v>
      </c>
      <c r="O16" s="263">
        <f t="shared" si="2"/>
        <v>616</v>
      </c>
      <c r="P16" s="59"/>
      <c r="Q16" s="88" t="s">
        <v>72</v>
      </c>
      <c r="R16" s="87" t="s">
        <v>72</v>
      </c>
      <c r="S16" s="59"/>
      <c r="T16" s="85"/>
      <c r="U16" s="86"/>
      <c r="V16" s="85">
        <v>41</v>
      </c>
      <c r="W16" s="84">
        <v>42</v>
      </c>
      <c r="X16" s="84">
        <v>30</v>
      </c>
      <c r="Y16" s="84">
        <v>33</v>
      </c>
      <c r="Z16" s="84">
        <v>13</v>
      </c>
      <c r="AA16" s="83">
        <v>31</v>
      </c>
      <c r="AB16" s="85">
        <v>77</v>
      </c>
      <c r="AC16" s="84">
        <v>61</v>
      </c>
      <c r="AD16" s="84">
        <v>35</v>
      </c>
      <c r="AE16" s="84">
        <v>27</v>
      </c>
      <c r="AF16" s="84">
        <v>44</v>
      </c>
      <c r="AG16" s="83">
        <v>43</v>
      </c>
      <c r="AH16" s="89">
        <f>[3]ART_volumes!K23</f>
        <v>17</v>
      </c>
      <c r="AI16" s="84">
        <f>[3]CRO_volumes!K23</f>
        <v>20</v>
      </c>
      <c r="AJ16" s="84">
        <f>[3]HTN_volumes!K23</f>
        <v>27</v>
      </c>
      <c r="AK16" s="84">
        <f>[3]KRT_volumes!K23</f>
        <v>22</v>
      </c>
      <c r="AL16" s="84">
        <f>[3]MBN_volumes!K23</f>
        <v>11</v>
      </c>
      <c r="AM16" s="84">
        <f>[3]STL_volumes!K23</f>
        <v>17</v>
      </c>
      <c r="AN16" s="83">
        <f>[3]TRG_volumes!K23</f>
        <v>25</v>
      </c>
      <c r="AO16" s="83"/>
    </row>
    <row r="17" spans="1:41" x14ac:dyDescent="0.2">
      <c r="D17" s="54" t="s">
        <v>64</v>
      </c>
      <c r="F17" s="77">
        <v>2301.2200188915804</v>
      </c>
      <c r="G17" s="77">
        <v>1466.9361522533911</v>
      </c>
      <c r="H17" s="77">
        <f>[3]Tot_cost!AU24/M17</f>
        <v>2457.8474810609214</v>
      </c>
      <c r="J17" s="267"/>
      <c r="K17" s="263">
        <f t="shared" si="0"/>
        <v>211</v>
      </c>
      <c r="L17" s="262">
        <f t="shared" si="1"/>
        <v>156</v>
      </c>
      <c r="M17" s="262">
        <f t="shared" si="1"/>
        <v>273</v>
      </c>
      <c r="N17" s="263">
        <f t="shared" si="1"/>
        <v>0</v>
      </c>
      <c r="O17" s="263">
        <f t="shared" si="2"/>
        <v>640</v>
      </c>
      <c r="P17" s="59"/>
      <c r="Q17" s="88" t="s">
        <v>72</v>
      </c>
      <c r="R17" s="87" t="s">
        <v>72</v>
      </c>
      <c r="S17" s="59"/>
      <c r="T17" s="85"/>
      <c r="U17" s="86"/>
      <c r="V17" s="85">
        <v>42</v>
      </c>
      <c r="W17" s="84">
        <v>46</v>
      </c>
      <c r="X17" s="84">
        <v>34</v>
      </c>
      <c r="Y17" s="84">
        <v>39</v>
      </c>
      <c r="Z17" s="84">
        <v>14</v>
      </c>
      <c r="AA17" s="83">
        <v>36</v>
      </c>
      <c r="AB17" s="85">
        <v>43</v>
      </c>
      <c r="AC17" s="84">
        <v>45</v>
      </c>
      <c r="AD17" s="84">
        <v>15</v>
      </c>
      <c r="AE17" s="84">
        <v>16</v>
      </c>
      <c r="AF17" s="84">
        <v>21</v>
      </c>
      <c r="AG17" s="83">
        <v>16</v>
      </c>
      <c r="AH17" s="89">
        <f>[3]ART_volumes!K24</f>
        <v>44</v>
      </c>
      <c r="AI17" s="84">
        <f>[3]CRO_volumes!K24</f>
        <v>20</v>
      </c>
      <c r="AJ17" s="84">
        <f>[3]HTN_volumes!K24</f>
        <v>50</v>
      </c>
      <c r="AK17" s="84">
        <f>[3]KRT_volumes!K24</f>
        <v>49</v>
      </c>
      <c r="AL17" s="84">
        <f>[3]MBN_volumes!K24</f>
        <v>10</v>
      </c>
      <c r="AM17" s="84">
        <f>[3]STL_volumes!K24</f>
        <v>30</v>
      </c>
      <c r="AN17" s="83">
        <f>[3]TRG_volumes!K24</f>
        <v>70</v>
      </c>
      <c r="AO17" s="83"/>
    </row>
    <row r="18" spans="1:41" x14ac:dyDescent="0.2">
      <c r="D18" s="54" t="s">
        <v>63</v>
      </c>
      <c r="F18" s="77">
        <v>13602.70976559782</v>
      </c>
      <c r="G18" s="77">
        <v>13042.948066300896</v>
      </c>
      <c r="H18" s="77">
        <f>[3]Tot_cost!AU25/M18</f>
        <v>16252.303289494826</v>
      </c>
      <c r="J18" s="267"/>
      <c r="K18" s="263">
        <f t="shared" si="0"/>
        <v>244</v>
      </c>
      <c r="L18" s="262">
        <f t="shared" si="1"/>
        <v>217</v>
      </c>
      <c r="M18" s="262">
        <f t="shared" si="1"/>
        <v>207</v>
      </c>
      <c r="N18" s="263">
        <f t="shared" si="1"/>
        <v>0</v>
      </c>
      <c r="O18" s="263">
        <f t="shared" si="2"/>
        <v>668</v>
      </c>
      <c r="P18" s="59"/>
      <c r="Q18" s="88" t="s">
        <v>72</v>
      </c>
      <c r="R18" s="87" t="s">
        <v>72</v>
      </c>
      <c r="S18" s="59"/>
      <c r="T18" s="85"/>
      <c r="U18" s="86"/>
      <c r="V18" s="85">
        <v>48</v>
      </c>
      <c r="W18" s="84">
        <v>56</v>
      </c>
      <c r="X18" s="84">
        <v>40</v>
      </c>
      <c r="Y18" s="84">
        <v>42</v>
      </c>
      <c r="Z18" s="84">
        <v>32</v>
      </c>
      <c r="AA18" s="83">
        <v>26</v>
      </c>
      <c r="AB18" s="85">
        <v>59</v>
      </c>
      <c r="AC18" s="84">
        <v>57</v>
      </c>
      <c r="AD18" s="84">
        <v>20</v>
      </c>
      <c r="AE18" s="84">
        <v>22</v>
      </c>
      <c r="AF18" s="84">
        <v>22</v>
      </c>
      <c r="AG18" s="83">
        <v>37</v>
      </c>
      <c r="AH18" s="89">
        <f>[3]ART_volumes!K25</f>
        <v>35</v>
      </c>
      <c r="AI18" s="84">
        <f>[3]CRO_volumes!K25</f>
        <v>18</v>
      </c>
      <c r="AJ18" s="84">
        <f>[3]HTN_volumes!K25</f>
        <v>33</v>
      </c>
      <c r="AK18" s="84">
        <f>[3]KRT_volumes!K25</f>
        <v>25</v>
      </c>
      <c r="AL18" s="84">
        <f>[3]MBN_volumes!K25</f>
        <v>18</v>
      </c>
      <c r="AM18" s="84">
        <f>[3]STL_volumes!K25</f>
        <v>39</v>
      </c>
      <c r="AN18" s="83">
        <f>[3]TRG_volumes!K25</f>
        <v>39</v>
      </c>
      <c r="AO18" s="83"/>
    </row>
    <row r="19" spans="1:41" x14ac:dyDescent="0.2">
      <c r="D19" s="54" t="s">
        <v>62</v>
      </c>
      <c r="F19" s="77">
        <v>22519.297092080044</v>
      </c>
      <c r="G19" s="77">
        <v>22570.52261681798</v>
      </c>
      <c r="H19" s="77">
        <f>[3]Tot_cost!AU26/M19</f>
        <v>22211.958403691915</v>
      </c>
      <c r="J19" s="267"/>
      <c r="K19" s="263">
        <f t="shared" si="0"/>
        <v>6</v>
      </c>
      <c r="L19" s="262">
        <f t="shared" si="1"/>
        <v>10</v>
      </c>
      <c r="M19" s="262">
        <f t="shared" si="1"/>
        <v>10</v>
      </c>
      <c r="N19" s="263">
        <f t="shared" si="1"/>
        <v>0</v>
      </c>
      <c r="O19" s="263">
        <f t="shared" si="2"/>
        <v>26</v>
      </c>
      <c r="P19" s="59"/>
      <c r="Q19" s="88" t="s">
        <v>72</v>
      </c>
      <c r="R19" s="87" t="s">
        <v>72</v>
      </c>
      <c r="S19" s="59"/>
      <c r="T19" s="85"/>
      <c r="U19" s="86"/>
      <c r="V19" s="85">
        <v>2</v>
      </c>
      <c r="W19" s="84">
        <v>2</v>
      </c>
      <c r="X19" s="84">
        <v>0</v>
      </c>
      <c r="Y19" s="84">
        <v>1</v>
      </c>
      <c r="Z19" s="84">
        <v>0</v>
      </c>
      <c r="AA19" s="83">
        <v>1</v>
      </c>
      <c r="AB19" s="85">
        <v>4</v>
      </c>
      <c r="AC19" s="84">
        <v>5</v>
      </c>
      <c r="AD19" s="84">
        <v>0</v>
      </c>
      <c r="AE19" s="84">
        <v>0</v>
      </c>
      <c r="AF19" s="84">
        <v>0</v>
      </c>
      <c r="AG19" s="83">
        <v>1</v>
      </c>
      <c r="AH19" s="89">
        <f>[3]ART_volumes!K26</f>
        <v>1</v>
      </c>
      <c r="AI19" s="84">
        <f>[3]CRO_volumes!K26</f>
        <v>0</v>
      </c>
      <c r="AJ19" s="84">
        <f>[3]HTN_volumes!K26</f>
        <v>1</v>
      </c>
      <c r="AK19" s="84">
        <f>[3]KRT_volumes!K26</f>
        <v>3</v>
      </c>
      <c r="AL19" s="84">
        <f>[3]MBN_volumes!K26</f>
        <v>1</v>
      </c>
      <c r="AM19" s="84">
        <f>[3]STL_volumes!K26</f>
        <v>1</v>
      </c>
      <c r="AN19" s="83">
        <f>[3]TRG_volumes!K26</f>
        <v>3</v>
      </c>
      <c r="AO19" s="83"/>
    </row>
    <row r="20" spans="1:41" x14ac:dyDescent="0.2">
      <c r="D20" s="54" t="s">
        <v>61</v>
      </c>
      <c r="F20" s="77">
        <v>188495.55289063053</v>
      </c>
      <c r="G20" s="77">
        <v>180946.86229306285</v>
      </c>
      <c r="H20" s="77">
        <f>[3]Tot_cost!AU27/M20</f>
        <v>247619.26043024825</v>
      </c>
      <c r="J20" s="267"/>
      <c r="K20" s="263">
        <f t="shared" si="0"/>
        <v>8</v>
      </c>
      <c r="L20" s="262">
        <f t="shared" si="1"/>
        <v>19</v>
      </c>
      <c r="M20" s="262">
        <f t="shared" si="1"/>
        <v>7</v>
      </c>
      <c r="N20" s="263">
        <f t="shared" si="1"/>
        <v>0</v>
      </c>
      <c r="O20" s="263">
        <f t="shared" si="2"/>
        <v>34</v>
      </c>
      <c r="P20" s="59"/>
      <c r="Q20" s="88" t="s">
        <v>71</v>
      </c>
      <c r="R20" s="87" t="s">
        <v>71</v>
      </c>
      <c r="S20" s="59"/>
      <c r="T20" s="85"/>
      <c r="U20" s="86"/>
      <c r="V20" s="85">
        <v>0</v>
      </c>
      <c r="W20" s="84">
        <v>2</v>
      </c>
      <c r="X20" s="84">
        <v>3</v>
      </c>
      <c r="Y20" s="84">
        <v>2</v>
      </c>
      <c r="Z20" s="84">
        <v>0</v>
      </c>
      <c r="AA20" s="83">
        <v>1</v>
      </c>
      <c r="AB20" s="85">
        <v>2</v>
      </c>
      <c r="AC20" s="84">
        <v>2</v>
      </c>
      <c r="AD20" s="84">
        <v>2</v>
      </c>
      <c r="AE20" s="84">
        <v>2</v>
      </c>
      <c r="AF20" s="84">
        <v>8</v>
      </c>
      <c r="AG20" s="83">
        <v>3</v>
      </c>
      <c r="AH20" s="89">
        <f>[3]ART_volumes!K27</f>
        <v>2</v>
      </c>
      <c r="AI20" s="84">
        <f>[3]CRO_volumes!K27</f>
        <v>1</v>
      </c>
      <c r="AJ20" s="84">
        <f>[3]HTN_volumes!K27</f>
        <v>1</v>
      </c>
      <c r="AK20" s="84">
        <f>[3]KRT_volumes!K27</f>
        <v>0</v>
      </c>
      <c r="AL20" s="84">
        <f>[3]MBN_volumes!K27</f>
        <v>1</v>
      </c>
      <c r="AM20" s="84">
        <f>[3]STL_volumes!K27</f>
        <v>2</v>
      </c>
      <c r="AN20" s="83">
        <f>[3]TRG_volumes!K27</f>
        <v>0</v>
      </c>
      <c r="AO20" s="83">
        <v>0</v>
      </c>
    </row>
    <row r="21" spans="1:41" x14ac:dyDescent="0.2">
      <c r="D21" s="54" t="s">
        <v>60</v>
      </c>
      <c r="F21" s="77">
        <v>100774.35994033124</v>
      </c>
      <c r="G21" s="77">
        <v>96614</v>
      </c>
      <c r="H21" s="77">
        <f>[3]Tot_cost!AU28/M21</f>
        <v>96613.999999999549</v>
      </c>
      <c r="J21" s="267"/>
      <c r="K21" s="263">
        <f t="shared" si="0"/>
        <v>9</v>
      </c>
      <c r="L21" s="262">
        <f t="shared" si="1"/>
        <v>28</v>
      </c>
      <c r="M21" s="262">
        <f t="shared" si="1"/>
        <v>96</v>
      </c>
      <c r="N21" s="263">
        <f t="shared" si="1"/>
        <v>0</v>
      </c>
      <c r="O21" s="263">
        <f t="shared" si="2"/>
        <v>133</v>
      </c>
      <c r="P21" s="59"/>
      <c r="Q21" s="88" t="s">
        <v>71</v>
      </c>
      <c r="R21" s="87" t="s">
        <v>71</v>
      </c>
      <c r="S21" s="59"/>
      <c r="T21" s="85"/>
      <c r="U21" s="86"/>
      <c r="V21" s="85">
        <v>0</v>
      </c>
      <c r="W21" s="84">
        <v>4</v>
      </c>
      <c r="X21" s="84">
        <v>2</v>
      </c>
      <c r="Y21" s="84">
        <v>0</v>
      </c>
      <c r="Z21" s="84">
        <v>0</v>
      </c>
      <c r="AA21" s="83">
        <v>3</v>
      </c>
      <c r="AB21" s="85">
        <v>9</v>
      </c>
      <c r="AC21" s="84">
        <v>6</v>
      </c>
      <c r="AD21" s="84">
        <v>5</v>
      </c>
      <c r="AE21" s="84">
        <v>6</v>
      </c>
      <c r="AF21" s="84">
        <v>0</v>
      </c>
      <c r="AG21" s="83">
        <v>2</v>
      </c>
      <c r="AH21" s="89">
        <f>[3]ART_volumes!K28</f>
        <v>8</v>
      </c>
      <c r="AI21" s="84">
        <f>[3]CRO_volumes!K28</f>
        <v>20</v>
      </c>
      <c r="AJ21" s="84">
        <f>[3]HTN_volumes!K28</f>
        <v>12</v>
      </c>
      <c r="AK21" s="84">
        <f>[3]KRT_volumes!K28</f>
        <v>9</v>
      </c>
      <c r="AL21" s="84">
        <f>[3]MBN_volumes!K28</f>
        <v>30</v>
      </c>
      <c r="AM21" s="84">
        <f>[3]STL_volumes!K28</f>
        <v>9</v>
      </c>
      <c r="AN21" s="83">
        <f>[3]TRG_volumes!K28</f>
        <v>8</v>
      </c>
      <c r="AO21" s="83">
        <v>0</v>
      </c>
    </row>
    <row r="22" spans="1:41" ht="12.75" customHeight="1" x14ac:dyDescent="0.2">
      <c r="D22" s="54" t="s">
        <v>59</v>
      </c>
      <c r="F22" s="77">
        <v>250</v>
      </c>
      <c r="G22" s="77"/>
      <c r="H22" s="77"/>
      <c r="J22" s="269"/>
      <c r="K22" s="263">
        <f t="shared" si="0"/>
        <v>1362</v>
      </c>
      <c r="L22" s="270">
        <f t="shared" si="1"/>
        <v>0</v>
      </c>
      <c r="M22" s="270">
        <f t="shared" si="1"/>
        <v>0</v>
      </c>
      <c r="N22" s="263">
        <f t="shared" si="1"/>
        <v>0</v>
      </c>
      <c r="O22" s="271">
        <f t="shared" si="2"/>
        <v>1362</v>
      </c>
      <c r="P22" s="59"/>
      <c r="Q22" s="88" t="s">
        <v>72</v>
      </c>
      <c r="R22" s="87" t="s">
        <v>72</v>
      </c>
      <c r="S22" s="59"/>
      <c r="T22" s="85"/>
      <c r="U22" s="86"/>
      <c r="V22" s="85">
        <v>86</v>
      </c>
      <c r="W22" s="84">
        <v>1276</v>
      </c>
      <c r="X22" s="84">
        <v>0</v>
      </c>
      <c r="Y22" s="84">
        <v>0</v>
      </c>
      <c r="Z22" s="84">
        <v>0</v>
      </c>
      <c r="AA22" s="83">
        <v>0</v>
      </c>
      <c r="AB22" s="82">
        <v>0</v>
      </c>
      <c r="AC22" s="80">
        <v>0</v>
      </c>
      <c r="AD22" s="80">
        <v>0</v>
      </c>
      <c r="AE22" s="80">
        <v>0</v>
      </c>
      <c r="AF22" s="80">
        <v>0</v>
      </c>
      <c r="AG22" s="81">
        <v>0</v>
      </c>
      <c r="AH22" s="80">
        <v>0</v>
      </c>
      <c r="AI22" s="79">
        <v>0</v>
      </c>
      <c r="AJ22" s="79">
        <v>0</v>
      </c>
      <c r="AK22" s="79">
        <v>0</v>
      </c>
      <c r="AL22" s="79">
        <v>0</v>
      </c>
      <c r="AM22" s="79">
        <v>0</v>
      </c>
      <c r="AN22" s="78">
        <v>0</v>
      </c>
      <c r="AO22" s="78"/>
    </row>
    <row r="23" spans="1:41" ht="12.75" customHeight="1" x14ac:dyDescent="0.2">
      <c r="D23" s="54" t="s">
        <v>58</v>
      </c>
      <c r="F23" s="77">
        <v>757.6656469142597</v>
      </c>
      <c r="G23" s="77">
        <v>312</v>
      </c>
      <c r="H23" s="77">
        <f>[3]Tot_cost!AU29/M23</f>
        <v>424.8995610865141</v>
      </c>
      <c r="J23" s="268">
        <f>SUM(T23:U23)</f>
        <v>4230</v>
      </c>
      <c r="K23" s="265">
        <f t="shared" si="0"/>
        <v>4048</v>
      </c>
      <c r="L23" s="264">
        <f t="shared" si="1"/>
        <v>26652</v>
      </c>
      <c r="M23" s="264">
        <f t="shared" si="1"/>
        <v>8635</v>
      </c>
      <c r="N23" s="265">
        <f t="shared" ref="N23" si="3">AO23</f>
        <v>459</v>
      </c>
      <c r="O23" s="265">
        <f t="shared" si="2"/>
        <v>44024</v>
      </c>
      <c r="P23" s="59"/>
      <c r="Q23" s="76" t="s">
        <v>71</v>
      </c>
      <c r="R23" s="75" t="s">
        <v>71</v>
      </c>
      <c r="S23" s="59"/>
      <c r="T23" s="73">
        <v>3367</v>
      </c>
      <c r="U23" s="74">
        <v>863</v>
      </c>
      <c r="V23" s="73">
        <v>65</v>
      </c>
      <c r="W23" s="71">
        <v>1576</v>
      </c>
      <c r="X23" s="71">
        <v>626</v>
      </c>
      <c r="Y23" s="71">
        <v>163</v>
      </c>
      <c r="Z23" s="71">
        <v>352</v>
      </c>
      <c r="AA23" s="70">
        <v>1266</v>
      </c>
      <c r="AB23" s="73">
        <v>10609</v>
      </c>
      <c r="AC23" s="71">
        <v>6496</v>
      </c>
      <c r="AD23" s="71">
        <v>3214</v>
      </c>
      <c r="AE23" s="71">
        <v>3524</v>
      </c>
      <c r="AF23" s="71">
        <v>241</v>
      </c>
      <c r="AG23" s="70">
        <v>2568</v>
      </c>
      <c r="AH23" s="72">
        <f>[3]ART_volumes!K29</f>
        <v>1448</v>
      </c>
      <c r="AI23" s="71">
        <f>[3]CRO_volumes!K29</f>
        <v>1181</v>
      </c>
      <c r="AJ23" s="71">
        <f>[3]HTN_volumes!K29</f>
        <v>702</v>
      </c>
      <c r="AK23" s="71">
        <f>[3]KRT_volumes!K29</f>
        <v>674</v>
      </c>
      <c r="AL23" s="71">
        <f>[3]MBN_volumes!K29</f>
        <v>4176</v>
      </c>
      <c r="AM23" s="71">
        <f>[3]STL_volumes!K29</f>
        <v>164</v>
      </c>
      <c r="AN23" s="70">
        <f>[3]TRG_volumes!K29</f>
        <v>290</v>
      </c>
      <c r="AO23" s="70">
        <v>459</v>
      </c>
    </row>
    <row r="24" spans="1:41" ht="12.75" customHeight="1" x14ac:dyDescent="0.2">
      <c r="F24" s="59"/>
      <c r="G24" s="59"/>
      <c r="H24" s="59"/>
      <c r="J24" s="59"/>
      <c r="K24" s="59"/>
      <c r="L24" s="59"/>
      <c r="M24" s="59"/>
      <c r="N24" s="59"/>
      <c r="O24" s="59"/>
      <c r="P24" s="59"/>
      <c r="Q24" s="69"/>
      <c r="R24" s="6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</row>
    <row r="25" spans="1:41" x14ac:dyDescent="0.2">
      <c r="C25" s="68"/>
      <c r="W25" s="67"/>
    </row>
    <row r="26" spans="1:41" s="60" customFormat="1" x14ac:dyDescent="0.2">
      <c r="A26" s="54"/>
      <c r="B26" s="54"/>
      <c r="C26" s="54"/>
      <c r="D26" s="54"/>
      <c r="E26" s="54"/>
      <c r="F26" s="65"/>
      <c r="G26" s="65"/>
      <c r="H26" s="65"/>
      <c r="I26" s="54"/>
      <c r="O26" s="65"/>
      <c r="Q26" s="66"/>
      <c r="R26" s="66"/>
      <c r="T26" s="65"/>
    </row>
    <row r="27" spans="1:41" s="60" customFormat="1" x14ac:dyDescent="0.2">
      <c r="A27" s="54"/>
      <c r="B27" s="54"/>
      <c r="C27" s="64"/>
      <c r="D27" s="57"/>
      <c r="E27" s="63"/>
      <c r="F27" s="62"/>
      <c r="G27" s="62"/>
      <c r="H27" s="62"/>
      <c r="I27" s="63"/>
      <c r="O27" s="62"/>
      <c r="Q27" s="55"/>
      <c r="R27" s="55"/>
      <c r="T27" s="62"/>
      <c r="V27" s="61"/>
    </row>
    <row r="28" spans="1:41" x14ac:dyDescent="0.2">
      <c r="C28" s="64"/>
      <c r="D28" s="57"/>
      <c r="E28" s="63"/>
      <c r="F28" s="62"/>
      <c r="G28" s="62"/>
      <c r="H28" s="62"/>
      <c r="I28" s="63"/>
      <c r="J28" s="60"/>
      <c r="K28" s="60"/>
      <c r="L28" s="60"/>
      <c r="M28" s="60"/>
      <c r="N28" s="60"/>
      <c r="O28" s="62"/>
      <c r="P28" s="60"/>
      <c r="S28" s="60"/>
      <c r="T28" s="62"/>
      <c r="U28" s="60"/>
    </row>
    <row r="29" spans="1:41" x14ac:dyDescent="0.2">
      <c r="C29" s="64"/>
      <c r="D29" s="57"/>
      <c r="E29" s="63"/>
      <c r="F29" s="62"/>
      <c r="G29" s="62"/>
      <c r="H29" s="62"/>
      <c r="I29" s="63"/>
      <c r="J29" s="60"/>
      <c r="K29" s="60"/>
      <c r="L29" s="60"/>
      <c r="M29" s="60"/>
      <c r="N29" s="60"/>
      <c r="O29" s="62"/>
      <c r="P29" s="60"/>
      <c r="S29" s="60"/>
      <c r="T29" s="62"/>
      <c r="U29" s="60"/>
    </row>
    <row r="30" spans="1:41" x14ac:dyDescent="0.2">
      <c r="C30" s="64"/>
      <c r="D30" s="57"/>
      <c r="E30" s="63"/>
      <c r="F30" s="62"/>
      <c r="G30" s="62"/>
      <c r="H30" s="62"/>
      <c r="I30" s="63"/>
      <c r="J30" s="60"/>
      <c r="K30" s="60"/>
      <c r="L30" s="60"/>
      <c r="M30" s="60"/>
      <c r="N30" s="60"/>
      <c r="O30" s="62"/>
      <c r="P30" s="60"/>
      <c r="S30" s="60"/>
      <c r="T30" s="62"/>
      <c r="U30" s="60"/>
    </row>
    <row r="31" spans="1:41" x14ac:dyDescent="0.2">
      <c r="C31" s="64"/>
      <c r="D31" s="57"/>
      <c r="E31" s="63"/>
      <c r="F31" s="62"/>
      <c r="G31" s="62"/>
      <c r="H31" s="62"/>
      <c r="I31" s="63"/>
      <c r="J31" s="60"/>
      <c r="K31" s="60"/>
      <c r="L31" s="60"/>
      <c r="M31" s="60"/>
      <c r="N31" s="60"/>
      <c r="O31" s="62"/>
      <c r="P31" s="60"/>
      <c r="S31" s="60"/>
      <c r="T31" s="62"/>
      <c r="U31" s="60"/>
    </row>
    <row r="32" spans="1:41" x14ac:dyDescent="0.2">
      <c r="C32" s="64"/>
      <c r="D32" s="57"/>
      <c r="E32" s="63"/>
      <c r="F32" s="62"/>
      <c r="G32" s="62"/>
      <c r="H32" s="62"/>
      <c r="I32" s="63"/>
      <c r="J32" s="60"/>
      <c r="K32" s="60"/>
      <c r="L32" s="60"/>
      <c r="M32" s="60"/>
      <c r="N32" s="60"/>
      <c r="O32" s="62"/>
      <c r="P32" s="60"/>
      <c r="S32" s="60"/>
      <c r="T32" s="62"/>
      <c r="U32" s="60"/>
    </row>
    <row r="33" spans="3:29" x14ac:dyDescent="0.2">
      <c r="C33" s="64"/>
      <c r="D33" s="57"/>
      <c r="E33" s="63"/>
      <c r="F33" s="62"/>
      <c r="G33" s="62"/>
      <c r="H33" s="62"/>
      <c r="I33" s="63"/>
      <c r="J33" s="60"/>
      <c r="K33" s="60"/>
      <c r="L33" s="60"/>
      <c r="M33" s="60"/>
      <c r="N33" s="60"/>
      <c r="O33" s="62"/>
      <c r="P33" s="60"/>
      <c r="S33" s="60"/>
      <c r="T33" s="62"/>
      <c r="U33" s="60"/>
    </row>
    <row r="34" spans="3:29" x14ac:dyDescent="0.2">
      <c r="C34" s="64"/>
      <c r="D34" s="57"/>
      <c r="E34" s="63"/>
      <c r="F34" s="62"/>
      <c r="G34" s="62"/>
      <c r="H34" s="62"/>
      <c r="I34" s="63"/>
      <c r="J34" s="60"/>
      <c r="K34" s="60"/>
      <c r="L34" s="60"/>
      <c r="M34" s="60"/>
      <c r="N34" s="60"/>
      <c r="O34" s="62"/>
      <c r="P34" s="60"/>
      <c r="S34" s="60"/>
      <c r="T34" s="62"/>
      <c r="U34" s="60"/>
    </row>
    <row r="35" spans="3:29" x14ac:dyDescent="0.2">
      <c r="C35" s="64"/>
      <c r="D35" s="57"/>
      <c r="E35" s="63"/>
      <c r="F35" s="62"/>
      <c r="G35" s="62"/>
      <c r="H35" s="62"/>
      <c r="I35" s="63"/>
      <c r="J35" s="60"/>
      <c r="K35" s="60"/>
      <c r="L35" s="60"/>
      <c r="M35" s="60"/>
      <c r="N35" s="60"/>
      <c r="O35" s="62"/>
      <c r="P35" s="60"/>
      <c r="S35" s="60"/>
      <c r="T35" s="62"/>
      <c r="U35" s="60"/>
      <c r="V35" s="58"/>
      <c r="W35" s="58"/>
      <c r="X35" s="58"/>
      <c r="Y35" s="58"/>
      <c r="Z35" s="58"/>
      <c r="AA35" s="58"/>
      <c r="AB35" s="58"/>
      <c r="AC35" s="58"/>
    </row>
    <row r="36" spans="3:29" x14ac:dyDescent="0.2">
      <c r="C36" s="64"/>
      <c r="D36" s="57"/>
      <c r="E36" s="63"/>
      <c r="F36" s="62"/>
      <c r="G36" s="62"/>
      <c r="H36" s="62"/>
      <c r="I36" s="63"/>
      <c r="J36" s="60"/>
      <c r="K36" s="60"/>
      <c r="L36" s="60"/>
      <c r="M36" s="60"/>
      <c r="N36" s="60"/>
      <c r="O36" s="62"/>
      <c r="P36" s="60"/>
      <c r="S36" s="60"/>
      <c r="T36" s="62"/>
      <c r="U36" s="60"/>
      <c r="V36" s="57"/>
      <c r="W36" s="57"/>
      <c r="X36" s="57"/>
      <c r="Y36" s="57"/>
      <c r="Z36" s="57"/>
      <c r="AA36" s="57"/>
      <c r="AB36" s="57"/>
      <c r="AC36" s="57"/>
    </row>
    <row r="37" spans="3:29" x14ac:dyDescent="0.2">
      <c r="C37" s="64"/>
      <c r="D37" s="57"/>
      <c r="E37" s="63"/>
      <c r="F37" s="62"/>
      <c r="G37" s="62"/>
      <c r="H37" s="62"/>
      <c r="I37" s="63"/>
      <c r="J37" s="60"/>
      <c r="K37" s="60"/>
      <c r="L37" s="60"/>
      <c r="M37" s="60"/>
      <c r="N37" s="60"/>
      <c r="O37" s="62"/>
      <c r="P37" s="60"/>
      <c r="S37" s="60"/>
      <c r="T37" s="62"/>
      <c r="U37" s="60"/>
    </row>
    <row r="38" spans="3:29" x14ac:dyDescent="0.2">
      <c r="C38" s="64"/>
      <c r="D38" s="57"/>
      <c r="E38" s="63"/>
      <c r="F38" s="62"/>
      <c r="G38" s="62"/>
      <c r="H38" s="62"/>
      <c r="I38" s="63"/>
      <c r="J38" s="60"/>
      <c r="K38" s="60"/>
      <c r="L38" s="60"/>
      <c r="M38" s="60"/>
      <c r="N38" s="60"/>
      <c r="O38" s="62"/>
      <c r="P38" s="60"/>
      <c r="S38" s="60"/>
      <c r="T38" s="62"/>
      <c r="U38" s="60"/>
    </row>
    <row r="39" spans="3:29" x14ac:dyDescent="0.2">
      <c r="C39" s="64"/>
      <c r="D39" s="57"/>
      <c r="E39" s="63"/>
      <c r="F39" s="62"/>
      <c r="G39" s="62"/>
      <c r="H39" s="62"/>
      <c r="I39" s="63"/>
      <c r="J39" s="60"/>
      <c r="K39" s="60"/>
      <c r="L39" s="60"/>
      <c r="M39" s="60"/>
      <c r="N39" s="60"/>
      <c r="O39" s="62"/>
      <c r="P39" s="60"/>
      <c r="S39" s="60"/>
      <c r="T39" s="62"/>
      <c r="U39" s="60"/>
    </row>
    <row r="40" spans="3:29" x14ac:dyDescent="0.2">
      <c r="C40" s="64"/>
      <c r="D40" s="57"/>
      <c r="E40" s="63"/>
      <c r="F40" s="62"/>
      <c r="G40" s="62"/>
      <c r="H40" s="62"/>
      <c r="I40" s="63"/>
      <c r="J40" s="60"/>
      <c r="K40" s="60"/>
      <c r="L40" s="60"/>
      <c r="M40" s="60"/>
      <c r="N40" s="60"/>
      <c r="O40" s="62"/>
      <c r="P40" s="60"/>
      <c r="S40" s="60"/>
      <c r="T40" s="62"/>
      <c r="U40" s="60"/>
    </row>
    <row r="41" spans="3:29" x14ac:dyDescent="0.2">
      <c r="C41" s="64"/>
      <c r="D41" s="57"/>
      <c r="E41" s="63"/>
      <c r="F41" s="62"/>
      <c r="G41" s="62"/>
      <c r="H41" s="62"/>
      <c r="I41" s="63"/>
      <c r="J41" s="60"/>
      <c r="K41" s="60"/>
      <c r="L41" s="60"/>
      <c r="M41" s="60"/>
      <c r="N41" s="60"/>
      <c r="O41" s="62"/>
      <c r="P41" s="60"/>
      <c r="S41" s="60"/>
      <c r="T41" s="62"/>
      <c r="U41" s="60"/>
    </row>
    <row r="42" spans="3:29" x14ac:dyDescent="0.2">
      <c r="C42" s="64"/>
      <c r="D42" s="57"/>
      <c r="E42" s="63"/>
      <c r="F42" s="62"/>
      <c r="G42" s="62"/>
      <c r="H42" s="62"/>
      <c r="I42" s="63"/>
      <c r="J42" s="60"/>
      <c r="K42" s="60"/>
      <c r="L42" s="60"/>
      <c r="M42" s="60"/>
      <c r="N42" s="60"/>
      <c r="O42" s="62"/>
      <c r="P42" s="60"/>
      <c r="S42" s="60"/>
      <c r="T42" s="62"/>
      <c r="U42" s="60"/>
    </row>
    <row r="43" spans="3:29" x14ac:dyDescent="0.2">
      <c r="C43" s="64"/>
      <c r="D43" s="57"/>
      <c r="E43" s="63"/>
      <c r="F43" s="62"/>
      <c r="G43" s="62"/>
      <c r="H43" s="62"/>
      <c r="I43" s="63"/>
      <c r="J43" s="60"/>
      <c r="K43" s="60"/>
      <c r="L43" s="60"/>
      <c r="M43" s="60"/>
      <c r="N43" s="60"/>
      <c r="O43" s="62"/>
      <c r="P43" s="60"/>
      <c r="S43" s="60"/>
      <c r="T43" s="62"/>
      <c r="U43" s="60"/>
    </row>
    <row r="44" spans="3:29" x14ac:dyDescent="0.2">
      <c r="C44" s="64"/>
      <c r="D44" s="57"/>
      <c r="E44" s="63"/>
      <c r="F44" s="62"/>
      <c r="G44" s="62"/>
      <c r="H44" s="62"/>
      <c r="I44" s="63"/>
      <c r="J44" s="60"/>
      <c r="K44" s="60"/>
      <c r="L44" s="60"/>
      <c r="M44" s="60"/>
      <c r="N44" s="60"/>
      <c r="O44" s="62"/>
      <c r="P44" s="60"/>
      <c r="S44" s="60"/>
      <c r="T44" s="62"/>
      <c r="U44" s="60"/>
    </row>
    <row r="45" spans="3:29" x14ac:dyDescent="0.2">
      <c r="C45" s="64"/>
      <c r="D45" s="57"/>
      <c r="E45" s="63"/>
      <c r="F45" s="62"/>
      <c r="G45" s="62"/>
      <c r="H45" s="62"/>
      <c r="I45" s="63"/>
      <c r="J45" s="60"/>
      <c r="K45" s="60"/>
      <c r="L45" s="60"/>
      <c r="M45" s="60"/>
      <c r="N45" s="60"/>
      <c r="O45" s="62"/>
      <c r="P45" s="60"/>
      <c r="S45" s="60"/>
      <c r="T45" s="62"/>
      <c r="U45" s="60"/>
    </row>
    <row r="46" spans="3:29" x14ac:dyDescent="0.2">
      <c r="C46" s="64"/>
      <c r="D46" s="57"/>
      <c r="E46" s="63"/>
      <c r="F46" s="62"/>
      <c r="G46" s="62"/>
      <c r="H46" s="62"/>
      <c r="I46" s="63"/>
      <c r="J46" s="60"/>
      <c r="K46" s="60"/>
      <c r="L46" s="60"/>
      <c r="M46" s="60"/>
      <c r="N46" s="60"/>
      <c r="O46" s="62"/>
      <c r="P46" s="60"/>
      <c r="S46" s="60"/>
      <c r="T46" s="62"/>
      <c r="U46" s="60"/>
    </row>
    <row r="47" spans="3:29" x14ac:dyDescent="0.2">
      <c r="C47" s="64"/>
      <c r="D47" s="57"/>
      <c r="E47" s="63"/>
      <c r="F47" s="62"/>
      <c r="G47" s="62"/>
      <c r="H47" s="62"/>
      <c r="I47" s="63"/>
      <c r="J47" s="60"/>
      <c r="K47" s="60"/>
      <c r="L47" s="60"/>
      <c r="M47" s="60"/>
      <c r="N47" s="60"/>
      <c r="O47" s="62"/>
      <c r="P47" s="60"/>
      <c r="S47" s="60"/>
      <c r="T47" s="62"/>
      <c r="U47" s="60"/>
    </row>
    <row r="48" spans="3:29" x14ac:dyDescent="0.2">
      <c r="C48" s="64"/>
      <c r="D48" s="57"/>
      <c r="E48" s="63"/>
      <c r="F48" s="62"/>
      <c r="G48" s="62"/>
      <c r="H48" s="62"/>
      <c r="I48" s="63"/>
      <c r="J48" s="60"/>
      <c r="K48" s="60"/>
      <c r="L48" s="60"/>
      <c r="M48" s="60"/>
      <c r="N48" s="60"/>
      <c r="O48" s="62"/>
      <c r="P48" s="60"/>
      <c r="S48" s="60"/>
      <c r="T48" s="62"/>
      <c r="U48" s="60"/>
    </row>
    <row r="49" spans="3:21" x14ac:dyDescent="0.2">
      <c r="C49" s="64"/>
      <c r="D49" s="57"/>
      <c r="E49" s="63"/>
      <c r="F49" s="62"/>
      <c r="G49" s="62"/>
      <c r="H49" s="62"/>
      <c r="I49" s="63"/>
      <c r="J49" s="60"/>
      <c r="K49" s="60"/>
      <c r="L49" s="60"/>
      <c r="M49" s="60"/>
      <c r="N49" s="60"/>
      <c r="O49" s="62"/>
      <c r="P49" s="60"/>
      <c r="S49" s="60"/>
      <c r="T49" s="62"/>
      <c r="U49" s="60"/>
    </row>
    <row r="50" spans="3:21" x14ac:dyDescent="0.2">
      <c r="C50" s="64"/>
      <c r="D50" s="57"/>
      <c r="E50" s="63"/>
      <c r="F50" s="62"/>
      <c r="G50" s="62"/>
      <c r="H50" s="62"/>
      <c r="I50" s="63"/>
      <c r="J50" s="60"/>
      <c r="K50" s="60"/>
      <c r="L50" s="60"/>
      <c r="M50" s="60"/>
      <c r="N50" s="60"/>
      <c r="O50" s="62"/>
      <c r="P50" s="60"/>
      <c r="S50" s="60"/>
      <c r="T50" s="62"/>
      <c r="U50" s="60"/>
    </row>
    <row r="51" spans="3:21" x14ac:dyDescent="0.2">
      <c r="C51" s="64"/>
      <c r="D51" s="57"/>
      <c r="E51" s="63"/>
      <c r="F51" s="62"/>
      <c r="G51" s="62"/>
      <c r="H51" s="62"/>
      <c r="I51" s="63"/>
      <c r="J51" s="60"/>
      <c r="K51" s="60"/>
      <c r="L51" s="60"/>
      <c r="M51" s="60"/>
      <c r="N51" s="60"/>
      <c r="O51" s="62"/>
      <c r="P51" s="60"/>
      <c r="S51" s="60"/>
      <c r="T51" s="62"/>
      <c r="U51" s="60"/>
    </row>
    <row r="52" spans="3:21" x14ac:dyDescent="0.2">
      <c r="C52" s="64"/>
      <c r="D52" s="57"/>
      <c r="E52" s="63"/>
      <c r="F52" s="62"/>
      <c r="G52" s="62"/>
      <c r="H52" s="62"/>
      <c r="I52" s="63"/>
      <c r="J52" s="60"/>
      <c r="K52" s="60"/>
      <c r="L52" s="60"/>
      <c r="M52" s="60"/>
      <c r="N52" s="60"/>
      <c r="O52" s="62"/>
      <c r="P52" s="60"/>
      <c r="S52" s="60"/>
      <c r="T52" s="62"/>
      <c r="U52" s="60"/>
    </row>
    <row r="53" spans="3:21" x14ac:dyDescent="0.2">
      <c r="C53" s="64"/>
      <c r="D53" s="57"/>
      <c r="E53" s="63"/>
      <c r="F53" s="62"/>
      <c r="G53" s="62"/>
      <c r="H53" s="62"/>
      <c r="I53" s="63"/>
      <c r="J53" s="60"/>
      <c r="K53" s="60"/>
      <c r="L53" s="60"/>
      <c r="M53" s="60"/>
      <c r="N53" s="60"/>
      <c r="O53" s="62"/>
      <c r="P53" s="60"/>
      <c r="S53" s="60"/>
      <c r="T53" s="62"/>
      <c r="U53" s="60"/>
    </row>
    <row r="54" spans="3:21" x14ac:dyDescent="0.2">
      <c r="C54" s="64"/>
      <c r="D54" s="57"/>
      <c r="E54" s="63"/>
      <c r="F54" s="62"/>
      <c r="G54" s="62"/>
      <c r="H54" s="62"/>
      <c r="I54" s="63"/>
      <c r="J54" s="60"/>
      <c r="K54" s="60"/>
      <c r="L54" s="60"/>
      <c r="M54" s="60"/>
      <c r="N54" s="60"/>
      <c r="O54" s="62"/>
      <c r="P54" s="60"/>
      <c r="S54" s="60"/>
      <c r="T54" s="62"/>
      <c r="U54" s="60"/>
    </row>
    <row r="55" spans="3:21" x14ac:dyDescent="0.2">
      <c r="C55" s="64"/>
      <c r="D55" s="57"/>
      <c r="E55" s="63"/>
      <c r="F55" s="62"/>
      <c r="G55" s="62"/>
      <c r="H55" s="62"/>
      <c r="I55" s="63"/>
      <c r="J55" s="60"/>
      <c r="K55" s="60"/>
      <c r="L55" s="60"/>
      <c r="M55" s="60"/>
      <c r="N55" s="60"/>
      <c r="O55" s="62"/>
      <c r="P55" s="60"/>
      <c r="S55" s="60"/>
      <c r="T55" s="62"/>
      <c r="U55" s="60"/>
    </row>
    <row r="56" spans="3:21" x14ac:dyDescent="0.2">
      <c r="C56" s="64"/>
      <c r="D56" s="57"/>
      <c r="E56" s="63"/>
      <c r="F56" s="62"/>
      <c r="G56" s="62"/>
      <c r="H56" s="62"/>
      <c r="I56" s="63"/>
      <c r="J56" s="60"/>
      <c r="K56" s="60"/>
      <c r="L56" s="60"/>
      <c r="M56" s="60"/>
      <c r="N56" s="60"/>
      <c r="O56" s="62"/>
      <c r="P56" s="60"/>
      <c r="S56" s="60"/>
      <c r="T56" s="62"/>
      <c r="U56" s="60"/>
    </row>
    <row r="57" spans="3:21" x14ac:dyDescent="0.2">
      <c r="C57" s="64"/>
      <c r="D57" s="57"/>
      <c r="E57" s="63"/>
      <c r="F57" s="62"/>
      <c r="G57" s="62"/>
      <c r="H57" s="62"/>
      <c r="I57" s="63"/>
      <c r="J57" s="60"/>
      <c r="K57" s="60"/>
      <c r="L57" s="60"/>
      <c r="M57" s="60"/>
      <c r="N57" s="60"/>
      <c r="O57" s="62"/>
      <c r="P57" s="60"/>
      <c r="S57" s="60"/>
      <c r="T57" s="62"/>
      <c r="U57" s="60"/>
    </row>
    <row r="58" spans="3:21" x14ac:dyDescent="0.2">
      <c r="C58" s="64"/>
      <c r="D58" s="57"/>
      <c r="E58" s="63"/>
      <c r="F58" s="62"/>
      <c r="G58" s="62"/>
      <c r="H58" s="62"/>
      <c r="I58" s="63"/>
      <c r="J58" s="60"/>
      <c r="K58" s="60"/>
      <c r="L58" s="60"/>
      <c r="M58" s="60"/>
      <c r="N58" s="60"/>
      <c r="O58" s="62"/>
      <c r="P58" s="60"/>
      <c r="S58" s="60"/>
      <c r="T58" s="62"/>
      <c r="U58" s="60"/>
    </row>
    <row r="59" spans="3:21" x14ac:dyDescent="0.2">
      <c r="C59" s="64"/>
      <c r="D59" s="57"/>
      <c r="E59" s="63"/>
      <c r="F59" s="62"/>
      <c r="G59" s="62"/>
      <c r="H59" s="62"/>
      <c r="I59" s="63"/>
      <c r="J59" s="60"/>
      <c r="K59" s="60"/>
      <c r="L59" s="60"/>
      <c r="M59" s="60"/>
      <c r="N59" s="60"/>
      <c r="O59" s="62"/>
      <c r="P59" s="60"/>
      <c r="S59" s="60"/>
      <c r="T59" s="62"/>
      <c r="U59" s="60"/>
    </row>
    <row r="60" spans="3:21" x14ac:dyDescent="0.2">
      <c r="C60" s="64"/>
      <c r="D60" s="57"/>
      <c r="E60" s="63"/>
      <c r="F60" s="62"/>
      <c r="G60" s="62"/>
      <c r="H60" s="62"/>
      <c r="I60" s="63"/>
      <c r="J60" s="60"/>
      <c r="K60" s="60"/>
      <c r="L60" s="60"/>
      <c r="M60" s="60"/>
      <c r="N60" s="60"/>
      <c r="O60" s="62"/>
      <c r="P60" s="60"/>
      <c r="S60" s="60"/>
      <c r="T60" s="62"/>
      <c r="U60" s="60"/>
    </row>
    <row r="61" spans="3:21" x14ac:dyDescent="0.2">
      <c r="C61" s="64"/>
      <c r="D61" s="57"/>
      <c r="E61" s="63"/>
      <c r="F61" s="62"/>
      <c r="G61" s="62"/>
      <c r="H61" s="62"/>
      <c r="I61" s="63"/>
      <c r="J61" s="60"/>
      <c r="K61" s="60"/>
      <c r="L61" s="60"/>
      <c r="M61" s="60"/>
      <c r="N61" s="60"/>
      <c r="O61" s="62"/>
      <c r="P61" s="60"/>
      <c r="S61" s="60"/>
      <c r="T61" s="62"/>
      <c r="U61" s="60"/>
    </row>
    <row r="62" spans="3:21" x14ac:dyDescent="0.2">
      <c r="C62" s="64"/>
      <c r="D62" s="57"/>
      <c r="E62" s="63"/>
      <c r="F62" s="62"/>
      <c r="G62" s="62"/>
      <c r="H62" s="62"/>
      <c r="I62" s="63"/>
      <c r="J62" s="60"/>
      <c r="K62" s="60"/>
      <c r="L62" s="60"/>
      <c r="M62" s="60"/>
      <c r="N62" s="60"/>
      <c r="O62" s="62"/>
      <c r="P62" s="60"/>
      <c r="S62" s="60"/>
      <c r="T62" s="62"/>
      <c r="U62" s="60"/>
    </row>
    <row r="63" spans="3:21" x14ac:dyDescent="0.2">
      <c r="C63" s="64"/>
      <c r="D63" s="57"/>
      <c r="E63" s="63"/>
      <c r="F63" s="62"/>
      <c r="G63" s="62"/>
      <c r="H63" s="62"/>
      <c r="I63" s="63"/>
      <c r="J63" s="60"/>
      <c r="K63" s="60"/>
      <c r="L63" s="60"/>
      <c r="M63" s="60"/>
      <c r="N63" s="60"/>
      <c r="O63" s="62"/>
      <c r="P63" s="60"/>
      <c r="S63" s="60"/>
      <c r="T63" s="62"/>
      <c r="U63" s="60"/>
    </row>
    <row r="64" spans="3:21" x14ac:dyDescent="0.2">
      <c r="C64" s="64"/>
      <c r="D64" s="57"/>
      <c r="E64" s="63"/>
      <c r="F64" s="62"/>
      <c r="G64" s="62"/>
      <c r="H64" s="62"/>
      <c r="I64" s="63"/>
      <c r="J64" s="60"/>
      <c r="K64" s="60"/>
      <c r="L64" s="60"/>
      <c r="M64" s="60"/>
      <c r="N64" s="60"/>
      <c r="O64" s="62"/>
      <c r="P64" s="60"/>
      <c r="S64" s="60"/>
      <c r="T64" s="62"/>
      <c r="U64" s="60"/>
    </row>
    <row r="65" spans="3:21" x14ac:dyDescent="0.2">
      <c r="C65" s="64"/>
      <c r="D65" s="57"/>
      <c r="E65" s="63"/>
      <c r="F65" s="62"/>
      <c r="G65" s="62"/>
      <c r="H65" s="62"/>
      <c r="I65" s="63"/>
      <c r="J65" s="60"/>
      <c r="K65" s="60"/>
      <c r="L65" s="60"/>
      <c r="M65" s="60"/>
      <c r="N65" s="60"/>
      <c r="O65" s="62"/>
      <c r="P65" s="60"/>
      <c r="S65" s="60"/>
      <c r="T65" s="62"/>
      <c r="U65" s="60"/>
    </row>
    <row r="66" spans="3:21" x14ac:dyDescent="0.2">
      <c r="C66" s="64"/>
      <c r="D66" s="57"/>
      <c r="E66" s="63"/>
      <c r="F66" s="62"/>
      <c r="G66" s="62"/>
      <c r="H66" s="62"/>
      <c r="I66" s="63"/>
      <c r="J66" s="60"/>
      <c r="K66" s="60"/>
      <c r="L66" s="60"/>
      <c r="M66" s="60"/>
      <c r="N66" s="60"/>
      <c r="O66" s="62"/>
      <c r="P66" s="60"/>
      <c r="S66" s="60"/>
      <c r="T66" s="62"/>
      <c r="U66" s="60"/>
    </row>
  </sheetData>
  <mergeCells count="1">
    <mergeCell ref="Q9:R9"/>
  </mergeCells>
  <pageMargins left="0.82677165354330717" right="0.23622047244094491" top="0.55118110236220474" bottom="0.55118110236220474" header="0.31496062992125984" footer="0.31496062992125984"/>
  <pageSetup paperSize="9" scale="55" orientation="portrait" r:id="rId1"/>
  <ignoredErrors>
    <ignoredError sqref="J23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B4B1C-495F-4AF3-8A50-D93782C29296}">
  <sheetPr codeName="Sheet13">
    <pageSetUpPr fitToPage="1"/>
  </sheetPr>
  <dimension ref="A1:BZ289"/>
  <sheetViews>
    <sheetView showGridLines="0" zoomScale="70" zoomScaleNormal="70" workbookViewId="0">
      <selection activeCell="M44" sqref="M44"/>
    </sheetView>
  </sheetViews>
  <sheetFormatPr defaultColWidth="8" defaultRowHeight="15" x14ac:dyDescent="0.25"/>
  <cols>
    <col min="1" max="1" width="2.375" style="115" customWidth="1"/>
    <col min="2" max="3" width="14.375" style="114" customWidth="1"/>
    <col min="4" max="34" width="8.5" style="114" customWidth="1"/>
    <col min="35" max="35" width="2.25" style="114" customWidth="1"/>
    <col min="36" max="16384" width="8" style="114"/>
  </cols>
  <sheetData>
    <row r="1" spans="1:78" s="1" customFormat="1" ht="18.75" x14ac:dyDescent="0.3">
      <c r="A1" s="249" t="str">
        <f>'T3 Distribution_Depn'!A1</f>
        <v>Powercor REFCLs</v>
      </c>
      <c r="B1" s="249"/>
      <c r="C1" s="249"/>
      <c r="D1" s="249"/>
      <c r="E1" s="249"/>
      <c r="F1" s="249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250"/>
      <c r="W1" s="250"/>
      <c r="X1" s="250"/>
      <c r="Y1" s="250"/>
      <c r="Z1" s="250"/>
      <c r="AA1" s="250"/>
      <c r="AB1" s="250"/>
      <c r="AC1" s="250"/>
      <c r="AD1" s="250"/>
      <c r="AE1" s="250"/>
      <c r="AF1" s="250"/>
      <c r="AG1" s="250"/>
      <c r="AH1" s="250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4"/>
      <c r="BS1" s="114"/>
      <c r="BT1" s="114"/>
      <c r="BU1" s="114"/>
      <c r="BV1" s="114"/>
      <c r="BW1" s="114"/>
      <c r="BX1" s="114"/>
      <c r="BY1" s="114"/>
      <c r="BZ1" s="114"/>
    </row>
    <row r="2" spans="1:78" s="1" customFormat="1" ht="15.75" x14ac:dyDescent="0.25">
      <c r="A2" s="252" t="s">
        <v>206</v>
      </c>
      <c r="B2" s="252"/>
      <c r="C2" s="252"/>
      <c r="D2" s="252"/>
      <c r="E2" s="252"/>
      <c r="F2" s="252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  <c r="AH2" s="253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4"/>
      <c r="BP2" s="114"/>
      <c r="BQ2" s="114"/>
      <c r="BR2" s="114"/>
      <c r="BS2" s="114"/>
      <c r="BT2" s="114"/>
      <c r="BU2" s="114"/>
      <c r="BV2" s="114"/>
      <c r="BW2" s="114"/>
      <c r="BX2" s="114"/>
      <c r="BY2" s="114"/>
      <c r="BZ2" s="114"/>
    </row>
    <row r="3" spans="1:78" x14ac:dyDescent="0.25">
      <c r="A3" s="116"/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81"/>
      <c r="Z3" s="181"/>
      <c r="AA3" s="181"/>
      <c r="AB3" s="181"/>
      <c r="AC3" s="181"/>
      <c r="AD3" s="181"/>
      <c r="AE3" s="181"/>
      <c r="AF3" s="181"/>
      <c r="AG3" s="181"/>
      <c r="AH3" s="180"/>
      <c r="AI3" s="179"/>
      <c r="AJ3" s="179"/>
    </row>
    <row r="4" spans="1:78" x14ac:dyDescent="0.25">
      <c r="A4" s="116"/>
      <c r="B4" s="234" t="s">
        <v>175</v>
      </c>
      <c r="C4" s="234" t="s">
        <v>86</v>
      </c>
      <c r="D4" s="234">
        <v>1970</v>
      </c>
      <c r="E4" s="234">
        <v>1985</v>
      </c>
      <c r="F4" s="234">
        <v>1987</v>
      </c>
      <c r="G4" s="234">
        <v>1990</v>
      </c>
      <c r="H4" s="234">
        <v>1992</v>
      </c>
      <c r="I4" s="234">
        <v>1993</v>
      </c>
      <c r="J4" s="234">
        <v>1995</v>
      </c>
      <c r="K4" s="234">
        <v>1996</v>
      </c>
      <c r="L4" s="234">
        <v>1997</v>
      </c>
      <c r="M4" s="234">
        <v>1998</v>
      </c>
      <c r="N4" s="234">
        <v>2000</v>
      </c>
      <c r="O4" s="234">
        <v>2001</v>
      </c>
      <c r="P4" s="234">
        <v>2002</v>
      </c>
      <c r="Q4" s="234">
        <v>2003</v>
      </c>
      <c r="R4" s="234">
        <v>2004</v>
      </c>
      <c r="S4" s="234">
        <v>2005</v>
      </c>
      <c r="T4" s="234">
        <v>2006</v>
      </c>
      <c r="U4" s="234">
        <v>2007</v>
      </c>
      <c r="V4" s="234">
        <v>2008</v>
      </c>
      <c r="W4" s="234">
        <v>2009</v>
      </c>
      <c r="X4" s="234">
        <v>2010</v>
      </c>
      <c r="Y4" s="234">
        <v>2011</v>
      </c>
      <c r="Z4" s="234">
        <v>2012</v>
      </c>
      <c r="AA4" s="234">
        <v>2013</v>
      </c>
      <c r="AB4" s="234">
        <v>2014</v>
      </c>
      <c r="AC4" s="234">
        <v>2015</v>
      </c>
      <c r="AD4" s="234">
        <v>2016</v>
      </c>
      <c r="AE4" s="234">
        <v>2017</v>
      </c>
      <c r="AF4" s="234">
        <v>2018</v>
      </c>
      <c r="AG4" s="234">
        <v>2019</v>
      </c>
      <c r="AH4" s="233" t="s">
        <v>1</v>
      </c>
      <c r="AI4" s="179"/>
      <c r="AJ4" s="179"/>
    </row>
    <row r="5" spans="1:78" ht="15" customHeight="1" x14ac:dyDescent="0.25">
      <c r="A5" s="116"/>
      <c r="B5" s="181" t="s">
        <v>49</v>
      </c>
      <c r="C5" s="181" t="s">
        <v>55</v>
      </c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>
        <v>1</v>
      </c>
      <c r="AA5" s="181">
        <v>1</v>
      </c>
      <c r="AB5" s="181"/>
      <c r="AC5" s="181"/>
      <c r="AD5" s="181">
        <v>1</v>
      </c>
      <c r="AE5" s="181">
        <v>2</v>
      </c>
      <c r="AF5" s="181">
        <v>4</v>
      </c>
      <c r="AG5" s="181"/>
      <c r="AH5" s="258">
        <v>9</v>
      </c>
      <c r="AI5" s="179"/>
      <c r="AJ5" s="179"/>
    </row>
    <row r="6" spans="1:78" ht="15" customHeight="1" x14ac:dyDescent="0.25">
      <c r="A6" s="116"/>
      <c r="B6" s="181" t="s">
        <v>49</v>
      </c>
      <c r="C6" s="181" t="s">
        <v>54</v>
      </c>
      <c r="D6" s="181"/>
      <c r="E6" s="181"/>
      <c r="F6" s="181"/>
      <c r="G6" s="181"/>
      <c r="H6" s="181"/>
      <c r="I6" s="181"/>
      <c r="J6" s="181">
        <v>1</v>
      </c>
      <c r="K6" s="181"/>
      <c r="L6" s="181"/>
      <c r="M6" s="181"/>
      <c r="N6" s="181"/>
      <c r="O6" s="181"/>
      <c r="P6" s="181"/>
      <c r="Q6" s="181">
        <v>1</v>
      </c>
      <c r="R6" s="181">
        <v>1</v>
      </c>
      <c r="S6" s="181"/>
      <c r="T6" s="181">
        <v>5</v>
      </c>
      <c r="U6" s="181">
        <v>1</v>
      </c>
      <c r="V6" s="181">
        <v>1</v>
      </c>
      <c r="W6" s="181">
        <v>1</v>
      </c>
      <c r="X6" s="181">
        <v>1</v>
      </c>
      <c r="Y6" s="181"/>
      <c r="Z6" s="181"/>
      <c r="AA6" s="181"/>
      <c r="AB6" s="181"/>
      <c r="AC6" s="181">
        <v>4</v>
      </c>
      <c r="AD6" s="181"/>
      <c r="AE6" s="181"/>
      <c r="AF6" s="181">
        <v>2</v>
      </c>
      <c r="AG6" s="181"/>
      <c r="AH6" s="258">
        <v>18</v>
      </c>
      <c r="AI6" s="179"/>
      <c r="AJ6" s="179"/>
    </row>
    <row r="7" spans="1:78" ht="15" customHeight="1" x14ac:dyDescent="0.25">
      <c r="A7" s="116"/>
      <c r="B7" s="181" t="s">
        <v>49</v>
      </c>
      <c r="C7" s="181" t="s">
        <v>53</v>
      </c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>
        <v>1</v>
      </c>
      <c r="W7" s="181"/>
      <c r="X7" s="181"/>
      <c r="Y7" s="181"/>
      <c r="Z7" s="181"/>
      <c r="AA7" s="181"/>
      <c r="AB7" s="181"/>
      <c r="AC7" s="181">
        <v>4</v>
      </c>
      <c r="AD7" s="181"/>
      <c r="AE7" s="181"/>
      <c r="AF7" s="181">
        <v>2</v>
      </c>
      <c r="AG7" s="181"/>
      <c r="AH7" s="258">
        <v>7</v>
      </c>
      <c r="AI7" s="179"/>
      <c r="AJ7" s="179"/>
    </row>
    <row r="8" spans="1:78" ht="15" customHeight="1" x14ac:dyDescent="0.25">
      <c r="A8" s="116"/>
      <c r="B8" s="181" t="s">
        <v>49</v>
      </c>
      <c r="C8" s="181" t="s">
        <v>56</v>
      </c>
      <c r="D8" s="181"/>
      <c r="E8" s="181"/>
      <c r="F8" s="181"/>
      <c r="G8" s="181"/>
      <c r="H8" s="181"/>
      <c r="I8" s="181"/>
      <c r="J8" s="181"/>
      <c r="K8" s="181">
        <v>1</v>
      </c>
      <c r="L8" s="181"/>
      <c r="M8" s="181"/>
      <c r="N8" s="181"/>
      <c r="O8" s="181"/>
      <c r="P8" s="181"/>
      <c r="Q8" s="181"/>
      <c r="R8" s="181"/>
      <c r="S8" s="181"/>
      <c r="T8" s="181">
        <v>2</v>
      </c>
      <c r="U8" s="181"/>
      <c r="V8" s="181"/>
      <c r="W8" s="181"/>
      <c r="X8" s="181">
        <v>1</v>
      </c>
      <c r="Y8" s="181">
        <v>2</v>
      </c>
      <c r="Z8" s="181"/>
      <c r="AA8" s="181"/>
      <c r="AB8" s="181"/>
      <c r="AC8" s="181"/>
      <c r="AD8" s="181">
        <v>1</v>
      </c>
      <c r="AE8" s="181"/>
      <c r="AF8" s="181"/>
      <c r="AG8" s="181"/>
      <c r="AH8" s="258">
        <v>7</v>
      </c>
      <c r="AI8" s="179"/>
      <c r="AJ8" s="179"/>
    </row>
    <row r="9" spans="1:78" ht="15" customHeight="1" x14ac:dyDescent="0.25">
      <c r="A9" s="116"/>
      <c r="B9" s="181" t="s">
        <v>49</v>
      </c>
      <c r="C9" s="181" t="s">
        <v>52</v>
      </c>
      <c r="D9" s="181"/>
      <c r="E9" s="181"/>
      <c r="F9" s="181"/>
      <c r="G9" s="181"/>
      <c r="H9" s="181"/>
      <c r="I9" s="181"/>
      <c r="J9" s="181"/>
      <c r="K9" s="181">
        <v>2</v>
      </c>
      <c r="L9" s="181"/>
      <c r="M9" s="181">
        <v>1</v>
      </c>
      <c r="N9" s="181"/>
      <c r="O9" s="181"/>
      <c r="P9" s="181"/>
      <c r="Q9" s="181"/>
      <c r="R9" s="181"/>
      <c r="S9" s="181">
        <v>2</v>
      </c>
      <c r="T9" s="181"/>
      <c r="U9" s="181"/>
      <c r="V9" s="181">
        <v>1</v>
      </c>
      <c r="W9" s="181"/>
      <c r="X9" s="181"/>
      <c r="Y9" s="181">
        <v>1</v>
      </c>
      <c r="Z9" s="181"/>
      <c r="AA9" s="181"/>
      <c r="AB9" s="181"/>
      <c r="AC9" s="181">
        <v>1</v>
      </c>
      <c r="AD9" s="181"/>
      <c r="AE9" s="181"/>
      <c r="AF9" s="181">
        <v>1</v>
      </c>
      <c r="AG9" s="181"/>
      <c r="AH9" s="258">
        <v>9</v>
      </c>
      <c r="AI9" s="179"/>
      <c r="AJ9" s="179"/>
    </row>
    <row r="10" spans="1:78" ht="15" customHeight="1" x14ac:dyDescent="0.25">
      <c r="A10" s="116"/>
      <c r="B10" s="181" t="s">
        <v>49</v>
      </c>
      <c r="C10" s="181" t="s">
        <v>51</v>
      </c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>
        <v>1</v>
      </c>
      <c r="AA10" s="181"/>
      <c r="AB10" s="181"/>
      <c r="AC10" s="181"/>
      <c r="AD10" s="181"/>
      <c r="AE10" s="181">
        <v>1</v>
      </c>
      <c r="AF10" s="181"/>
      <c r="AG10" s="181"/>
      <c r="AH10" s="258">
        <v>2</v>
      </c>
      <c r="AI10" s="179"/>
      <c r="AJ10" s="179"/>
    </row>
    <row r="11" spans="1:78" ht="15" customHeight="1" x14ac:dyDescent="0.25">
      <c r="A11" s="116"/>
      <c r="B11" s="232" t="s">
        <v>49</v>
      </c>
      <c r="C11" s="232" t="s">
        <v>57</v>
      </c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>
        <v>1</v>
      </c>
      <c r="R11" s="232">
        <v>1</v>
      </c>
      <c r="S11" s="232"/>
      <c r="T11" s="232"/>
      <c r="U11" s="232"/>
      <c r="V11" s="232"/>
      <c r="W11" s="232"/>
      <c r="X11" s="232"/>
      <c r="Y11" s="232"/>
      <c r="Z11" s="232">
        <v>1</v>
      </c>
      <c r="AA11" s="232">
        <v>4</v>
      </c>
      <c r="AB11" s="232"/>
      <c r="AC11" s="232"/>
      <c r="AD11" s="232">
        <v>1</v>
      </c>
      <c r="AE11" s="232">
        <v>1</v>
      </c>
      <c r="AF11" s="232"/>
      <c r="AG11" s="232"/>
      <c r="AH11" s="259">
        <v>9</v>
      </c>
      <c r="AI11" s="179"/>
      <c r="AJ11" s="179">
        <f>SUM(AH5:AH11)</f>
        <v>61</v>
      </c>
    </row>
    <row r="12" spans="1:78" ht="15" customHeight="1" x14ac:dyDescent="0.25">
      <c r="A12" s="116"/>
      <c r="B12" s="181" t="s">
        <v>42</v>
      </c>
      <c r="C12" s="181" t="s">
        <v>48</v>
      </c>
      <c r="D12" s="181"/>
      <c r="E12" s="181"/>
      <c r="F12" s="181"/>
      <c r="G12" s="181">
        <v>1</v>
      </c>
      <c r="H12" s="181"/>
      <c r="I12" s="181"/>
      <c r="J12" s="181"/>
      <c r="K12" s="181"/>
      <c r="L12" s="181"/>
      <c r="M12" s="181"/>
      <c r="N12" s="181"/>
      <c r="O12" s="181"/>
      <c r="P12" s="181">
        <v>1</v>
      </c>
      <c r="Q12" s="181">
        <v>3</v>
      </c>
      <c r="R12" s="181">
        <v>1</v>
      </c>
      <c r="S12" s="181"/>
      <c r="T12" s="181"/>
      <c r="U12" s="181">
        <v>1</v>
      </c>
      <c r="V12" s="181">
        <v>2</v>
      </c>
      <c r="W12" s="181">
        <v>3</v>
      </c>
      <c r="X12" s="181"/>
      <c r="Y12" s="181">
        <v>3</v>
      </c>
      <c r="Z12" s="181"/>
      <c r="AA12" s="181"/>
      <c r="AB12" s="181">
        <v>1</v>
      </c>
      <c r="AC12" s="181"/>
      <c r="AD12" s="181"/>
      <c r="AE12" s="181">
        <v>1</v>
      </c>
      <c r="AF12" s="181">
        <v>6</v>
      </c>
      <c r="AG12" s="181">
        <v>2</v>
      </c>
      <c r="AH12" s="258">
        <v>25</v>
      </c>
      <c r="AI12" s="179"/>
      <c r="AJ12" s="179"/>
    </row>
    <row r="13" spans="1:78" ht="15" customHeight="1" x14ac:dyDescent="0.25">
      <c r="A13" s="116"/>
      <c r="B13" s="181" t="s">
        <v>42</v>
      </c>
      <c r="C13" s="181" t="s">
        <v>47</v>
      </c>
      <c r="D13" s="181"/>
      <c r="E13" s="181"/>
      <c r="F13" s="181"/>
      <c r="G13" s="181"/>
      <c r="H13" s="181"/>
      <c r="I13" s="181"/>
      <c r="J13" s="181"/>
      <c r="K13" s="181"/>
      <c r="L13" s="181">
        <v>1</v>
      </c>
      <c r="M13" s="181"/>
      <c r="N13" s="181">
        <v>1</v>
      </c>
      <c r="O13" s="181"/>
      <c r="P13" s="181">
        <v>1</v>
      </c>
      <c r="Q13" s="181">
        <v>4</v>
      </c>
      <c r="R13" s="181">
        <v>1</v>
      </c>
      <c r="S13" s="181"/>
      <c r="T13" s="181">
        <v>1</v>
      </c>
      <c r="U13" s="181"/>
      <c r="V13" s="181">
        <v>1</v>
      </c>
      <c r="W13" s="181">
        <v>2</v>
      </c>
      <c r="X13" s="181">
        <v>1</v>
      </c>
      <c r="Y13" s="181"/>
      <c r="Z13" s="181">
        <v>2</v>
      </c>
      <c r="AA13" s="181"/>
      <c r="AB13" s="181">
        <v>3</v>
      </c>
      <c r="AC13" s="181"/>
      <c r="AD13" s="181">
        <v>1</v>
      </c>
      <c r="AE13" s="181"/>
      <c r="AF13" s="181">
        <v>4</v>
      </c>
      <c r="AG13" s="181"/>
      <c r="AH13" s="258">
        <v>23</v>
      </c>
      <c r="AI13" s="179"/>
      <c r="AJ13" s="179"/>
    </row>
    <row r="14" spans="1:78" ht="15" customHeight="1" x14ac:dyDescent="0.25">
      <c r="A14" s="116"/>
      <c r="B14" s="181" t="s">
        <v>42</v>
      </c>
      <c r="C14" s="181" t="s">
        <v>174</v>
      </c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>
        <v>1</v>
      </c>
      <c r="T14" s="181">
        <v>1</v>
      </c>
      <c r="U14" s="181"/>
      <c r="V14" s="181">
        <v>1</v>
      </c>
      <c r="W14" s="181">
        <v>3</v>
      </c>
      <c r="X14" s="181">
        <v>1</v>
      </c>
      <c r="Y14" s="181">
        <v>1</v>
      </c>
      <c r="Z14" s="181">
        <v>1</v>
      </c>
      <c r="AA14" s="181"/>
      <c r="AB14" s="181"/>
      <c r="AC14" s="181"/>
      <c r="AD14" s="181"/>
      <c r="AE14" s="181">
        <v>2</v>
      </c>
      <c r="AF14" s="181">
        <v>1</v>
      </c>
      <c r="AG14" s="181"/>
      <c r="AH14" s="258">
        <v>12</v>
      </c>
      <c r="AI14" s="179"/>
      <c r="AJ14" s="179"/>
    </row>
    <row r="15" spans="1:78" ht="15" customHeight="1" x14ac:dyDescent="0.25">
      <c r="A15" s="116"/>
      <c r="B15" s="181" t="s">
        <v>42</v>
      </c>
      <c r="C15" s="181" t="s">
        <v>45</v>
      </c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>
        <v>1</v>
      </c>
      <c r="S15" s="181"/>
      <c r="T15" s="181"/>
      <c r="U15" s="181">
        <v>1</v>
      </c>
      <c r="V15" s="181">
        <v>2</v>
      </c>
      <c r="W15" s="181">
        <v>1</v>
      </c>
      <c r="X15" s="181"/>
      <c r="Y15" s="181"/>
      <c r="Z15" s="181"/>
      <c r="AA15" s="181"/>
      <c r="AB15" s="181"/>
      <c r="AC15" s="181"/>
      <c r="AD15" s="181">
        <v>1</v>
      </c>
      <c r="AE15" s="181"/>
      <c r="AF15" s="181"/>
      <c r="AG15" s="181"/>
      <c r="AH15" s="258">
        <v>6</v>
      </c>
      <c r="AI15" s="179"/>
      <c r="AJ15" s="179"/>
    </row>
    <row r="16" spans="1:78" ht="15" customHeight="1" x14ac:dyDescent="0.25">
      <c r="A16" s="116"/>
      <c r="B16" s="181" t="s">
        <v>42</v>
      </c>
      <c r="C16" s="181" t="s">
        <v>44</v>
      </c>
      <c r="D16" s="181"/>
      <c r="E16" s="181"/>
      <c r="F16" s="181"/>
      <c r="G16" s="181"/>
      <c r="H16" s="181">
        <v>2</v>
      </c>
      <c r="I16" s="181"/>
      <c r="J16" s="181"/>
      <c r="K16" s="181">
        <v>1</v>
      </c>
      <c r="L16" s="181"/>
      <c r="M16" s="181"/>
      <c r="N16" s="181"/>
      <c r="O16" s="181"/>
      <c r="P16" s="181">
        <v>1</v>
      </c>
      <c r="Q16" s="181"/>
      <c r="R16" s="181"/>
      <c r="S16" s="181"/>
      <c r="T16" s="181">
        <v>1</v>
      </c>
      <c r="U16" s="181"/>
      <c r="V16" s="181">
        <v>2</v>
      </c>
      <c r="W16" s="181">
        <v>1</v>
      </c>
      <c r="X16" s="181">
        <v>2</v>
      </c>
      <c r="Y16" s="181"/>
      <c r="Z16" s="181"/>
      <c r="AA16" s="181"/>
      <c r="AB16" s="181"/>
      <c r="AC16" s="181">
        <v>1</v>
      </c>
      <c r="AD16" s="181"/>
      <c r="AE16" s="181"/>
      <c r="AF16" s="181">
        <v>2</v>
      </c>
      <c r="AG16" s="181">
        <v>7</v>
      </c>
      <c r="AH16" s="258">
        <v>20</v>
      </c>
      <c r="AI16" s="179"/>
      <c r="AJ16" s="179"/>
    </row>
    <row r="17" spans="1:36" ht="15" customHeight="1" x14ac:dyDescent="0.25">
      <c r="A17" s="116"/>
      <c r="B17" s="232" t="s">
        <v>42</v>
      </c>
      <c r="C17" s="232" t="s">
        <v>50</v>
      </c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32"/>
      <c r="T17" s="232"/>
      <c r="U17" s="232"/>
      <c r="V17" s="232"/>
      <c r="W17" s="232">
        <v>1</v>
      </c>
      <c r="X17" s="232"/>
      <c r="Y17" s="232">
        <v>2</v>
      </c>
      <c r="Z17" s="232"/>
      <c r="AA17" s="232"/>
      <c r="AB17" s="232"/>
      <c r="AC17" s="232">
        <v>1</v>
      </c>
      <c r="AD17" s="232"/>
      <c r="AE17" s="232"/>
      <c r="AF17" s="232">
        <v>2</v>
      </c>
      <c r="AG17" s="232">
        <v>1</v>
      </c>
      <c r="AH17" s="259">
        <v>7</v>
      </c>
      <c r="AI17" s="179"/>
      <c r="AJ17" s="179">
        <f>SUM(AH12:AH17)</f>
        <v>93</v>
      </c>
    </row>
    <row r="18" spans="1:36" ht="15" customHeight="1" x14ac:dyDescent="0.25">
      <c r="A18" s="116"/>
      <c r="B18" s="181" t="s">
        <v>34</v>
      </c>
      <c r="C18" s="181" t="s">
        <v>41</v>
      </c>
      <c r="D18" s="181"/>
      <c r="E18" s="181">
        <v>1</v>
      </c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>
        <v>1</v>
      </c>
      <c r="V18" s="181"/>
      <c r="W18" s="181"/>
      <c r="X18" s="181"/>
      <c r="Y18" s="181">
        <v>2</v>
      </c>
      <c r="Z18" s="181">
        <v>1</v>
      </c>
      <c r="AA18" s="181"/>
      <c r="AB18" s="181"/>
      <c r="AC18" s="181">
        <v>1</v>
      </c>
      <c r="AD18" s="181">
        <v>1</v>
      </c>
      <c r="AE18" s="181"/>
      <c r="AF18" s="181"/>
      <c r="AG18" s="181"/>
      <c r="AH18" s="258">
        <v>7</v>
      </c>
      <c r="AI18" s="179"/>
      <c r="AJ18" s="179"/>
    </row>
    <row r="19" spans="1:36" ht="15" customHeight="1" x14ac:dyDescent="0.25">
      <c r="A19" s="116"/>
      <c r="B19" s="181" t="s">
        <v>34</v>
      </c>
      <c r="C19" s="181" t="s">
        <v>40</v>
      </c>
      <c r="D19" s="181"/>
      <c r="E19" s="181"/>
      <c r="F19" s="181"/>
      <c r="G19" s="181"/>
      <c r="H19" s="181"/>
      <c r="I19" s="181"/>
      <c r="J19" s="181"/>
      <c r="K19" s="181">
        <v>1</v>
      </c>
      <c r="L19" s="181"/>
      <c r="M19" s="181"/>
      <c r="N19" s="181"/>
      <c r="O19" s="181"/>
      <c r="P19" s="181"/>
      <c r="Q19" s="181">
        <v>2</v>
      </c>
      <c r="R19" s="181"/>
      <c r="S19" s="181"/>
      <c r="T19" s="181"/>
      <c r="U19" s="181"/>
      <c r="V19" s="181"/>
      <c r="W19" s="181"/>
      <c r="X19" s="181"/>
      <c r="Y19" s="181"/>
      <c r="Z19" s="181">
        <v>2</v>
      </c>
      <c r="AA19" s="181"/>
      <c r="AB19" s="181"/>
      <c r="AC19" s="181"/>
      <c r="AD19" s="181"/>
      <c r="AE19" s="181">
        <v>1</v>
      </c>
      <c r="AF19" s="181"/>
      <c r="AG19" s="181"/>
      <c r="AH19" s="258">
        <v>6</v>
      </c>
      <c r="AI19" s="179"/>
      <c r="AJ19" s="179"/>
    </row>
    <row r="20" spans="1:36" ht="15" customHeight="1" x14ac:dyDescent="0.25">
      <c r="A20" s="116"/>
      <c r="B20" s="181" t="s">
        <v>34</v>
      </c>
      <c r="C20" s="181" t="s">
        <v>43</v>
      </c>
      <c r="D20" s="181"/>
      <c r="E20" s="181">
        <v>1</v>
      </c>
      <c r="F20" s="181"/>
      <c r="G20" s="181"/>
      <c r="H20" s="181"/>
      <c r="I20" s="181"/>
      <c r="J20" s="181"/>
      <c r="K20" s="181"/>
      <c r="L20" s="181">
        <v>1</v>
      </c>
      <c r="M20" s="181"/>
      <c r="N20" s="181"/>
      <c r="O20" s="181"/>
      <c r="P20" s="181"/>
      <c r="Q20" s="181">
        <v>1</v>
      </c>
      <c r="R20" s="181"/>
      <c r="S20" s="181"/>
      <c r="T20" s="181">
        <v>1</v>
      </c>
      <c r="U20" s="181"/>
      <c r="V20" s="181"/>
      <c r="W20" s="181"/>
      <c r="X20" s="181"/>
      <c r="Y20" s="181">
        <v>2</v>
      </c>
      <c r="Z20" s="181"/>
      <c r="AA20" s="181"/>
      <c r="AB20" s="181"/>
      <c r="AC20" s="181"/>
      <c r="AD20" s="181">
        <v>1</v>
      </c>
      <c r="AE20" s="181"/>
      <c r="AF20" s="181"/>
      <c r="AG20" s="181">
        <v>1</v>
      </c>
      <c r="AH20" s="258">
        <v>8</v>
      </c>
      <c r="AI20" s="179"/>
      <c r="AJ20" s="179"/>
    </row>
    <row r="21" spans="1:36" ht="15" customHeight="1" x14ac:dyDescent="0.25">
      <c r="A21" s="116"/>
      <c r="B21" s="181" t="s">
        <v>34</v>
      </c>
      <c r="C21" s="181" t="s">
        <v>39</v>
      </c>
      <c r="D21" s="181"/>
      <c r="E21" s="181"/>
      <c r="F21" s="181"/>
      <c r="G21" s="181"/>
      <c r="H21" s="181"/>
      <c r="I21" s="181">
        <v>1</v>
      </c>
      <c r="J21" s="181"/>
      <c r="K21" s="181"/>
      <c r="L21" s="181"/>
      <c r="M21" s="181"/>
      <c r="N21" s="181"/>
      <c r="O21" s="181">
        <v>1</v>
      </c>
      <c r="P21" s="181"/>
      <c r="Q21" s="181">
        <v>4</v>
      </c>
      <c r="R21" s="181">
        <v>1</v>
      </c>
      <c r="S21" s="181"/>
      <c r="T21" s="181"/>
      <c r="U21" s="181"/>
      <c r="V21" s="181"/>
      <c r="W21" s="181">
        <v>1</v>
      </c>
      <c r="X21" s="181"/>
      <c r="Y21" s="181"/>
      <c r="Z21" s="181"/>
      <c r="AA21" s="181">
        <v>2</v>
      </c>
      <c r="AB21" s="181">
        <v>1</v>
      </c>
      <c r="AC21" s="181">
        <v>3</v>
      </c>
      <c r="AD21" s="181"/>
      <c r="AE21" s="181">
        <v>1</v>
      </c>
      <c r="AF21" s="181"/>
      <c r="AG21" s="181"/>
      <c r="AH21" s="258">
        <v>15</v>
      </c>
      <c r="AI21" s="179"/>
      <c r="AJ21" s="179"/>
    </row>
    <row r="22" spans="1:36" ht="15" customHeight="1" x14ac:dyDescent="0.25">
      <c r="A22" s="116"/>
      <c r="B22" s="181" t="s">
        <v>34</v>
      </c>
      <c r="C22" s="181" t="s">
        <v>38</v>
      </c>
      <c r="D22" s="181"/>
      <c r="E22" s="181"/>
      <c r="F22" s="181"/>
      <c r="G22" s="181"/>
      <c r="H22" s="181"/>
      <c r="I22" s="181"/>
      <c r="J22" s="181"/>
      <c r="K22" s="181"/>
      <c r="L22" s="181"/>
      <c r="M22" s="181"/>
      <c r="N22" s="181"/>
      <c r="O22" s="181"/>
      <c r="P22" s="181"/>
      <c r="Q22" s="181"/>
      <c r="R22" s="181"/>
      <c r="S22" s="181"/>
      <c r="T22" s="181"/>
      <c r="U22" s="181"/>
      <c r="V22" s="181"/>
      <c r="W22" s="181">
        <v>1</v>
      </c>
      <c r="X22" s="181">
        <v>1</v>
      </c>
      <c r="Y22" s="181"/>
      <c r="Z22" s="181">
        <v>4</v>
      </c>
      <c r="AA22" s="181"/>
      <c r="AB22" s="181"/>
      <c r="AC22" s="181">
        <v>1</v>
      </c>
      <c r="AD22" s="181"/>
      <c r="AE22" s="181"/>
      <c r="AF22" s="181"/>
      <c r="AG22" s="181"/>
      <c r="AH22" s="258">
        <v>7</v>
      </c>
      <c r="AI22" s="179"/>
      <c r="AJ22" s="179"/>
    </row>
    <row r="23" spans="1:36" ht="15" customHeight="1" x14ac:dyDescent="0.25">
      <c r="A23" s="116"/>
      <c r="B23" s="181" t="s">
        <v>34</v>
      </c>
      <c r="C23" s="181" t="s">
        <v>37</v>
      </c>
      <c r="D23" s="181"/>
      <c r="E23" s="181"/>
      <c r="F23" s="181"/>
      <c r="G23" s="181"/>
      <c r="H23" s="181"/>
      <c r="I23" s="181"/>
      <c r="J23" s="181"/>
      <c r="K23" s="181">
        <v>1</v>
      </c>
      <c r="L23" s="181"/>
      <c r="M23" s="181"/>
      <c r="N23" s="181"/>
      <c r="O23" s="181"/>
      <c r="P23" s="181"/>
      <c r="Q23" s="181">
        <v>1</v>
      </c>
      <c r="R23" s="181"/>
      <c r="S23" s="181"/>
      <c r="T23" s="181"/>
      <c r="U23" s="181"/>
      <c r="V23" s="181"/>
      <c r="W23" s="181"/>
      <c r="X23" s="181">
        <v>1</v>
      </c>
      <c r="Y23" s="181">
        <v>1</v>
      </c>
      <c r="Z23" s="181"/>
      <c r="AA23" s="181"/>
      <c r="AB23" s="181"/>
      <c r="AC23" s="181"/>
      <c r="AD23" s="181"/>
      <c r="AE23" s="181"/>
      <c r="AF23" s="181"/>
      <c r="AG23" s="181"/>
      <c r="AH23" s="258">
        <v>4</v>
      </c>
      <c r="AI23" s="179"/>
      <c r="AJ23" s="179"/>
    </row>
    <row r="24" spans="1:36" ht="15" customHeight="1" x14ac:dyDescent="0.25">
      <c r="A24" s="116"/>
      <c r="B24" s="181" t="s">
        <v>34</v>
      </c>
      <c r="C24" s="181" t="s">
        <v>36</v>
      </c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181"/>
      <c r="P24" s="181"/>
      <c r="Q24" s="181">
        <v>1</v>
      </c>
      <c r="R24" s="181">
        <v>1</v>
      </c>
      <c r="S24" s="181">
        <v>2</v>
      </c>
      <c r="T24" s="181">
        <v>2</v>
      </c>
      <c r="U24" s="181"/>
      <c r="V24" s="181"/>
      <c r="W24" s="181"/>
      <c r="X24" s="181"/>
      <c r="Y24" s="181">
        <v>1</v>
      </c>
      <c r="Z24" s="181">
        <v>1</v>
      </c>
      <c r="AA24" s="181">
        <v>3</v>
      </c>
      <c r="AB24" s="181"/>
      <c r="AC24" s="181"/>
      <c r="AD24" s="181"/>
      <c r="AE24" s="181"/>
      <c r="AF24" s="181"/>
      <c r="AG24" s="181"/>
      <c r="AH24" s="258">
        <v>11</v>
      </c>
      <c r="AI24" s="179"/>
      <c r="AJ24" s="179"/>
    </row>
    <row r="25" spans="1:36" ht="15" customHeight="1" x14ac:dyDescent="0.25">
      <c r="A25" s="116"/>
      <c r="B25" s="181" t="s">
        <v>34</v>
      </c>
      <c r="C25" s="181" t="s">
        <v>35</v>
      </c>
      <c r="E25" s="181"/>
      <c r="F25" s="181"/>
      <c r="G25" s="181"/>
      <c r="H25" s="181"/>
      <c r="I25" s="181"/>
      <c r="J25" s="181">
        <v>1</v>
      </c>
      <c r="K25" s="181"/>
      <c r="L25" s="181"/>
      <c r="M25" s="181"/>
      <c r="N25" s="181"/>
      <c r="O25" s="181"/>
      <c r="P25" s="181"/>
      <c r="Q25" s="181"/>
      <c r="R25" s="181"/>
      <c r="S25" s="181">
        <v>1</v>
      </c>
      <c r="T25" s="181">
        <v>1</v>
      </c>
      <c r="U25" s="181">
        <v>2</v>
      </c>
      <c r="V25" s="181"/>
      <c r="W25" s="181"/>
      <c r="X25" s="181">
        <v>4</v>
      </c>
      <c r="Y25" s="181"/>
      <c r="Z25" s="181">
        <v>1</v>
      </c>
      <c r="AA25" s="181">
        <v>1</v>
      </c>
      <c r="AB25" s="181">
        <v>1</v>
      </c>
      <c r="AC25" s="181">
        <v>1</v>
      </c>
      <c r="AD25" s="181"/>
      <c r="AE25" s="181">
        <v>1</v>
      </c>
      <c r="AF25" s="181">
        <v>4</v>
      </c>
      <c r="AG25" s="181"/>
      <c r="AH25" s="258">
        <v>19</v>
      </c>
      <c r="AI25" s="179"/>
      <c r="AJ25" s="179"/>
    </row>
    <row r="26" spans="1:36" ht="15" customHeight="1" x14ac:dyDescent="0.25">
      <c r="A26" s="116"/>
      <c r="B26" s="232" t="s">
        <v>34</v>
      </c>
      <c r="C26" s="232" t="s">
        <v>33</v>
      </c>
      <c r="D26" s="232"/>
      <c r="E26" s="232"/>
      <c r="F26" s="232"/>
      <c r="G26" s="232"/>
      <c r="H26" s="232"/>
      <c r="I26" s="232"/>
      <c r="J26" s="232">
        <v>1</v>
      </c>
      <c r="K26" s="232">
        <v>1</v>
      </c>
      <c r="L26" s="232"/>
      <c r="M26" s="232"/>
      <c r="N26" s="232"/>
      <c r="O26" s="232"/>
      <c r="P26" s="232"/>
      <c r="Q26" s="232">
        <v>2</v>
      </c>
      <c r="R26" s="232"/>
      <c r="S26" s="232">
        <v>1</v>
      </c>
      <c r="T26" s="232">
        <v>1</v>
      </c>
      <c r="U26" s="232"/>
      <c r="V26" s="232"/>
      <c r="W26" s="232">
        <v>1</v>
      </c>
      <c r="X26" s="232"/>
      <c r="Y26" s="232">
        <v>1</v>
      </c>
      <c r="Z26" s="232">
        <v>2</v>
      </c>
      <c r="AA26" s="232">
        <v>2</v>
      </c>
      <c r="AB26" s="232"/>
      <c r="AC26" s="232"/>
      <c r="AD26" s="232"/>
      <c r="AE26" s="232">
        <v>1</v>
      </c>
      <c r="AF26" s="232">
        <v>1</v>
      </c>
      <c r="AG26" s="232"/>
      <c r="AH26" s="259">
        <v>14</v>
      </c>
      <c r="AI26" s="179"/>
      <c r="AJ26" s="179">
        <f>SUM(AH18:AH26)</f>
        <v>91</v>
      </c>
    </row>
    <row r="27" spans="1:36" ht="15" customHeight="1" x14ac:dyDescent="0.25">
      <c r="A27" s="116"/>
      <c r="B27" s="257" t="s">
        <v>173</v>
      </c>
      <c r="C27" s="257"/>
      <c r="D27" s="257">
        <v>1</v>
      </c>
      <c r="E27" s="257">
        <v>2</v>
      </c>
      <c r="F27" s="257"/>
      <c r="G27" s="257">
        <v>1</v>
      </c>
      <c r="H27" s="257">
        <v>2</v>
      </c>
      <c r="I27" s="257">
        <v>1</v>
      </c>
      <c r="J27" s="257">
        <v>3</v>
      </c>
      <c r="K27" s="257">
        <v>7</v>
      </c>
      <c r="L27" s="257">
        <v>2</v>
      </c>
      <c r="M27" s="257">
        <v>1</v>
      </c>
      <c r="N27" s="257">
        <v>1</v>
      </c>
      <c r="O27" s="257">
        <v>1</v>
      </c>
      <c r="P27" s="257">
        <v>3</v>
      </c>
      <c r="Q27" s="257">
        <v>20</v>
      </c>
      <c r="R27" s="257">
        <v>7</v>
      </c>
      <c r="S27" s="257">
        <v>7</v>
      </c>
      <c r="T27" s="257">
        <v>15</v>
      </c>
      <c r="U27" s="257">
        <v>6</v>
      </c>
      <c r="V27" s="257">
        <v>11</v>
      </c>
      <c r="W27" s="257">
        <v>15</v>
      </c>
      <c r="X27" s="257">
        <v>12</v>
      </c>
      <c r="Y27" s="257">
        <v>16</v>
      </c>
      <c r="Z27" s="257">
        <v>17</v>
      </c>
      <c r="AA27" s="257">
        <v>13</v>
      </c>
      <c r="AB27" s="257">
        <v>6</v>
      </c>
      <c r="AC27" s="257">
        <v>17</v>
      </c>
      <c r="AD27" s="257">
        <v>7</v>
      </c>
      <c r="AE27" s="257">
        <v>11</v>
      </c>
      <c r="AF27" s="257">
        <v>29</v>
      </c>
      <c r="AG27" s="257">
        <v>11</v>
      </c>
      <c r="AH27" s="258">
        <v>245</v>
      </c>
      <c r="AI27" s="179"/>
      <c r="AJ27" s="179"/>
    </row>
    <row r="28" spans="1:36" ht="15" customHeight="1" x14ac:dyDescent="0.25">
      <c r="A28" s="116"/>
      <c r="B28" s="179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79"/>
      <c r="U28" s="179"/>
      <c r="V28" s="179"/>
      <c r="W28" s="179"/>
      <c r="X28" s="179"/>
      <c r="Y28" s="179"/>
      <c r="Z28" s="179"/>
      <c r="AA28" s="179"/>
      <c r="AB28" s="179"/>
      <c r="AC28" s="179"/>
      <c r="AD28" s="179"/>
      <c r="AE28" s="179"/>
      <c r="AF28" s="179"/>
      <c r="AG28" s="179"/>
      <c r="AH28" s="231"/>
      <c r="AI28" s="179"/>
      <c r="AJ28" s="179"/>
    </row>
    <row r="29" spans="1:36" ht="15" customHeight="1" x14ac:dyDescent="0.25">
      <c r="A29" s="116"/>
      <c r="B29" s="230">
        <v>2019</v>
      </c>
      <c r="C29" s="179"/>
      <c r="D29" s="228">
        <f>$B$29-YEAR(D3)</f>
        <v>119</v>
      </c>
      <c r="E29" s="228">
        <f>$B$29-YEAR(E3)</f>
        <v>119</v>
      </c>
      <c r="F29" s="228"/>
      <c r="G29" s="228">
        <f t="shared" ref="G29:AG29" si="0">$B$29-YEAR(G3)</f>
        <v>119</v>
      </c>
      <c r="H29" s="228">
        <f t="shared" si="0"/>
        <v>119</v>
      </c>
      <c r="I29" s="228">
        <f t="shared" si="0"/>
        <v>119</v>
      </c>
      <c r="J29" s="228">
        <f t="shared" si="0"/>
        <v>119</v>
      </c>
      <c r="K29" s="228">
        <f t="shared" si="0"/>
        <v>119</v>
      </c>
      <c r="L29" s="228">
        <f t="shared" si="0"/>
        <v>119</v>
      </c>
      <c r="M29" s="228">
        <f t="shared" si="0"/>
        <v>119</v>
      </c>
      <c r="N29" s="228">
        <f t="shared" si="0"/>
        <v>119</v>
      </c>
      <c r="O29" s="228">
        <f t="shared" si="0"/>
        <v>119</v>
      </c>
      <c r="P29" s="228">
        <f t="shared" si="0"/>
        <v>119</v>
      </c>
      <c r="Q29" s="228">
        <f t="shared" si="0"/>
        <v>119</v>
      </c>
      <c r="R29" s="228">
        <f t="shared" si="0"/>
        <v>119</v>
      </c>
      <c r="S29" s="228">
        <f t="shared" si="0"/>
        <v>119</v>
      </c>
      <c r="T29" s="228">
        <f t="shared" si="0"/>
        <v>119</v>
      </c>
      <c r="U29" s="228">
        <f t="shared" si="0"/>
        <v>119</v>
      </c>
      <c r="V29" s="228">
        <f t="shared" si="0"/>
        <v>119</v>
      </c>
      <c r="W29" s="228">
        <f t="shared" si="0"/>
        <v>119</v>
      </c>
      <c r="X29" s="228">
        <f t="shared" si="0"/>
        <v>119</v>
      </c>
      <c r="Y29" s="228">
        <f t="shared" si="0"/>
        <v>119</v>
      </c>
      <c r="Z29" s="228">
        <f t="shared" si="0"/>
        <v>119</v>
      </c>
      <c r="AA29" s="228">
        <f t="shared" si="0"/>
        <v>119</v>
      </c>
      <c r="AB29" s="228">
        <f t="shared" si="0"/>
        <v>119</v>
      </c>
      <c r="AC29" s="228">
        <f t="shared" si="0"/>
        <v>119</v>
      </c>
      <c r="AD29" s="228">
        <f t="shared" si="0"/>
        <v>119</v>
      </c>
      <c r="AE29" s="228">
        <f t="shared" si="0"/>
        <v>119</v>
      </c>
      <c r="AF29" s="228">
        <f t="shared" si="0"/>
        <v>119</v>
      </c>
      <c r="AG29" s="228">
        <f t="shared" si="0"/>
        <v>119</v>
      </c>
      <c r="AH29" s="228"/>
      <c r="AI29" s="228"/>
      <c r="AJ29" s="228"/>
    </row>
    <row r="30" spans="1:36" ht="15" customHeight="1" x14ac:dyDescent="0.25">
      <c r="A30" s="116"/>
      <c r="B30" s="229"/>
      <c r="C30" s="229"/>
      <c r="D30" s="228"/>
      <c r="E30" s="228"/>
      <c r="F30" s="228"/>
      <c r="G30" s="228"/>
      <c r="H30" s="228"/>
      <c r="I30" s="228"/>
      <c r="J30" s="228"/>
      <c r="K30" s="228"/>
      <c r="L30" s="228"/>
      <c r="M30" s="228"/>
      <c r="N30" s="228"/>
      <c r="O30" s="228"/>
      <c r="P30" s="228"/>
      <c r="Q30" s="228"/>
      <c r="R30" s="228"/>
      <c r="S30" s="228"/>
      <c r="T30" s="228"/>
      <c r="U30" s="228"/>
      <c r="V30" s="228"/>
      <c r="W30" s="228"/>
      <c r="X30" s="228"/>
      <c r="Y30" s="228"/>
      <c r="Z30" s="228"/>
      <c r="AA30" s="228"/>
      <c r="AB30" s="228"/>
      <c r="AC30" s="228"/>
      <c r="AD30" s="228"/>
      <c r="AE30" s="228"/>
      <c r="AF30" s="228"/>
      <c r="AG30" s="228"/>
      <c r="AH30" s="228"/>
      <c r="AI30" s="228"/>
      <c r="AJ30" s="228"/>
    </row>
    <row r="31" spans="1:36" ht="15" customHeight="1" x14ac:dyDescent="0.25">
      <c r="A31" s="116"/>
      <c r="B31" s="229"/>
      <c r="C31" s="229"/>
      <c r="D31" s="228"/>
      <c r="E31" s="228"/>
      <c r="F31" s="228"/>
      <c r="G31" s="228"/>
      <c r="H31" s="228"/>
      <c r="I31" s="228"/>
      <c r="J31" s="228"/>
      <c r="K31" s="228"/>
      <c r="L31" s="228"/>
      <c r="M31" s="228"/>
      <c r="N31" s="228"/>
      <c r="O31" s="228"/>
      <c r="P31" s="228"/>
      <c r="Q31" s="228"/>
      <c r="R31" s="228"/>
      <c r="S31" s="228"/>
      <c r="T31" s="228"/>
      <c r="U31" s="228"/>
      <c r="V31" s="228"/>
      <c r="W31" s="228"/>
      <c r="X31" s="228"/>
      <c r="Y31" s="228"/>
      <c r="Z31" s="228"/>
      <c r="AA31" s="228"/>
      <c r="AB31" s="228"/>
      <c r="AC31" s="228"/>
      <c r="AD31" s="228"/>
      <c r="AE31" s="228"/>
      <c r="AF31" s="228"/>
      <c r="AG31" s="228"/>
      <c r="AH31" s="228"/>
      <c r="AI31" s="228"/>
      <c r="AJ31" s="228"/>
    </row>
    <row r="32" spans="1:36" ht="15" customHeight="1" x14ac:dyDescent="0.25">
      <c r="A32" s="116"/>
      <c r="D32" s="228"/>
      <c r="E32" s="228"/>
      <c r="F32" s="228"/>
      <c r="G32" s="228"/>
      <c r="H32" s="228"/>
      <c r="I32" s="228"/>
      <c r="J32" s="228"/>
      <c r="K32" s="228"/>
      <c r="L32" s="228"/>
      <c r="M32" s="228"/>
      <c r="N32" s="228"/>
      <c r="O32" s="228"/>
      <c r="P32" s="228"/>
      <c r="Q32" s="228"/>
      <c r="R32" s="228"/>
      <c r="S32" s="228"/>
      <c r="T32" s="228"/>
      <c r="U32" s="228"/>
      <c r="V32" s="228"/>
      <c r="W32" s="228"/>
      <c r="X32" s="228"/>
      <c r="Y32" s="228"/>
      <c r="Z32" s="228"/>
      <c r="AA32" s="228"/>
      <c r="AB32" s="228"/>
      <c r="AC32" s="228"/>
      <c r="AD32" s="228"/>
      <c r="AE32" s="228"/>
      <c r="AF32" s="228"/>
      <c r="AG32" s="228"/>
      <c r="AH32" s="228"/>
      <c r="AI32" s="228"/>
      <c r="AJ32" s="228"/>
    </row>
    <row r="33" spans="1:36" ht="15" customHeight="1" x14ac:dyDescent="0.25">
      <c r="A33" s="116"/>
      <c r="D33" s="228"/>
      <c r="E33" s="228"/>
      <c r="F33" s="228"/>
      <c r="G33" s="228"/>
      <c r="H33" s="228"/>
      <c r="I33" s="228"/>
      <c r="J33" s="228"/>
      <c r="K33" s="228"/>
      <c r="L33" s="228"/>
      <c r="M33" s="228"/>
      <c r="N33" s="228"/>
      <c r="O33" s="228"/>
      <c r="P33" s="228"/>
      <c r="Q33" s="228"/>
      <c r="R33" s="228"/>
      <c r="S33" s="228"/>
      <c r="T33" s="228"/>
      <c r="U33" s="228"/>
      <c r="V33" s="228"/>
      <c r="W33" s="228"/>
      <c r="X33" s="228"/>
      <c r="Y33" s="228"/>
      <c r="Z33" s="228"/>
      <c r="AA33" s="228"/>
      <c r="AB33" s="228"/>
      <c r="AC33" s="228"/>
      <c r="AD33" s="228"/>
      <c r="AE33" s="228"/>
      <c r="AF33" s="228"/>
      <c r="AG33" s="228"/>
      <c r="AH33" s="228"/>
      <c r="AI33" s="228"/>
      <c r="AJ33" s="228"/>
    </row>
    <row r="34" spans="1:36" x14ac:dyDescent="0.25">
      <c r="A34" s="116"/>
      <c r="D34" s="228"/>
      <c r="E34" s="228"/>
      <c r="F34" s="228"/>
      <c r="G34" s="228"/>
      <c r="H34" s="228"/>
      <c r="I34" s="228"/>
      <c r="J34" s="228"/>
      <c r="K34" s="228"/>
      <c r="L34" s="228"/>
      <c r="M34" s="228"/>
      <c r="N34" s="228"/>
      <c r="O34" s="228"/>
      <c r="P34" s="228"/>
      <c r="Q34" s="228"/>
      <c r="R34" s="228"/>
      <c r="S34" s="228"/>
      <c r="T34" s="228"/>
      <c r="U34" s="228"/>
      <c r="V34" s="228"/>
      <c r="W34" s="228"/>
      <c r="X34" s="228"/>
      <c r="Y34" s="228"/>
      <c r="Z34" s="228"/>
      <c r="AA34" s="228"/>
      <c r="AB34" s="228"/>
      <c r="AC34" s="228"/>
      <c r="AD34" s="228"/>
      <c r="AE34" s="228"/>
      <c r="AF34" s="228"/>
      <c r="AG34" s="228"/>
      <c r="AH34" s="228"/>
      <c r="AI34" s="228"/>
      <c r="AJ34" s="228"/>
    </row>
    <row r="35" spans="1:36" x14ac:dyDescent="0.25">
      <c r="A35" s="116"/>
      <c r="D35" s="228"/>
      <c r="E35" s="228"/>
      <c r="F35" s="228"/>
      <c r="G35" s="228"/>
      <c r="H35" s="228"/>
      <c r="I35" s="228"/>
      <c r="J35" s="228"/>
      <c r="K35" s="228"/>
      <c r="L35" s="228"/>
      <c r="M35" s="228"/>
      <c r="N35" s="228"/>
      <c r="O35" s="228"/>
      <c r="P35" s="228"/>
      <c r="Q35" s="228"/>
      <c r="R35" s="228"/>
      <c r="S35" s="228"/>
      <c r="T35" s="228"/>
      <c r="U35" s="228"/>
      <c r="V35" s="228"/>
      <c r="W35" s="228"/>
      <c r="X35" s="228"/>
      <c r="Y35" s="228"/>
      <c r="Z35" s="228"/>
      <c r="AA35" s="228"/>
      <c r="AB35" s="228"/>
      <c r="AC35" s="228"/>
      <c r="AD35" s="228"/>
      <c r="AE35" s="228"/>
      <c r="AF35" s="228"/>
      <c r="AG35" s="228"/>
      <c r="AH35" s="228"/>
      <c r="AI35" s="228"/>
      <c r="AJ35" s="228"/>
    </row>
    <row r="36" spans="1:36" x14ac:dyDescent="0.25">
      <c r="A36" s="116"/>
      <c r="D36" s="228"/>
      <c r="E36" s="228"/>
      <c r="F36" s="228"/>
      <c r="G36" s="228"/>
      <c r="H36" s="228"/>
      <c r="I36" s="228"/>
      <c r="J36" s="228"/>
      <c r="K36" s="228"/>
      <c r="L36" s="228"/>
      <c r="M36" s="228"/>
      <c r="N36" s="228"/>
      <c r="O36" s="228"/>
      <c r="P36" s="228"/>
      <c r="Q36" s="228"/>
      <c r="R36" s="228"/>
      <c r="S36" s="228"/>
      <c r="T36" s="228"/>
      <c r="U36" s="228"/>
      <c r="V36" s="228"/>
      <c r="W36" s="228"/>
      <c r="X36" s="228"/>
      <c r="Y36" s="228"/>
      <c r="Z36" s="228"/>
      <c r="AA36" s="228"/>
      <c r="AB36" s="228"/>
      <c r="AC36" s="228"/>
      <c r="AD36" s="228"/>
      <c r="AE36" s="228"/>
      <c r="AF36" s="228"/>
      <c r="AG36" s="228"/>
      <c r="AH36" s="228"/>
      <c r="AI36" s="228"/>
      <c r="AJ36" s="228"/>
    </row>
    <row r="37" spans="1:36" x14ac:dyDescent="0.25">
      <c r="A37" s="116"/>
      <c r="D37" s="228"/>
      <c r="E37" s="228"/>
      <c r="F37" s="228"/>
      <c r="G37" s="228"/>
      <c r="H37" s="228"/>
      <c r="I37" s="228"/>
      <c r="J37" s="228"/>
      <c r="K37" s="228"/>
      <c r="L37" s="228"/>
      <c r="M37" s="228"/>
      <c r="N37" s="228"/>
      <c r="O37" s="228"/>
      <c r="P37" s="228"/>
      <c r="Q37" s="228"/>
      <c r="R37" s="228"/>
      <c r="S37" s="228"/>
      <c r="T37" s="228"/>
      <c r="U37" s="228"/>
      <c r="V37" s="228"/>
      <c r="W37" s="228"/>
      <c r="X37" s="228"/>
      <c r="Y37" s="228"/>
      <c r="Z37" s="228"/>
      <c r="AA37" s="228"/>
      <c r="AB37" s="228"/>
      <c r="AC37" s="228"/>
      <c r="AD37" s="228"/>
      <c r="AE37" s="228"/>
      <c r="AF37" s="228"/>
      <c r="AG37" s="228"/>
      <c r="AH37" s="228"/>
      <c r="AI37" s="228"/>
      <c r="AJ37" s="228"/>
    </row>
    <row r="38" spans="1:36" x14ac:dyDescent="0.25">
      <c r="A38" s="116"/>
      <c r="D38" s="228"/>
      <c r="E38" s="228"/>
      <c r="F38" s="228"/>
      <c r="G38" s="228"/>
      <c r="H38" s="228"/>
      <c r="I38" s="228"/>
      <c r="J38" s="228"/>
      <c r="K38" s="228"/>
      <c r="L38" s="228"/>
      <c r="M38" s="228"/>
      <c r="N38" s="228"/>
      <c r="O38" s="228"/>
      <c r="P38" s="228"/>
      <c r="Q38" s="228"/>
      <c r="R38" s="228"/>
      <c r="S38" s="228"/>
      <c r="T38" s="228"/>
      <c r="U38" s="228"/>
      <c r="V38" s="228"/>
      <c r="W38" s="228"/>
      <c r="X38" s="228"/>
      <c r="Y38" s="228"/>
      <c r="Z38" s="228"/>
      <c r="AA38" s="228"/>
      <c r="AB38" s="228"/>
      <c r="AC38" s="228"/>
      <c r="AD38" s="228"/>
      <c r="AE38" s="228"/>
      <c r="AF38" s="228"/>
      <c r="AG38" s="228"/>
      <c r="AH38" s="228"/>
      <c r="AI38" s="228"/>
      <c r="AJ38" s="228"/>
    </row>
    <row r="39" spans="1:36" x14ac:dyDescent="0.25">
      <c r="A39" s="116"/>
      <c r="D39" s="228"/>
      <c r="E39" s="228"/>
      <c r="F39" s="228"/>
      <c r="G39" s="228"/>
      <c r="H39" s="228"/>
      <c r="I39" s="228"/>
      <c r="J39" s="228"/>
      <c r="K39" s="228"/>
      <c r="L39" s="228"/>
      <c r="M39" s="228"/>
      <c r="N39" s="228"/>
      <c r="O39" s="228"/>
      <c r="P39" s="228"/>
      <c r="Q39" s="228"/>
      <c r="R39" s="228"/>
      <c r="S39" s="228"/>
      <c r="T39" s="228"/>
      <c r="U39" s="228"/>
      <c r="V39" s="228"/>
      <c r="W39" s="228"/>
      <c r="X39" s="228"/>
      <c r="Y39" s="228"/>
      <c r="Z39" s="228"/>
      <c r="AA39" s="228"/>
      <c r="AB39" s="228"/>
      <c r="AC39" s="228"/>
      <c r="AD39" s="228"/>
      <c r="AE39" s="228"/>
      <c r="AF39" s="228"/>
      <c r="AG39" s="228"/>
      <c r="AH39" s="228"/>
      <c r="AI39" s="228"/>
      <c r="AJ39" s="228"/>
    </row>
    <row r="40" spans="1:36" x14ac:dyDescent="0.25">
      <c r="A40" s="116"/>
      <c r="D40" s="228"/>
      <c r="E40" s="228"/>
      <c r="F40" s="228"/>
      <c r="G40" s="228"/>
      <c r="H40" s="228"/>
      <c r="I40" s="228"/>
      <c r="J40" s="228"/>
      <c r="K40" s="228"/>
      <c r="L40" s="228"/>
      <c r="M40" s="228"/>
      <c r="N40" s="228"/>
      <c r="O40" s="228"/>
      <c r="P40" s="228"/>
      <c r="Q40" s="228"/>
      <c r="R40" s="228"/>
      <c r="S40" s="228"/>
      <c r="T40" s="228"/>
      <c r="U40" s="228"/>
      <c r="V40" s="228"/>
      <c r="W40" s="228"/>
      <c r="X40" s="228"/>
      <c r="Y40" s="228"/>
      <c r="Z40" s="228"/>
      <c r="AA40" s="228"/>
      <c r="AB40" s="228"/>
      <c r="AC40" s="228"/>
      <c r="AD40" s="228"/>
      <c r="AE40" s="228"/>
      <c r="AF40" s="228"/>
      <c r="AG40" s="228"/>
      <c r="AH40" s="228"/>
      <c r="AI40" s="228"/>
      <c r="AJ40" s="228"/>
    </row>
    <row r="41" spans="1:36" x14ac:dyDescent="0.25">
      <c r="A41" s="116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  <c r="O41" s="228"/>
      <c r="P41" s="228"/>
      <c r="Q41" s="228"/>
      <c r="R41" s="228"/>
      <c r="S41" s="228"/>
      <c r="T41" s="228"/>
      <c r="U41" s="228"/>
      <c r="V41" s="228"/>
      <c r="W41" s="228"/>
      <c r="X41" s="228"/>
      <c r="Y41" s="228"/>
      <c r="Z41" s="228"/>
      <c r="AA41" s="228"/>
      <c r="AB41" s="228"/>
      <c r="AC41" s="228"/>
      <c r="AD41" s="228"/>
      <c r="AE41" s="228"/>
      <c r="AF41" s="228"/>
      <c r="AG41" s="228"/>
      <c r="AH41" s="228"/>
      <c r="AI41" s="228"/>
      <c r="AJ41" s="228"/>
    </row>
    <row r="42" spans="1:36" x14ac:dyDescent="0.25">
      <c r="A42" s="116"/>
      <c r="D42" s="228"/>
      <c r="E42" s="228"/>
      <c r="F42" s="228"/>
      <c r="G42" s="228"/>
      <c r="H42" s="228"/>
      <c r="I42" s="228"/>
      <c r="J42" s="228"/>
      <c r="K42" s="228"/>
      <c r="L42" s="228"/>
      <c r="M42" s="228"/>
      <c r="N42" s="228"/>
      <c r="O42" s="228"/>
      <c r="P42" s="228"/>
      <c r="Q42" s="228"/>
      <c r="R42" s="228"/>
      <c r="S42" s="228"/>
      <c r="T42" s="228"/>
      <c r="U42" s="228"/>
      <c r="V42" s="228"/>
      <c r="W42" s="228"/>
      <c r="X42" s="228"/>
      <c r="Y42" s="228"/>
      <c r="Z42" s="228"/>
      <c r="AA42" s="228"/>
      <c r="AB42" s="228"/>
      <c r="AC42" s="228"/>
      <c r="AD42" s="228"/>
      <c r="AE42" s="228"/>
      <c r="AF42" s="228"/>
      <c r="AG42" s="228"/>
      <c r="AH42" s="228"/>
      <c r="AI42" s="228"/>
      <c r="AJ42" s="228"/>
    </row>
    <row r="43" spans="1:36" x14ac:dyDescent="0.25">
      <c r="A43" s="116"/>
      <c r="D43" s="228"/>
      <c r="E43" s="228"/>
      <c r="F43" s="228"/>
      <c r="G43" s="22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228"/>
      <c r="AA43" s="228"/>
      <c r="AB43" s="228"/>
      <c r="AC43" s="228"/>
      <c r="AD43" s="228"/>
      <c r="AE43" s="228"/>
      <c r="AF43" s="228"/>
      <c r="AG43" s="228"/>
      <c r="AH43" s="228"/>
      <c r="AI43" s="228"/>
      <c r="AJ43" s="228"/>
    </row>
    <row r="44" spans="1:36" x14ac:dyDescent="0.25">
      <c r="A44" s="116"/>
      <c r="D44" s="228"/>
      <c r="E44" s="228"/>
      <c r="F44" s="228"/>
      <c r="G44" s="228"/>
      <c r="H44" s="228"/>
      <c r="I44" s="228"/>
      <c r="J44" s="228"/>
      <c r="K44" s="228"/>
      <c r="L44" s="228"/>
      <c r="M44" s="228"/>
      <c r="N44" s="228"/>
      <c r="O44" s="228"/>
      <c r="P44" s="228"/>
      <c r="Q44" s="228"/>
      <c r="R44" s="228"/>
      <c r="S44" s="228"/>
      <c r="T44" s="228"/>
      <c r="U44" s="228"/>
      <c r="V44" s="228"/>
      <c r="W44" s="228"/>
      <c r="X44" s="228"/>
      <c r="Y44" s="228"/>
      <c r="Z44" s="228"/>
      <c r="AA44" s="228"/>
      <c r="AB44" s="228"/>
      <c r="AC44" s="228"/>
      <c r="AD44" s="228"/>
      <c r="AE44" s="228"/>
      <c r="AF44" s="228"/>
      <c r="AG44" s="228"/>
      <c r="AH44" s="228"/>
      <c r="AI44" s="228"/>
      <c r="AJ44" s="228"/>
    </row>
    <row r="45" spans="1:36" x14ac:dyDescent="0.25">
      <c r="A45" s="116"/>
      <c r="D45" s="228"/>
      <c r="E45" s="228"/>
      <c r="F45" s="228"/>
      <c r="G45" s="228"/>
      <c r="H45" s="228"/>
      <c r="I45" s="228"/>
      <c r="J45" s="228"/>
      <c r="K45" s="228"/>
      <c r="L45" s="228"/>
      <c r="M45" s="228"/>
      <c r="N45" s="228"/>
      <c r="O45" s="228"/>
      <c r="P45" s="228"/>
      <c r="Q45" s="228"/>
      <c r="R45" s="228"/>
      <c r="S45" s="228"/>
      <c r="T45" s="228"/>
      <c r="U45" s="228"/>
      <c r="V45" s="228"/>
      <c r="W45" s="228"/>
      <c r="X45" s="228"/>
      <c r="Y45" s="228"/>
      <c r="Z45" s="228"/>
      <c r="AA45" s="228"/>
      <c r="AB45" s="228"/>
      <c r="AC45" s="228"/>
      <c r="AD45" s="228"/>
      <c r="AE45" s="228"/>
      <c r="AF45" s="228"/>
      <c r="AG45" s="228"/>
      <c r="AH45" s="228"/>
      <c r="AI45" s="228"/>
      <c r="AJ45" s="228"/>
    </row>
    <row r="46" spans="1:36" x14ac:dyDescent="0.25">
      <c r="A46" s="116"/>
    </row>
    <row r="47" spans="1:36" x14ac:dyDescent="0.25">
      <c r="A47" s="116"/>
    </row>
    <row r="48" spans="1:36" x14ac:dyDescent="0.25">
      <c r="A48" s="116"/>
    </row>
    <row r="49" spans="1:1" x14ac:dyDescent="0.25">
      <c r="A49" s="116"/>
    </row>
    <row r="50" spans="1:1" x14ac:dyDescent="0.25">
      <c r="A50" s="116"/>
    </row>
    <row r="51" spans="1:1" x14ac:dyDescent="0.25">
      <c r="A51" s="116"/>
    </row>
    <row r="52" spans="1:1" x14ac:dyDescent="0.25">
      <c r="A52" s="116"/>
    </row>
    <row r="53" spans="1:1" x14ac:dyDescent="0.25">
      <c r="A53" s="116"/>
    </row>
    <row r="54" spans="1:1" x14ac:dyDescent="0.25">
      <c r="A54" s="116"/>
    </row>
    <row r="55" spans="1:1" x14ac:dyDescent="0.25">
      <c r="A55" s="116"/>
    </row>
    <row r="56" spans="1:1" x14ac:dyDescent="0.25">
      <c r="A56" s="116"/>
    </row>
    <row r="57" spans="1:1" x14ac:dyDescent="0.25">
      <c r="A57" s="116"/>
    </row>
    <row r="58" spans="1:1" x14ac:dyDescent="0.25">
      <c r="A58" s="116"/>
    </row>
    <row r="59" spans="1:1" x14ac:dyDescent="0.25">
      <c r="A59" s="116"/>
    </row>
    <row r="60" spans="1:1" x14ac:dyDescent="0.25">
      <c r="A60" s="116"/>
    </row>
    <row r="61" spans="1:1" x14ac:dyDescent="0.25">
      <c r="A61" s="116"/>
    </row>
    <row r="62" spans="1:1" x14ac:dyDescent="0.25">
      <c r="A62" s="116"/>
    </row>
    <row r="63" spans="1:1" x14ac:dyDescent="0.25">
      <c r="A63" s="116"/>
    </row>
    <row r="64" spans="1:1" x14ac:dyDescent="0.25">
      <c r="A64" s="116"/>
    </row>
    <row r="65" spans="1:1" x14ac:dyDescent="0.25">
      <c r="A65" s="116"/>
    </row>
    <row r="66" spans="1:1" x14ac:dyDescent="0.25">
      <c r="A66" s="116"/>
    </row>
    <row r="67" spans="1:1" x14ac:dyDescent="0.25">
      <c r="A67" s="116"/>
    </row>
    <row r="68" spans="1:1" x14ac:dyDescent="0.25">
      <c r="A68" s="116"/>
    </row>
    <row r="69" spans="1:1" x14ac:dyDescent="0.25">
      <c r="A69" s="116"/>
    </row>
    <row r="70" spans="1:1" x14ac:dyDescent="0.25">
      <c r="A70" s="116"/>
    </row>
    <row r="71" spans="1:1" x14ac:dyDescent="0.25">
      <c r="A71" s="116"/>
    </row>
    <row r="72" spans="1:1" x14ac:dyDescent="0.25">
      <c r="A72" s="116"/>
    </row>
    <row r="73" spans="1:1" x14ac:dyDescent="0.25">
      <c r="A73" s="116"/>
    </row>
    <row r="74" spans="1:1" x14ac:dyDescent="0.25">
      <c r="A74" s="116"/>
    </row>
    <row r="75" spans="1:1" x14ac:dyDescent="0.25">
      <c r="A75" s="116"/>
    </row>
    <row r="76" spans="1:1" x14ac:dyDescent="0.25">
      <c r="A76" s="116"/>
    </row>
    <row r="77" spans="1:1" x14ac:dyDescent="0.25">
      <c r="A77" s="116"/>
    </row>
    <row r="78" spans="1:1" x14ac:dyDescent="0.25">
      <c r="A78" s="116"/>
    </row>
    <row r="79" spans="1:1" x14ac:dyDescent="0.25">
      <c r="A79" s="116"/>
    </row>
    <row r="80" spans="1:1" x14ac:dyDescent="0.25">
      <c r="A80" s="116"/>
    </row>
    <row r="81" spans="1:1" x14ac:dyDescent="0.25">
      <c r="A81" s="116"/>
    </row>
    <row r="82" spans="1:1" x14ac:dyDescent="0.25">
      <c r="A82" s="116"/>
    </row>
    <row r="83" spans="1:1" x14ac:dyDescent="0.25">
      <c r="A83" s="116"/>
    </row>
    <row r="84" spans="1:1" x14ac:dyDescent="0.25">
      <c r="A84" s="116"/>
    </row>
    <row r="85" spans="1:1" x14ac:dyDescent="0.25">
      <c r="A85" s="116"/>
    </row>
    <row r="86" spans="1:1" x14ac:dyDescent="0.25">
      <c r="A86" s="116"/>
    </row>
    <row r="87" spans="1:1" x14ac:dyDescent="0.25">
      <c r="A87" s="116"/>
    </row>
    <row r="88" spans="1:1" x14ac:dyDescent="0.25">
      <c r="A88" s="116"/>
    </row>
    <row r="89" spans="1:1" x14ac:dyDescent="0.25">
      <c r="A89" s="116"/>
    </row>
    <row r="90" spans="1:1" x14ac:dyDescent="0.25">
      <c r="A90" s="116"/>
    </row>
    <row r="91" spans="1:1" x14ac:dyDescent="0.25">
      <c r="A91" s="116"/>
    </row>
    <row r="92" spans="1:1" x14ac:dyDescent="0.25">
      <c r="A92" s="116"/>
    </row>
    <row r="93" spans="1:1" x14ac:dyDescent="0.25">
      <c r="A93" s="116"/>
    </row>
    <row r="94" spans="1:1" x14ac:dyDescent="0.25">
      <c r="A94" s="116"/>
    </row>
    <row r="95" spans="1:1" x14ac:dyDescent="0.25">
      <c r="A95" s="116"/>
    </row>
    <row r="96" spans="1:1" x14ac:dyDescent="0.25">
      <c r="A96" s="116"/>
    </row>
    <row r="97" spans="1:1" x14ac:dyDescent="0.25">
      <c r="A97" s="116"/>
    </row>
    <row r="98" spans="1:1" x14ac:dyDescent="0.25">
      <c r="A98" s="116"/>
    </row>
    <row r="99" spans="1:1" x14ac:dyDescent="0.25">
      <c r="A99" s="116"/>
    </row>
    <row r="100" spans="1:1" x14ac:dyDescent="0.25">
      <c r="A100" s="116"/>
    </row>
    <row r="101" spans="1:1" x14ac:dyDescent="0.25">
      <c r="A101" s="116"/>
    </row>
    <row r="102" spans="1:1" x14ac:dyDescent="0.25">
      <c r="A102" s="116"/>
    </row>
    <row r="103" spans="1:1" x14ac:dyDescent="0.25">
      <c r="A103" s="116"/>
    </row>
    <row r="104" spans="1:1" x14ac:dyDescent="0.25">
      <c r="A104" s="116"/>
    </row>
    <row r="105" spans="1:1" x14ac:dyDescent="0.25">
      <c r="A105" s="116"/>
    </row>
    <row r="106" spans="1:1" x14ac:dyDescent="0.25">
      <c r="A106" s="116"/>
    </row>
    <row r="107" spans="1:1" x14ac:dyDescent="0.25">
      <c r="A107" s="116"/>
    </row>
    <row r="108" spans="1:1" x14ac:dyDescent="0.25">
      <c r="A108" s="116"/>
    </row>
    <row r="109" spans="1:1" x14ac:dyDescent="0.25">
      <c r="A109" s="116"/>
    </row>
    <row r="110" spans="1:1" x14ac:dyDescent="0.25">
      <c r="A110" s="116"/>
    </row>
    <row r="111" spans="1:1" x14ac:dyDescent="0.25">
      <c r="A111" s="116"/>
    </row>
    <row r="112" spans="1:1" x14ac:dyDescent="0.25">
      <c r="A112" s="116"/>
    </row>
    <row r="113" spans="1:1" x14ac:dyDescent="0.25">
      <c r="A113" s="116"/>
    </row>
    <row r="114" spans="1:1" x14ac:dyDescent="0.25">
      <c r="A114" s="116"/>
    </row>
    <row r="115" spans="1:1" x14ac:dyDescent="0.25">
      <c r="A115" s="116"/>
    </row>
    <row r="116" spans="1:1" x14ac:dyDescent="0.25">
      <c r="A116" s="116"/>
    </row>
    <row r="117" spans="1:1" x14ac:dyDescent="0.25">
      <c r="A117" s="116"/>
    </row>
    <row r="118" spans="1:1" x14ac:dyDescent="0.25">
      <c r="A118" s="116"/>
    </row>
    <row r="119" spans="1:1" x14ac:dyDescent="0.25">
      <c r="A119" s="116"/>
    </row>
    <row r="120" spans="1:1" x14ac:dyDescent="0.25">
      <c r="A120" s="116"/>
    </row>
    <row r="121" spans="1:1" x14ac:dyDescent="0.25">
      <c r="A121" s="116"/>
    </row>
    <row r="122" spans="1:1" x14ac:dyDescent="0.25">
      <c r="A122" s="116"/>
    </row>
    <row r="123" spans="1:1" x14ac:dyDescent="0.25">
      <c r="A123" s="116"/>
    </row>
    <row r="124" spans="1:1" x14ac:dyDescent="0.25">
      <c r="A124" s="116"/>
    </row>
    <row r="125" spans="1:1" x14ac:dyDescent="0.25">
      <c r="A125" s="116"/>
    </row>
    <row r="126" spans="1:1" x14ac:dyDescent="0.25">
      <c r="A126" s="116"/>
    </row>
    <row r="127" spans="1:1" x14ac:dyDescent="0.25">
      <c r="A127" s="116"/>
    </row>
    <row r="128" spans="1:1" x14ac:dyDescent="0.25">
      <c r="A128" s="116"/>
    </row>
    <row r="129" spans="1:1" x14ac:dyDescent="0.25">
      <c r="A129" s="116"/>
    </row>
    <row r="130" spans="1:1" x14ac:dyDescent="0.25">
      <c r="A130" s="116"/>
    </row>
    <row r="131" spans="1:1" x14ac:dyDescent="0.25">
      <c r="A131" s="116"/>
    </row>
    <row r="132" spans="1:1" x14ac:dyDescent="0.25">
      <c r="A132" s="116"/>
    </row>
    <row r="133" spans="1:1" x14ac:dyDescent="0.25">
      <c r="A133" s="116"/>
    </row>
    <row r="134" spans="1:1" x14ac:dyDescent="0.25">
      <c r="A134" s="116"/>
    </row>
    <row r="135" spans="1:1" x14ac:dyDescent="0.25">
      <c r="A135" s="116"/>
    </row>
    <row r="136" spans="1:1" x14ac:dyDescent="0.25">
      <c r="A136" s="116"/>
    </row>
    <row r="137" spans="1:1" x14ac:dyDescent="0.25">
      <c r="A137" s="116"/>
    </row>
    <row r="138" spans="1:1" x14ac:dyDescent="0.25">
      <c r="A138" s="116"/>
    </row>
    <row r="139" spans="1:1" x14ac:dyDescent="0.25">
      <c r="A139" s="116"/>
    </row>
    <row r="140" spans="1:1" x14ac:dyDescent="0.25">
      <c r="A140" s="116"/>
    </row>
    <row r="141" spans="1:1" x14ac:dyDescent="0.25">
      <c r="A141" s="116"/>
    </row>
    <row r="142" spans="1:1" x14ac:dyDescent="0.25">
      <c r="A142" s="116"/>
    </row>
    <row r="143" spans="1:1" x14ac:dyDescent="0.25">
      <c r="A143" s="116"/>
    </row>
    <row r="144" spans="1:1" x14ac:dyDescent="0.25">
      <c r="A144" s="116"/>
    </row>
    <row r="145" spans="1:1" x14ac:dyDescent="0.25">
      <c r="A145" s="116"/>
    </row>
    <row r="146" spans="1:1" x14ac:dyDescent="0.25">
      <c r="A146" s="116"/>
    </row>
    <row r="147" spans="1:1" x14ac:dyDescent="0.25">
      <c r="A147" s="116"/>
    </row>
    <row r="148" spans="1:1" x14ac:dyDescent="0.25">
      <c r="A148" s="116"/>
    </row>
    <row r="149" spans="1:1" x14ac:dyDescent="0.25">
      <c r="A149" s="116"/>
    </row>
    <row r="150" spans="1:1" x14ac:dyDescent="0.25">
      <c r="A150" s="116"/>
    </row>
    <row r="151" spans="1:1" x14ac:dyDescent="0.25">
      <c r="A151" s="116"/>
    </row>
    <row r="152" spans="1:1" x14ac:dyDescent="0.25">
      <c r="A152" s="116"/>
    </row>
    <row r="153" spans="1:1" x14ac:dyDescent="0.25">
      <c r="A153" s="116"/>
    </row>
    <row r="154" spans="1:1" x14ac:dyDescent="0.25">
      <c r="A154" s="116"/>
    </row>
    <row r="155" spans="1:1" x14ac:dyDescent="0.25">
      <c r="A155" s="116"/>
    </row>
    <row r="156" spans="1:1" x14ac:dyDescent="0.25">
      <c r="A156" s="116"/>
    </row>
    <row r="157" spans="1:1" x14ac:dyDescent="0.25">
      <c r="A157" s="116"/>
    </row>
    <row r="158" spans="1:1" x14ac:dyDescent="0.25">
      <c r="A158" s="116"/>
    </row>
    <row r="159" spans="1:1" x14ac:dyDescent="0.25">
      <c r="A159" s="116"/>
    </row>
    <row r="160" spans="1:1" x14ac:dyDescent="0.25">
      <c r="A160" s="116"/>
    </row>
    <row r="161" spans="1:1" x14ac:dyDescent="0.25">
      <c r="A161" s="116"/>
    </row>
    <row r="162" spans="1:1" x14ac:dyDescent="0.25">
      <c r="A162" s="116"/>
    </row>
    <row r="163" spans="1:1" x14ac:dyDescent="0.25">
      <c r="A163" s="116"/>
    </row>
    <row r="164" spans="1:1" x14ac:dyDescent="0.25">
      <c r="A164" s="116"/>
    </row>
    <row r="165" spans="1:1" x14ac:dyDescent="0.25">
      <c r="A165" s="116"/>
    </row>
    <row r="166" spans="1:1" x14ac:dyDescent="0.25">
      <c r="A166" s="116"/>
    </row>
    <row r="167" spans="1:1" x14ac:dyDescent="0.25">
      <c r="A167" s="116"/>
    </row>
    <row r="168" spans="1:1" x14ac:dyDescent="0.25">
      <c r="A168" s="116"/>
    </row>
    <row r="169" spans="1:1" x14ac:dyDescent="0.25">
      <c r="A169" s="116"/>
    </row>
    <row r="170" spans="1:1" x14ac:dyDescent="0.25">
      <c r="A170" s="116"/>
    </row>
    <row r="171" spans="1:1" x14ac:dyDescent="0.25">
      <c r="A171" s="116"/>
    </row>
    <row r="172" spans="1:1" x14ac:dyDescent="0.25">
      <c r="A172" s="116"/>
    </row>
    <row r="173" spans="1:1" x14ac:dyDescent="0.25">
      <c r="A173" s="116"/>
    </row>
    <row r="174" spans="1:1" x14ac:dyDescent="0.25">
      <c r="A174" s="116"/>
    </row>
    <row r="175" spans="1:1" x14ac:dyDescent="0.25">
      <c r="A175" s="116"/>
    </row>
    <row r="176" spans="1:1" x14ac:dyDescent="0.25">
      <c r="A176" s="116"/>
    </row>
    <row r="177" spans="1:1" x14ac:dyDescent="0.25">
      <c r="A177" s="116"/>
    </row>
    <row r="178" spans="1:1" x14ac:dyDescent="0.25">
      <c r="A178" s="116"/>
    </row>
    <row r="179" spans="1:1" x14ac:dyDescent="0.25">
      <c r="A179" s="116"/>
    </row>
    <row r="180" spans="1:1" x14ac:dyDescent="0.25">
      <c r="A180" s="116"/>
    </row>
    <row r="181" spans="1:1" x14ac:dyDescent="0.25">
      <c r="A181" s="116"/>
    </row>
    <row r="182" spans="1:1" x14ac:dyDescent="0.25">
      <c r="A182" s="116"/>
    </row>
    <row r="183" spans="1:1" x14ac:dyDescent="0.25">
      <c r="A183" s="116"/>
    </row>
    <row r="184" spans="1:1" x14ac:dyDescent="0.25">
      <c r="A184" s="116"/>
    </row>
    <row r="185" spans="1:1" x14ac:dyDescent="0.25">
      <c r="A185" s="116"/>
    </row>
    <row r="186" spans="1:1" x14ac:dyDescent="0.25">
      <c r="A186" s="116"/>
    </row>
    <row r="187" spans="1:1" x14ac:dyDescent="0.25">
      <c r="A187" s="116"/>
    </row>
    <row r="188" spans="1:1" x14ac:dyDescent="0.25">
      <c r="A188" s="116"/>
    </row>
    <row r="189" spans="1:1" x14ac:dyDescent="0.25">
      <c r="A189" s="116"/>
    </row>
    <row r="190" spans="1:1" x14ac:dyDescent="0.25">
      <c r="A190" s="116"/>
    </row>
    <row r="191" spans="1:1" x14ac:dyDescent="0.25">
      <c r="A191" s="116"/>
    </row>
    <row r="192" spans="1:1" x14ac:dyDescent="0.25">
      <c r="A192" s="116"/>
    </row>
    <row r="193" spans="1:1" x14ac:dyDescent="0.25">
      <c r="A193" s="116"/>
    </row>
    <row r="194" spans="1:1" x14ac:dyDescent="0.25">
      <c r="A194" s="116"/>
    </row>
    <row r="195" spans="1:1" x14ac:dyDescent="0.25">
      <c r="A195" s="116"/>
    </row>
    <row r="196" spans="1:1" x14ac:dyDescent="0.25">
      <c r="A196" s="116"/>
    </row>
    <row r="197" spans="1:1" x14ac:dyDescent="0.25">
      <c r="A197" s="116"/>
    </row>
    <row r="198" spans="1:1" x14ac:dyDescent="0.25">
      <c r="A198" s="116"/>
    </row>
    <row r="199" spans="1:1" x14ac:dyDescent="0.25">
      <c r="A199" s="116"/>
    </row>
    <row r="200" spans="1:1" x14ac:dyDescent="0.25">
      <c r="A200" s="116"/>
    </row>
    <row r="201" spans="1:1" x14ac:dyDescent="0.25">
      <c r="A201" s="116"/>
    </row>
    <row r="202" spans="1:1" x14ac:dyDescent="0.25">
      <c r="A202" s="116"/>
    </row>
    <row r="203" spans="1:1" x14ac:dyDescent="0.25">
      <c r="A203" s="116"/>
    </row>
    <row r="204" spans="1:1" x14ac:dyDescent="0.25">
      <c r="A204" s="116"/>
    </row>
    <row r="205" spans="1:1" x14ac:dyDescent="0.25">
      <c r="A205" s="116"/>
    </row>
    <row r="206" spans="1:1" x14ac:dyDescent="0.25">
      <c r="A206" s="116"/>
    </row>
    <row r="207" spans="1:1" x14ac:dyDescent="0.25">
      <c r="A207" s="116"/>
    </row>
    <row r="208" spans="1:1" x14ac:dyDescent="0.25">
      <c r="A208" s="116"/>
    </row>
    <row r="209" spans="1:1" x14ac:dyDescent="0.25">
      <c r="A209" s="116"/>
    </row>
    <row r="210" spans="1:1" x14ac:dyDescent="0.25">
      <c r="A210" s="116"/>
    </row>
    <row r="211" spans="1:1" x14ac:dyDescent="0.25">
      <c r="A211" s="116"/>
    </row>
    <row r="212" spans="1:1" x14ac:dyDescent="0.25">
      <c r="A212" s="116"/>
    </row>
    <row r="213" spans="1:1" x14ac:dyDescent="0.25">
      <c r="A213" s="116"/>
    </row>
    <row r="214" spans="1:1" x14ac:dyDescent="0.25">
      <c r="A214" s="116"/>
    </row>
    <row r="215" spans="1:1" x14ac:dyDescent="0.25">
      <c r="A215" s="116"/>
    </row>
    <row r="216" spans="1:1" x14ac:dyDescent="0.25">
      <c r="A216" s="116"/>
    </row>
    <row r="217" spans="1:1" x14ac:dyDescent="0.25">
      <c r="A217" s="116"/>
    </row>
    <row r="218" spans="1:1" x14ac:dyDescent="0.25">
      <c r="A218" s="116"/>
    </row>
    <row r="219" spans="1:1" x14ac:dyDescent="0.25">
      <c r="A219" s="116"/>
    </row>
    <row r="220" spans="1:1" x14ac:dyDescent="0.25">
      <c r="A220" s="116"/>
    </row>
    <row r="221" spans="1:1" x14ac:dyDescent="0.25">
      <c r="A221" s="116"/>
    </row>
    <row r="222" spans="1:1" x14ac:dyDescent="0.25">
      <c r="A222" s="116"/>
    </row>
    <row r="223" spans="1:1" x14ac:dyDescent="0.25">
      <c r="A223" s="116"/>
    </row>
    <row r="224" spans="1:1" x14ac:dyDescent="0.25">
      <c r="A224" s="116"/>
    </row>
    <row r="225" spans="1:1" x14ac:dyDescent="0.25">
      <c r="A225" s="116"/>
    </row>
    <row r="226" spans="1:1" x14ac:dyDescent="0.25">
      <c r="A226" s="116"/>
    </row>
    <row r="227" spans="1:1" x14ac:dyDescent="0.25">
      <c r="A227" s="116"/>
    </row>
    <row r="228" spans="1:1" x14ac:dyDescent="0.25">
      <c r="A228" s="116"/>
    </row>
    <row r="229" spans="1:1" x14ac:dyDescent="0.25">
      <c r="A229" s="116"/>
    </row>
    <row r="230" spans="1:1" x14ac:dyDescent="0.25">
      <c r="A230" s="116"/>
    </row>
    <row r="231" spans="1:1" x14ac:dyDescent="0.25">
      <c r="A231" s="116"/>
    </row>
    <row r="232" spans="1:1" x14ac:dyDescent="0.25">
      <c r="A232" s="116"/>
    </row>
    <row r="233" spans="1:1" x14ac:dyDescent="0.25">
      <c r="A233" s="116"/>
    </row>
    <row r="234" spans="1:1" x14ac:dyDescent="0.25">
      <c r="A234" s="116"/>
    </row>
    <row r="235" spans="1:1" x14ac:dyDescent="0.25">
      <c r="A235" s="116"/>
    </row>
    <row r="236" spans="1:1" x14ac:dyDescent="0.25">
      <c r="A236" s="116"/>
    </row>
    <row r="237" spans="1:1" x14ac:dyDescent="0.25">
      <c r="A237" s="116"/>
    </row>
    <row r="238" spans="1:1" x14ac:dyDescent="0.25">
      <c r="A238" s="116"/>
    </row>
    <row r="239" spans="1:1" x14ac:dyDescent="0.25">
      <c r="A239" s="116"/>
    </row>
    <row r="240" spans="1:1" x14ac:dyDescent="0.25">
      <c r="A240" s="116"/>
    </row>
    <row r="241" spans="1:1" x14ac:dyDescent="0.25">
      <c r="A241" s="116"/>
    </row>
    <row r="242" spans="1:1" x14ac:dyDescent="0.25">
      <c r="A242" s="116"/>
    </row>
    <row r="243" spans="1:1" x14ac:dyDescent="0.25">
      <c r="A243" s="116"/>
    </row>
    <row r="244" spans="1:1" x14ac:dyDescent="0.25">
      <c r="A244" s="116"/>
    </row>
    <row r="245" spans="1:1" x14ac:dyDescent="0.25">
      <c r="A245" s="116"/>
    </row>
    <row r="246" spans="1:1" x14ac:dyDescent="0.25">
      <c r="A246" s="116"/>
    </row>
    <row r="247" spans="1:1" x14ac:dyDescent="0.25">
      <c r="A247" s="116"/>
    </row>
    <row r="248" spans="1:1" x14ac:dyDescent="0.25">
      <c r="A248" s="116"/>
    </row>
    <row r="249" spans="1:1" x14ac:dyDescent="0.25">
      <c r="A249" s="116"/>
    </row>
    <row r="250" spans="1:1" x14ac:dyDescent="0.25">
      <c r="A250" s="116"/>
    </row>
    <row r="251" spans="1:1" x14ac:dyDescent="0.25">
      <c r="A251" s="116"/>
    </row>
    <row r="252" spans="1:1" x14ac:dyDescent="0.25">
      <c r="A252" s="116"/>
    </row>
    <row r="253" spans="1:1" x14ac:dyDescent="0.25">
      <c r="A253" s="116"/>
    </row>
    <row r="254" spans="1:1" x14ac:dyDescent="0.25">
      <c r="A254" s="116"/>
    </row>
    <row r="255" spans="1:1" x14ac:dyDescent="0.25">
      <c r="A255" s="116"/>
    </row>
    <row r="256" spans="1:1" x14ac:dyDescent="0.25">
      <c r="A256" s="116"/>
    </row>
    <row r="257" spans="1:1" x14ac:dyDescent="0.25">
      <c r="A257" s="116"/>
    </row>
    <row r="258" spans="1:1" x14ac:dyDescent="0.25">
      <c r="A258" s="116"/>
    </row>
    <row r="259" spans="1:1" x14ac:dyDescent="0.25">
      <c r="A259" s="116"/>
    </row>
    <row r="260" spans="1:1" x14ac:dyDescent="0.25">
      <c r="A260" s="116"/>
    </row>
    <row r="261" spans="1:1" x14ac:dyDescent="0.25">
      <c r="A261" s="116"/>
    </row>
    <row r="262" spans="1:1" x14ac:dyDescent="0.25">
      <c r="A262" s="116"/>
    </row>
    <row r="263" spans="1:1" x14ac:dyDescent="0.25">
      <c r="A263" s="116"/>
    </row>
    <row r="264" spans="1:1" x14ac:dyDescent="0.25">
      <c r="A264" s="116"/>
    </row>
    <row r="265" spans="1:1" x14ac:dyDescent="0.25">
      <c r="A265" s="116"/>
    </row>
    <row r="266" spans="1:1" x14ac:dyDescent="0.25">
      <c r="A266" s="116"/>
    </row>
    <row r="267" spans="1:1" x14ac:dyDescent="0.25">
      <c r="A267" s="116"/>
    </row>
    <row r="268" spans="1:1" x14ac:dyDescent="0.25">
      <c r="A268" s="116"/>
    </row>
    <row r="269" spans="1:1" x14ac:dyDescent="0.25">
      <c r="A269" s="116"/>
    </row>
    <row r="270" spans="1:1" x14ac:dyDescent="0.25">
      <c r="A270" s="116"/>
    </row>
    <row r="271" spans="1:1" x14ac:dyDescent="0.25">
      <c r="A271" s="116"/>
    </row>
    <row r="272" spans="1:1" x14ac:dyDescent="0.25">
      <c r="A272" s="116"/>
    </row>
    <row r="273" spans="1:1" x14ac:dyDescent="0.25">
      <c r="A273" s="116"/>
    </row>
    <row r="274" spans="1:1" x14ac:dyDescent="0.25">
      <c r="A274" s="116"/>
    </row>
    <row r="275" spans="1:1" x14ac:dyDescent="0.25">
      <c r="A275" s="116"/>
    </row>
    <row r="276" spans="1:1" x14ac:dyDescent="0.25">
      <c r="A276" s="116"/>
    </row>
    <row r="277" spans="1:1" x14ac:dyDescent="0.25">
      <c r="A277" s="116"/>
    </row>
    <row r="278" spans="1:1" x14ac:dyDescent="0.25">
      <c r="A278" s="116"/>
    </row>
    <row r="279" spans="1:1" x14ac:dyDescent="0.25">
      <c r="A279" s="116"/>
    </row>
    <row r="280" spans="1:1" x14ac:dyDescent="0.25">
      <c r="A280" s="116"/>
    </row>
    <row r="281" spans="1:1" x14ac:dyDescent="0.25">
      <c r="A281" s="116"/>
    </row>
    <row r="282" spans="1:1" x14ac:dyDescent="0.25">
      <c r="A282" s="116"/>
    </row>
    <row r="283" spans="1:1" x14ac:dyDescent="0.25">
      <c r="A283" s="116"/>
    </row>
    <row r="284" spans="1:1" x14ac:dyDescent="0.25">
      <c r="A284" s="116"/>
    </row>
    <row r="285" spans="1:1" x14ac:dyDescent="0.25">
      <c r="A285" s="116"/>
    </row>
    <row r="286" spans="1:1" x14ac:dyDescent="0.25">
      <c r="A286" s="116"/>
    </row>
    <row r="287" spans="1:1" x14ac:dyDescent="0.25">
      <c r="A287" s="116"/>
    </row>
    <row r="288" spans="1:1" x14ac:dyDescent="0.25">
      <c r="A288" s="116"/>
    </row>
    <row r="289" spans="1:1" x14ac:dyDescent="0.25">
      <c r="A289" s="116"/>
    </row>
  </sheetData>
  <pageMargins left="0.70866141732283472" right="0.51181102362204722" top="0.55118110236220474" bottom="0.55118110236220474" header="0.31496062992125984" footer="0.31496062992125984"/>
  <pageSetup paperSize="9" scale="3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D4BB2-4828-4CB1-94B5-E531A507DAE9}">
  <sheetPr codeName="Sheet15"/>
  <dimension ref="A1:BZ36"/>
  <sheetViews>
    <sheetView showGridLines="0" zoomScale="70" zoomScaleNormal="70" workbookViewId="0">
      <pane xSplit="3" ySplit="6" topLeftCell="D7" activePane="bottomRight" state="frozen"/>
      <selection activeCell="K19" sqref="K19"/>
      <selection pane="topRight" activeCell="K19" sqref="K19"/>
      <selection pane="bottomLeft" activeCell="K19" sqref="K19"/>
      <selection pane="bottomRight" activeCell="L61" sqref="L61"/>
    </sheetView>
  </sheetViews>
  <sheetFormatPr defaultRowHeight="12.75" x14ac:dyDescent="0.2"/>
  <cols>
    <col min="1" max="1" width="2.125" style="235" customWidth="1"/>
    <col min="2" max="2" width="9" style="235"/>
    <col min="3" max="3" width="26.25" style="235" customWidth="1"/>
    <col min="4" max="59" width="12.125" style="236" customWidth="1"/>
    <col min="60" max="16384" width="9" style="235"/>
  </cols>
  <sheetData>
    <row r="1" spans="1:78" s="1" customFormat="1" ht="18.75" x14ac:dyDescent="0.3">
      <c r="A1" s="249" t="str">
        <f>'T3 Distribution_Depn'!A1</f>
        <v>Powercor REFCLs</v>
      </c>
      <c r="B1" s="249"/>
      <c r="C1" s="249"/>
      <c r="D1" s="249"/>
      <c r="E1" s="249"/>
      <c r="F1" s="249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250"/>
      <c r="W1" s="250"/>
      <c r="X1" s="250"/>
      <c r="Y1" s="250"/>
      <c r="Z1" s="250"/>
      <c r="AA1" s="250"/>
      <c r="AB1" s="250"/>
      <c r="AC1" s="250"/>
      <c r="AD1" s="250"/>
      <c r="AE1" s="250"/>
      <c r="AF1" s="250"/>
      <c r="AG1" s="250"/>
      <c r="AH1" s="250"/>
      <c r="AI1" s="250"/>
      <c r="AJ1" s="250"/>
      <c r="AK1" s="250"/>
      <c r="AL1" s="250"/>
      <c r="AM1" s="250"/>
      <c r="AN1" s="250"/>
      <c r="AO1" s="250"/>
      <c r="AP1" s="250"/>
      <c r="AQ1" s="250"/>
      <c r="AR1" s="250"/>
      <c r="AS1" s="250"/>
      <c r="AT1" s="250"/>
      <c r="AU1" s="250"/>
      <c r="AV1" s="250"/>
      <c r="AW1" s="250"/>
      <c r="AX1" s="250"/>
      <c r="AY1" s="250"/>
      <c r="AZ1" s="250"/>
      <c r="BA1" s="250"/>
      <c r="BB1" s="250"/>
      <c r="BC1" s="250"/>
      <c r="BD1" s="250"/>
      <c r="BE1" s="250"/>
      <c r="BF1" s="250"/>
      <c r="BG1" s="250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4"/>
      <c r="BS1" s="114"/>
      <c r="BT1" s="114"/>
      <c r="BU1" s="114"/>
      <c r="BV1" s="114"/>
      <c r="BW1" s="114"/>
      <c r="BX1" s="114"/>
      <c r="BY1" s="114"/>
      <c r="BZ1" s="114"/>
    </row>
    <row r="2" spans="1:78" s="1" customFormat="1" ht="15.75" x14ac:dyDescent="0.25">
      <c r="A2" s="252" t="s">
        <v>192</v>
      </c>
      <c r="B2" s="252"/>
      <c r="C2" s="252"/>
      <c r="D2" s="252"/>
      <c r="E2" s="252"/>
      <c r="F2" s="252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  <c r="AH2" s="253"/>
      <c r="AI2" s="253"/>
      <c r="AJ2" s="253"/>
      <c r="AK2" s="253"/>
      <c r="AL2" s="253"/>
      <c r="AM2" s="253"/>
      <c r="AN2" s="253"/>
      <c r="AO2" s="253"/>
      <c r="AP2" s="253"/>
      <c r="AQ2" s="253"/>
      <c r="AR2" s="253"/>
      <c r="AS2" s="253"/>
      <c r="AT2" s="253"/>
      <c r="AU2" s="253"/>
      <c r="AV2" s="253"/>
      <c r="AW2" s="253"/>
      <c r="AX2" s="253"/>
      <c r="AY2" s="253"/>
      <c r="AZ2" s="253"/>
      <c r="BA2" s="253"/>
      <c r="BB2" s="253"/>
      <c r="BC2" s="253"/>
      <c r="BD2" s="253"/>
      <c r="BE2" s="253"/>
      <c r="BF2" s="253"/>
      <c r="BG2" s="253"/>
      <c r="BH2" s="114"/>
      <c r="BI2" s="114"/>
      <c r="BJ2" s="114"/>
      <c r="BK2" s="114"/>
      <c r="BL2" s="114"/>
      <c r="BM2" s="114"/>
      <c r="BN2" s="114"/>
      <c r="BO2" s="114"/>
      <c r="BP2" s="114"/>
      <c r="BQ2" s="114"/>
      <c r="BR2" s="114"/>
      <c r="BS2" s="114"/>
      <c r="BT2" s="114"/>
      <c r="BU2" s="114"/>
      <c r="BV2" s="114"/>
      <c r="BW2" s="114"/>
      <c r="BX2" s="114"/>
      <c r="BY2" s="114"/>
      <c r="BZ2" s="114"/>
    </row>
    <row r="5" spans="1:78" x14ac:dyDescent="0.2">
      <c r="C5" s="256"/>
    </row>
    <row r="6" spans="1:78" x14ac:dyDescent="0.2">
      <c r="B6" s="308"/>
      <c r="C6" s="308"/>
      <c r="D6" s="309">
        <v>1956</v>
      </c>
      <c r="E6" s="309">
        <v>1963</v>
      </c>
      <c r="F6" s="309">
        <v>1966</v>
      </c>
      <c r="G6" s="309">
        <v>1968</v>
      </c>
      <c r="H6" s="309">
        <v>1970</v>
      </c>
      <c r="I6" s="309">
        <v>1971</v>
      </c>
      <c r="J6" s="309">
        <v>1972</v>
      </c>
      <c r="K6" s="309">
        <v>1973</v>
      </c>
      <c r="L6" s="309">
        <v>1974</v>
      </c>
      <c r="M6" s="309">
        <v>1975</v>
      </c>
      <c r="N6" s="309">
        <v>1976</v>
      </c>
      <c r="O6" s="309">
        <v>1977</v>
      </c>
      <c r="P6" s="309">
        <v>1978</v>
      </c>
      <c r="Q6" s="309">
        <v>1979</v>
      </c>
      <c r="R6" s="309">
        <v>1980</v>
      </c>
      <c r="S6" s="309">
        <v>1981</v>
      </c>
      <c r="T6" s="309">
        <v>1982</v>
      </c>
      <c r="U6" s="309">
        <v>1983</v>
      </c>
      <c r="V6" s="309">
        <v>1984</v>
      </c>
      <c r="W6" s="309">
        <v>1985</v>
      </c>
      <c r="X6" s="309">
        <v>1986</v>
      </c>
      <c r="Y6" s="309">
        <v>1987</v>
      </c>
      <c r="Z6" s="309">
        <v>1988</v>
      </c>
      <c r="AA6" s="309">
        <v>1989</v>
      </c>
      <c r="AB6" s="309">
        <v>1990</v>
      </c>
      <c r="AC6" s="309">
        <v>1991</v>
      </c>
      <c r="AD6" s="309">
        <v>1992</v>
      </c>
      <c r="AE6" s="309">
        <v>1993</v>
      </c>
      <c r="AF6" s="309">
        <v>1994</v>
      </c>
      <c r="AG6" s="309">
        <v>1995</v>
      </c>
      <c r="AH6" s="309">
        <v>1996</v>
      </c>
      <c r="AI6" s="309">
        <v>1997</v>
      </c>
      <c r="AJ6" s="309">
        <v>1998</v>
      </c>
      <c r="AK6" s="309">
        <v>1999</v>
      </c>
      <c r="AL6" s="309">
        <v>2000</v>
      </c>
      <c r="AM6" s="309">
        <v>2001</v>
      </c>
      <c r="AN6" s="309">
        <v>2002</v>
      </c>
      <c r="AO6" s="309">
        <v>2003</v>
      </c>
      <c r="AP6" s="309">
        <v>2004</v>
      </c>
      <c r="AQ6" s="309">
        <v>2005</v>
      </c>
      <c r="AR6" s="309">
        <v>2006</v>
      </c>
      <c r="AS6" s="309">
        <v>2007</v>
      </c>
      <c r="AT6" s="309">
        <v>2008</v>
      </c>
      <c r="AU6" s="309">
        <v>2009</v>
      </c>
      <c r="AV6" s="309">
        <v>2010</v>
      </c>
      <c r="AW6" s="309">
        <v>2011</v>
      </c>
      <c r="AX6" s="309">
        <v>2012</v>
      </c>
      <c r="AY6" s="309">
        <v>2013</v>
      </c>
      <c r="AZ6" s="309">
        <v>2014</v>
      </c>
      <c r="BA6" s="309">
        <v>2015</v>
      </c>
      <c r="BB6" s="309">
        <v>2016</v>
      </c>
      <c r="BC6" s="309">
        <v>2017</v>
      </c>
      <c r="BD6" s="309">
        <v>2018</v>
      </c>
      <c r="BE6" s="309">
        <v>2019</v>
      </c>
      <c r="BF6" s="310"/>
      <c r="BG6" s="311" t="s">
        <v>173</v>
      </c>
    </row>
    <row r="7" spans="1:78" x14ac:dyDescent="0.2">
      <c r="B7" s="245" t="s">
        <v>189</v>
      </c>
      <c r="C7" s="235" t="s">
        <v>55</v>
      </c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>
        <v>254.77187640929998</v>
      </c>
      <c r="U7" s="237"/>
      <c r="V7" s="237"/>
      <c r="W7" s="237"/>
      <c r="X7" s="237"/>
      <c r="Y7" s="237"/>
      <c r="Z7" s="237"/>
      <c r="AA7" s="237"/>
      <c r="AB7" s="237">
        <v>122.24740434900001</v>
      </c>
      <c r="AC7" s="237"/>
      <c r="AD7" s="237"/>
      <c r="AE7" s="237"/>
      <c r="AF7" s="237"/>
      <c r="AG7" s="237"/>
      <c r="AH7" s="237"/>
      <c r="AI7" s="237"/>
      <c r="AJ7" s="237">
        <v>397.05349128649999</v>
      </c>
      <c r="AK7" s="237"/>
      <c r="AL7" s="237"/>
      <c r="AM7" s="237">
        <v>57.569347690400001</v>
      </c>
      <c r="AN7" s="237"/>
      <c r="AO7" s="237">
        <v>102.485514513</v>
      </c>
      <c r="AP7" s="237">
        <v>41.059338736699999</v>
      </c>
      <c r="AQ7" s="237">
        <v>107.85222256199999</v>
      </c>
      <c r="AR7" s="237"/>
      <c r="AS7" s="237">
        <v>42.774099828399997</v>
      </c>
      <c r="AT7" s="237">
        <v>89.674357279751803</v>
      </c>
      <c r="AU7" s="237"/>
      <c r="AV7" s="237"/>
      <c r="AW7" s="237"/>
      <c r="AX7" s="237">
        <v>16.0759500144</v>
      </c>
      <c r="AY7" s="237"/>
      <c r="AZ7" s="237"/>
      <c r="BA7" s="237">
        <v>5.3265657837499996</v>
      </c>
      <c r="BB7" s="237"/>
      <c r="BC7" s="237">
        <v>138.2517164468</v>
      </c>
      <c r="BD7" s="237"/>
      <c r="BE7" s="237"/>
      <c r="BF7" s="237"/>
      <c r="BG7" s="304">
        <f t="shared" ref="BG7:BG36" si="0">SUM(D7:BE7)</f>
        <v>1375.1418849000017</v>
      </c>
    </row>
    <row r="8" spans="1:78" x14ac:dyDescent="0.2">
      <c r="B8" s="245" t="s">
        <v>189</v>
      </c>
      <c r="C8" s="235" t="s">
        <v>54</v>
      </c>
      <c r="D8" s="237"/>
      <c r="E8" s="237"/>
      <c r="F8" s="237"/>
      <c r="G8" s="237">
        <v>43.833692276599997</v>
      </c>
      <c r="H8" s="237"/>
      <c r="I8" s="237">
        <v>42.433817751200003</v>
      </c>
      <c r="J8" s="237"/>
      <c r="K8" s="237"/>
      <c r="L8" s="237"/>
      <c r="M8" s="237"/>
      <c r="N8" s="237"/>
      <c r="O8" s="237"/>
      <c r="P8" s="237">
        <v>77.824181007799993</v>
      </c>
      <c r="Q8" s="237"/>
      <c r="R8" s="237">
        <v>47.562532922199999</v>
      </c>
      <c r="S8" s="237">
        <v>281.23432995400003</v>
      </c>
      <c r="T8" s="237">
        <v>138.32986686999999</v>
      </c>
      <c r="U8" s="237">
        <v>189.468244172</v>
      </c>
      <c r="V8" s="237"/>
      <c r="W8" s="237">
        <v>31.1858776529</v>
      </c>
      <c r="X8" s="237">
        <v>130.01937229239999</v>
      </c>
      <c r="Y8" s="237"/>
      <c r="Z8" s="237">
        <v>53.732965239599999</v>
      </c>
      <c r="AA8" s="237">
        <v>296.062894454</v>
      </c>
      <c r="AB8" s="237"/>
      <c r="AC8" s="237">
        <v>526.5492520148</v>
      </c>
      <c r="AD8" s="237">
        <v>692.89485828279999</v>
      </c>
      <c r="AE8" s="237">
        <v>477.57498142439999</v>
      </c>
      <c r="AF8" s="237">
        <v>60.5036103459</v>
      </c>
      <c r="AG8" s="237">
        <v>80.364427080599995</v>
      </c>
      <c r="AH8" s="237"/>
      <c r="AI8" s="237">
        <v>2887.1760494639998</v>
      </c>
      <c r="AJ8" s="237">
        <v>5865.8244609630001</v>
      </c>
      <c r="AK8" s="237">
        <v>7528.6561248472008</v>
      </c>
      <c r="AL8" s="237">
        <v>82.288556401999998</v>
      </c>
      <c r="AM8" s="237">
        <v>1794.5196630935</v>
      </c>
      <c r="AN8" s="237"/>
      <c r="AO8" s="237">
        <v>124.02974191529999</v>
      </c>
      <c r="AP8" s="237">
        <v>3738.3655351327002</v>
      </c>
      <c r="AQ8" s="237">
        <v>932.39970854849992</v>
      </c>
      <c r="AR8" s="237">
        <v>4157.3767355839691</v>
      </c>
      <c r="AS8" s="237">
        <v>1913.7632973077</v>
      </c>
      <c r="AT8" s="237">
        <v>3.9274576095600002</v>
      </c>
      <c r="AU8" s="237">
        <v>1058.8067072106999</v>
      </c>
      <c r="AV8" s="237">
        <v>4619.391309753415</v>
      </c>
      <c r="AW8" s="237">
        <v>314.87066393110001</v>
      </c>
      <c r="AX8" s="237">
        <v>48.632793958169998</v>
      </c>
      <c r="AY8" s="237">
        <v>333.75248459401502</v>
      </c>
      <c r="AZ8" s="237">
        <v>331.64835627470001</v>
      </c>
      <c r="BA8" s="237">
        <v>2.7902460465000001</v>
      </c>
      <c r="BB8" s="237">
        <v>101.716373746</v>
      </c>
      <c r="BC8" s="237">
        <v>5213.9524020977169</v>
      </c>
      <c r="BD8" s="237">
        <v>892.66096825699992</v>
      </c>
      <c r="BE8" s="237"/>
      <c r="BF8" s="237"/>
      <c r="BG8" s="304">
        <f t="shared" si="0"/>
        <v>45116.12454047794</v>
      </c>
    </row>
    <row r="9" spans="1:78" x14ac:dyDescent="0.2">
      <c r="B9" s="245" t="s">
        <v>189</v>
      </c>
      <c r="C9" s="235" t="s">
        <v>188</v>
      </c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>
        <v>100</v>
      </c>
      <c r="AX9" s="237"/>
      <c r="AY9" s="237">
        <v>142.669650293854</v>
      </c>
      <c r="AZ9" s="237"/>
      <c r="BA9" s="237"/>
      <c r="BB9" s="237"/>
      <c r="BC9" s="237"/>
      <c r="BD9" s="237"/>
      <c r="BE9" s="237"/>
      <c r="BF9" s="237"/>
      <c r="BG9" s="304">
        <f t="shared" si="0"/>
        <v>242.669650293854</v>
      </c>
    </row>
    <row r="10" spans="1:78" x14ac:dyDescent="0.2">
      <c r="B10" s="245" t="s">
        <v>189</v>
      </c>
      <c r="C10" s="235" t="s">
        <v>53</v>
      </c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>
        <v>125.072834633</v>
      </c>
      <c r="S10" s="237"/>
      <c r="T10" s="237"/>
      <c r="U10" s="237">
        <v>151.73161948019097</v>
      </c>
      <c r="V10" s="237"/>
      <c r="W10" s="237"/>
      <c r="X10" s="237"/>
      <c r="Y10" s="237">
        <v>33.66380341</v>
      </c>
      <c r="Z10" s="237"/>
      <c r="AA10" s="237"/>
      <c r="AB10" s="237"/>
      <c r="AC10" s="237">
        <v>41.449092162500001</v>
      </c>
      <c r="AD10" s="237"/>
      <c r="AE10" s="237"/>
      <c r="AF10" s="237"/>
      <c r="AG10" s="237"/>
      <c r="AH10" s="237">
        <v>491.55754700699998</v>
      </c>
      <c r="AI10" s="237">
        <v>357.21906817499996</v>
      </c>
      <c r="AJ10" s="237">
        <v>96.094198416200001</v>
      </c>
      <c r="AK10" s="237">
        <v>507.62499344000003</v>
      </c>
      <c r="AL10" s="237">
        <v>1157.4945192390001</v>
      </c>
      <c r="AM10" s="237">
        <v>204.06874155380001</v>
      </c>
      <c r="AN10" s="237">
        <v>384.03130999539997</v>
      </c>
      <c r="AO10" s="237">
        <v>819.44541454540001</v>
      </c>
      <c r="AP10" s="237">
        <v>1708.7785962244</v>
      </c>
      <c r="AQ10" s="237">
        <v>954.95221040000001</v>
      </c>
      <c r="AR10" s="237">
        <v>1989.7520053950002</v>
      </c>
      <c r="AS10" s="237">
        <v>1208.4842061011</v>
      </c>
      <c r="AT10" s="237">
        <v>3373.2041328851838</v>
      </c>
      <c r="AU10" s="237"/>
      <c r="AV10" s="237">
        <v>908.18235253900002</v>
      </c>
      <c r="AW10" s="237">
        <v>167.0436539435</v>
      </c>
      <c r="AX10" s="237">
        <v>260.608732782</v>
      </c>
      <c r="AY10" s="237">
        <v>853.37827123403156</v>
      </c>
      <c r="AZ10" s="237">
        <v>1372.333348865817</v>
      </c>
      <c r="BA10" s="237">
        <v>428.05797737561204</v>
      </c>
      <c r="BB10" s="237">
        <v>867.76793887839995</v>
      </c>
      <c r="BC10" s="237">
        <v>2313.436243997</v>
      </c>
      <c r="BD10" s="237"/>
      <c r="BE10" s="237"/>
      <c r="BF10" s="237"/>
      <c r="BG10" s="304">
        <f t="shared" si="0"/>
        <v>20775.432812678533</v>
      </c>
    </row>
    <row r="11" spans="1:78" x14ac:dyDescent="0.2">
      <c r="B11" s="245" t="s">
        <v>189</v>
      </c>
      <c r="C11" s="235" t="s">
        <v>187</v>
      </c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  <c r="AL11" s="237"/>
      <c r="AM11" s="237"/>
      <c r="AN11" s="237"/>
      <c r="AO11" s="237"/>
      <c r="AP11" s="237"/>
      <c r="AQ11" s="237">
        <v>140.34339744879998</v>
      </c>
      <c r="AR11" s="237"/>
      <c r="AS11" s="237"/>
      <c r="AT11" s="237"/>
      <c r="AU11" s="237"/>
      <c r="AV11" s="237">
        <v>390</v>
      </c>
      <c r="AW11" s="237"/>
      <c r="AX11" s="237"/>
      <c r="AY11" s="237"/>
      <c r="AZ11" s="237"/>
      <c r="BA11" s="237"/>
      <c r="BB11" s="237"/>
      <c r="BC11" s="237"/>
      <c r="BD11" s="237"/>
      <c r="BE11" s="237"/>
      <c r="BF11" s="237"/>
      <c r="BG11" s="304">
        <f t="shared" si="0"/>
        <v>530.34339744880003</v>
      </c>
    </row>
    <row r="12" spans="1:78" x14ac:dyDescent="0.2">
      <c r="B12" s="245" t="s">
        <v>189</v>
      </c>
      <c r="C12" s="235" t="s">
        <v>50</v>
      </c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>
        <v>83.655983230000004</v>
      </c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>
        <v>70.932091639999996</v>
      </c>
      <c r="AG12" s="237"/>
      <c r="AH12" s="237">
        <v>98.67474292</v>
      </c>
      <c r="AI12" s="237">
        <v>530.05353860000002</v>
      </c>
      <c r="AJ12" s="237">
        <v>608.72938607000003</v>
      </c>
      <c r="AK12" s="237">
        <v>168.20174988000002</v>
      </c>
      <c r="AL12" s="237">
        <v>181.71138389999999</v>
      </c>
      <c r="AM12" s="237">
        <v>1923.77148257</v>
      </c>
      <c r="AN12" s="237">
        <v>309.78496858</v>
      </c>
      <c r="AO12" s="237">
        <v>1958.0664793350002</v>
      </c>
      <c r="AP12" s="237">
        <v>1821.19505944</v>
      </c>
      <c r="AQ12" s="237">
        <v>928.52874341999996</v>
      </c>
      <c r="AR12" s="237">
        <v>912.57714453999995</v>
      </c>
      <c r="AS12" s="237">
        <v>2405.3925195570005</v>
      </c>
      <c r="AT12" s="237">
        <v>3382.7708995149997</v>
      </c>
      <c r="AU12" s="237">
        <v>1586.9178289619999</v>
      </c>
      <c r="AV12" s="237">
        <v>142.47719580699999</v>
      </c>
      <c r="AW12" s="237">
        <v>1161.240516909</v>
      </c>
      <c r="AX12" s="237">
        <v>5626.2557199159983</v>
      </c>
      <c r="AY12" s="237">
        <v>3279.2891562019995</v>
      </c>
      <c r="AZ12" s="237">
        <v>2596.3736761880004</v>
      </c>
      <c r="BA12" s="237">
        <v>2478.8315366740003</v>
      </c>
      <c r="BB12" s="237">
        <v>2056.9637448200001</v>
      </c>
      <c r="BC12" s="237">
        <v>3287.4142691630004</v>
      </c>
      <c r="BD12" s="237">
        <v>1475.5110473899999</v>
      </c>
      <c r="BE12" s="237"/>
      <c r="BF12" s="237"/>
      <c r="BG12" s="304">
        <f t="shared" si="0"/>
        <v>39075.320865228001</v>
      </c>
    </row>
    <row r="13" spans="1:78" x14ac:dyDescent="0.2">
      <c r="B13" s="245" t="s">
        <v>189</v>
      </c>
      <c r="C13" s="235" t="s">
        <v>56</v>
      </c>
      <c r="D13" s="237"/>
      <c r="E13" s="237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>
        <v>385.65154015799999</v>
      </c>
      <c r="V13" s="237"/>
      <c r="W13" s="237">
        <v>1738.7669308182001</v>
      </c>
      <c r="X13" s="237"/>
      <c r="Y13" s="237">
        <v>353.15856412599999</v>
      </c>
      <c r="Z13" s="237"/>
      <c r="AA13" s="237">
        <v>33.9530831135</v>
      </c>
      <c r="AB13" s="237"/>
      <c r="AC13" s="237"/>
      <c r="AD13" s="237">
        <v>262.23912735099998</v>
      </c>
      <c r="AE13" s="237">
        <v>1576.2340378900001</v>
      </c>
      <c r="AF13" s="237">
        <v>216.4288593412</v>
      </c>
      <c r="AG13" s="237">
        <v>36.447710059800002</v>
      </c>
      <c r="AH13" s="237">
        <v>546.23742160400002</v>
      </c>
      <c r="AI13" s="237">
        <v>731.47396402800007</v>
      </c>
      <c r="AJ13" s="237">
        <v>479.89473558200001</v>
      </c>
      <c r="AK13" s="237">
        <v>1641.8824270770101</v>
      </c>
      <c r="AL13" s="237">
        <v>3284.1524748894994</v>
      </c>
      <c r="AM13" s="237">
        <v>24.517792487099999</v>
      </c>
      <c r="AN13" s="237">
        <v>2302.4660593266203</v>
      </c>
      <c r="AO13" s="237">
        <v>2058.1482830489003</v>
      </c>
      <c r="AP13" s="237">
        <v>1163.3115349980001</v>
      </c>
      <c r="AQ13" s="237">
        <v>955.19497797910003</v>
      </c>
      <c r="AR13" s="237">
        <v>589.593932817</v>
      </c>
      <c r="AS13" s="237">
        <v>681.94726728599994</v>
      </c>
      <c r="AT13" s="237">
        <v>1041.7203160601</v>
      </c>
      <c r="AU13" s="237">
        <v>1069.7219090306</v>
      </c>
      <c r="AV13" s="237">
        <v>1960.734084984</v>
      </c>
      <c r="AW13" s="237">
        <v>53.323694633750002</v>
      </c>
      <c r="AX13" s="237">
        <v>1616.9935098507403</v>
      </c>
      <c r="AY13" s="237">
        <v>1514.7901390929999</v>
      </c>
      <c r="AZ13" s="237">
        <v>488.926555823</v>
      </c>
      <c r="BA13" s="237">
        <v>1098.739236024473</v>
      </c>
      <c r="BB13" s="237">
        <v>2323.4763509058998</v>
      </c>
      <c r="BC13" s="237">
        <v>155.28327332200001</v>
      </c>
      <c r="BD13" s="237">
        <v>396.11926415099998</v>
      </c>
      <c r="BE13" s="237"/>
      <c r="BF13" s="237"/>
      <c r="BG13" s="304">
        <f t="shared" si="0"/>
        <v>30781.529057859487</v>
      </c>
    </row>
    <row r="14" spans="1:78" x14ac:dyDescent="0.2">
      <c r="B14" s="245" t="s">
        <v>189</v>
      </c>
      <c r="C14" s="235" t="s">
        <v>52</v>
      </c>
      <c r="D14" s="237"/>
      <c r="E14" s="237"/>
      <c r="F14" s="237"/>
      <c r="G14" s="237"/>
      <c r="H14" s="237"/>
      <c r="I14" s="237"/>
      <c r="J14" s="237"/>
      <c r="K14" s="237"/>
      <c r="L14" s="237"/>
      <c r="M14" s="237"/>
      <c r="N14" s="237">
        <v>259.15667598790003</v>
      </c>
      <c r="O14" s="237"/>
      <c r="P14" s="237"/>
      <c r="Q14" s="237"/>
      <c r="R14" s="237"/>
      <c r="S14" s="237"/>
      <c r="T14" s="237"/>
      <c r="U14" s="237"/>
      <c r="V14" s="237"/>
      <c r="W14" s="237"/>
      <c r="X14" s="237">
        <v>125.026111916</v>
      </c>
      <c r="Y14" s="237"/>
      <c r="Z14" s="237"/>
      <c r="AA14" s="237">
        <v>2.7727278986599999</v>
      </c>
      <c r="AB14" s="237">
        <v>102.1678086894</v>
      </c>
      <c r="AC14" s="237"/>
      <c r="AD14" s="237"/>
      <c r="AE14" s="237"/>
      <c r="AF14" s="237"/>
      <c r="AG14" s="237"/>
      <c r="AH14" s="237"/>
      <c r="AI14" s="237">
        <v>197.86634298000001</v>
      </c>
      <c r="AJ14" s="237">
        <v>391.8024433567</v>
      </c>
      <c r="AK14" s="237"/>
      <c r="AL14" s="237">
        <v>101.63850008</v>
      </c>
      <c r="AM14" s="237">
        <v>122.393764628</v>
      </c>
      <c r="AN14" s="237">
        <v>181.87366518499999</v>
      </c>
      <c r="AO14" s="237">
        <v>802.63757467799996</v>
      </c>
      <c r="AP14" s="237">
        <v>253.37026093200001</v>
      </c>
      <c r="AQ14" s="237">
        <v>201.91887028850002</v>
      </c>
      <c r="AR14" s="237">
        <v>749.42670045399996</v>
      </c>
      <c r="AS14" s="237">
        <v>36.069685742499999</v>
      </c>
      <c r="AT14" s="237">
        <v>519.66435319499999</v>
      </c>
      <c r="AU14" s="237"/>
      <c r="AV14" s="237">
        <v>11.21888055835</v>
      </c>
      <c r="AW14" s="237">
        <v>341.58256377384009</v>
      </c>
      <c r="AX14" s="237">
        <v>276.79124909299998</v>
      </c>
      <c r="AY14" s="237">
        <v>12.6572766907</v>
      </c>
      <c r="AZ14" s="237">
        <v>125.29292229128281</v>
      </c>
      <c r="BA14" s="237">
        <v>434.12797198499999</v>
      </c>
      <c r="BB14" s="237">
        <v>180.39206341041998</v>
      </c>
      <c r="BC14" s="237">
        <v>15.0987183638</v>
      </c>
      <c r="BD14" s="237"/>
      <c r="BE14" s="237"/>
      <c r="BF14" s="237"/>
      <c r="BG14" s="304">
        <f t="shared" si="0"/>
        <v>5444.9471321780529</v>
      </c>
    </row>
    <row r="15" spans="1:78" x14ac:dyDescent="0.2">
      <c r="B15" s="245" t="s">
        <v>189</v>
      </c>
      <c r="C15" s="235" t="s">
        <v>51</v>
      </c>
      <c r="D15" s="237"/>
      <c r="E15" s="237"/>
      <c r="F15" s="237"/>
      <c r="G15" s="237"/>
      <c r="H15" s="237"/>
      <c r="I15" s="237"/>
      <c r="J15" s="23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>
        <v>58.432223631900001</v>
      </c>
      <c r="AD15" s="237"/>
      <c r="AE15" s="237"/>
      <c r="AF15" s="237"/>
      <c r="AG15" s="237"/>
      <c r="AH15" s="237"/>
      <c r="AI15" s="237"/>
      <c r="AJ15" s="237">
        <v>206.380293311</v>
      </c>
      <c r="AK15" s="237"/>
      <c r="AL15" s="237">
        <v>247.98779953219997</v>
      </c>
      <c r="AM15" s="237"/>
      <c r="AN15" s="237">
        <v>314.47084137399997</v>
      </c>
      <c r="AO15" s="237">
        <v>571.24568613609995</v>
      </c>
      <c r="AP15" s="237">
        <v>170.27187552699999</v>
      </c>
      <c r="AQ15" s="237">
        <v>191.18138345099999</v>
      </c>
      <c r="AR15" s="237">
        <v>756.12073587400005</v>
      </c>
      <c r="AS15" s="237">
        <v>1397.783213533</v>
      </c>
      <c r="AT15" s="237">
        <v>581.11349817400003</v>
      </c>
      <c r="AU15" s="237">
        <v>1168.310272984</v>
      </c>
      <c r="AV15" s="237">
        <v>186.13371200700001</v>
      </c>
      <c r="AW15" s="237">
        <v>1096.834251174</v>
      </c>
      <c r="AX15" s="237">
        <v>589.21900818500001</v>
      </c>
      <c r="AY15" s="237"/>
      <c r="AZ15" s="237">
        <v>1686.783739151</v>
      </c>
      <c r="BA15" s="237">
        <v>22628.58324568321</v>
      </c>
      <c r="BB15" s="237">
        <v>1023.353206051</v>
      </c>
      <c r="BC15" s="237">
        <v>940.28939694919995</v>
      </c>
      <c r="BD15" s="237">
        <v>14.8605792404</v>
      </c>
      <c r="BE15" s="237"/>
      <c r="BF15" s="237"/>
      <c r="BG15" s="304">
        <f t="shared" si="0"/>
        <v>33829.354961969009</v>
      </c>
    </row>
    <row r="16" spans="1:78" x14ac:dyDescent="0.2">
      <c r="B16" s="245" t="s">
        <v>189</v>
      </c>
      <c r="C16" s="235" t="s">
        <v>57</v>
      </c>
      <c r="D16" s="237"/>
      <c r="E16" s="237"/>
      <c r="F16" s="237">
        <v>217.68691515099999</v>
      </c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>
        <v>57.1694568789</v>
      </c>
      <c r="R16" s="237"/>
      <c r="S16" s="237"/>
      <c r="T16" s="237"/>
      <c r="U16" s="237"/>
      <c r="V16" s="237"/>
      <c r="W16" s="237"/>
      <c r="X16" s="237">
        <v>132.23150741500001</v>
      </c>
      <c r="Y16" s="237"/>
      <c r="Z16" s="237">
        <v>248.920275264</v>
      </c>
      <c r="AA16" s="237">
        <v>210.86244722180001</v>
      </c>
      <c r="AB16" s="237">
        <v>50.324938639000003</v>
      </c>
      <c r="AC16" s="237">
        <v>295.133843329</v>
      </c>
      <c r="AD16" s="237">
        <v>375.88475689810002</v>
      </c>
      <c r="AE16" s="237"/>
      <c r="AF16" s="237">
        <v>705.51070788300001</v>
      </c>
      <c r="AG16" s="237">
        <v>803.08717295199995</v>
      </c>
      <c r="AH16" s="237">
        <v>240.50956434299999</v>
      </c>
      <c r="AI16" s="237"/>
      <c r="AJ16" s="237"/>
      <c r="AK16" s="237">
        <v>5015.8281444899994</v>
      </c>
      <c r="AL16" s="237">
        <v>2415.0379691297603</v>
      </c>
      <c r="AM16" s="237">
        <v>5835.4262428875982</v>
      </c>
      <c r="AN16" s="237"/>
      <c r="AO16" s="237">
        <v>1469.1455166888002</v>
      </c>
      <c r="AP16" s="237">
        <v>1630.1858413729001</v>
      </c>
      <c r="AQ16" s="237">
        <v>2258.9320270759999</v>
      </c>
      <c r="AR16" s="237">
        <v>1626.823522034</v>
      </c>
      <c r="AS16" s="237">
        <v>309.68490765600001</v>
      </c>
      <c r="AT16" s="237">
        <v>527.65747883173992</v>
      </c>
      <c r="AU16" s="237">
        <v>40.430265286700006</v>
      </c>
      <c r="AV16" s="237"/>
      <c r="AW16" s="237">
        <v>87.611407184699999</v>
      </c>
      <c r="AX16" s="237">
        <v>1168.2488951765431</v>
      </c>
      <c r="AY16" s="237">
        <v>399.66166322399999</v>
      </c>
      <c r="AZ16" s="237">
        <v>515.73093915899994</v>
      </c>
      <c r="BA16" s="237">
        <v>2798.7766470840002</v>
      </c>
      <c r="BB16" s="237">
        <v>786.85932150227006</v>
      </c>
      <c r="BC16" s="237">
        <v>9949.9851875529002</v>
      </c>
      <c r="BD16" s="237">
        <v>1912.5744895473499</v>
      </c>
      <c r="BE16" s="237"/>
      <c r="BF16" s="237"/>
      <c r="BG16" s="304">
        <f t="shared" si="0"/>
        <v>42085.922051859059</v>
      </c>
    </row>
    <row r="17" spans="2:59" x14ac:dyDescent="0.2">
      <c r="B17" s="260" t="s">
        <v>186</v>
      </c>
      <c r="C17" s="260" t="s">
        <v>41</v>
      </c>
      <c r="D17" s="261"/>
      <c r="E17" s="261"/>
      <c r="F17" s="261"/>
      <c r="G17" s="261"/>
      <c r="H17" s="261"/>
      <c r="I17" s="261"/>
      <c r="J17" s="261"/>
      <c r="K17" s="261"/>
      <c r="L17" s="261"/>
      <c r="M17" s="261"/>
      <c r="N17" s="261"/>
      <c r="O17" s="261"/>
      <c r="P17" s="261"/>
      <c r="Q17" s="261"/>
      <c r="R17" s="261"/>
      <c r="S17" s="261"/>
      <c r="T17" s="261"/>
      <c r="U17" s="261">
        <v>125.741182575</v>
      </c>
      <c r="V17" s="261"/>
      <c r="W17" s="261"/>
      <c r="X17" s="261">
        <v>512.495265303</v>
      </c>
      <c r="Y17" s="261">
        <v>129.69688158700001</v>
      </c>
      <c r="Z17" s="261">
        <v>326.98067619100004</v>
      </c>
      <c r="AA17" s="261"/>
      <c r="AB17" s="261"/>
      <c r="AC17" s="261">
        <v>162.83904887530002</v>
      </c>
      <c r="AD17" s="261"/>
      <c r="AE17" s="261"/>
      <c r="AF17" s="261">
        <v>177.03445045300001</v>
      </c>
      <c r="AG17" s="261">
        <v>207.12241307100001</v>
      </c>
      <c r="AH17" s="261"/>
      <c r="AI17" s="261">
        <v>562.01026018049993</v>
      </c>
      <c r="AJ17" s="261"/>
      <c r="AK17" s="261">
        <v>808.15144445199996</v>
      </c>
      <c r="AL17" s="261"/>
      <c r="AM17" s="261"/>
      <c r="AN17" s="261"/>
      <c r="AO17" s="261"/>
      <c r="AP17" s="261">
        <v>52.571857913300001</v>
      </c>
      <c r="AQ17" s="261"/>
      <c r="AR17" s="261">
        <v>338.75580328720002</v>
      </c>
      <c r="AS17" s="261">
        <v>188.95139941599999</v>
      </c>
      <c r="AT17" s="261">
        <v>285.94636699199998</v>
      </c>
      <c r="AU17" s="261">
        <v>96.361792112399996</v>
      </c>
      <c r="AV17" s="261"/>
      <c r="AW17" s="261">
        <v>242.05201755032999</v>
      </c>
      <c r="AX17" s="261"/>
      <c r="AY17" s="261">
        <v>219.62011524947999</v>
      </c>
      <c r="AZ17" s="261"/>
      <c r="BA17" s="261">
        <v>460.15974677009001</v>
      </c>
      <c r="BB17" s="261">
        <v>206.76884070529997</v>
      </c>
      <c r="BC17" s="261">
        <v>21.611183376303998</v>
      </c>
      <c r="BD17" s="261">
        <v>335.216915099</v>
      </c>
      <c r="BE17" s="261"/>
      <c r="BF17" s="261"/>
      <c r="BG17" s="305">
        <f t="shared" si="0"/>
        <v>5460.0876611592048</v>
      </c>
    </row>
    <row r="18" spans="2:59" x14ac:dyDescent="0.2">
      <c r="B18" s="245" t="s">
        <v>186</v>
      </c>
      <c r="C18" s="235" t="s">
        <v>185</v>
      </c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>
        <v>10</v>
      </c>
      <c r="BD18" s="237"/>
      <c r="BE18" s="237"/>
      <c r="BF18" s="237"/>
      <c r="BG18" s="304">
        <f t="shared" si="0"/>
        <v>10</v>
      </c>
    </row>
    <row r="19" spans="2:59" x14ac:dyDescent="0.2">
      <c r="B19" s="245" t="s">
        <v>186</v>
      </c>
      <c r="C19" s="235" t="s">
        <v>48</v>
      </c>
      <c r="D19" s="237"/>
      <c r="E19" s="237"/>
      <c r="F19" s="237"/>
      <c r="G19" s="237"/>
      <c r="H19" s="237"/>
      <c r="I19" s="237"/>
      <c r="J19" s="237"/>
      <c r="K19" s="237">
        <v>59.522262576000003</v>
      </c>
      <c r="L19" s="237">
        <v>88.790308371900011</v>
      </c>
      <c r="M19" s="237"/>
      <c r="N19" s="237"/>
      <c r="O19" s="237"/>
      <c r="P19" s="237">
        <v>404.31210480100003</v>
      </c>
      <c r="Q19" s="237">
        <v>95.664859699499999</v>
      </c>
      <c r="R19" s="237">
        <v>137.8606291891</v>
      </c>
      <c r="S19" s="237">
        <v>77.892031837100006</v>
      </c>
      <c r="T19" s="237">
        <v>415.59769873520003</v>
      </c>
      <c r="U19" s="237">
        <v>67.341232667</v>
      </c>
      <c r="V19" s="237">
        <v>313.73478663519995</v>
      </c>
      <c r="W19" s="237">
        <v>104.241152</v>
      </c>
      <c r="X19" s="237"/>
      <c r="Y19" s="237">
        <v>1410.7376251247999</v>
      </c>
      <c r="Z19" s="237">
        <v>3703.5265628289999</v>
      </c>
      <c r="AA19" s="237"/>
      <c r="AB19" s="237">
        <v>768.24500780669996</v>
      </c>
      <c r="AC19" s="237">
        <v>960.47617296299995</v>
      </c>
      <c r="AD19" s="237">
        <v>1189.6447627707</v>
      </c>
      <c r="AE19" s="237">
        <v>2246.5624533954997</v>
      </c>
      <c r="AF19" s="237">
        <v>3411.4472659515995</v>
      </c>
      <c r="AG19" s="237">
        <v>1285.1550166467</v>
      </c>
      <c r="AH19" s="237">
        <v>1006.2584218009</v>
      </c>
      <c r="AI19" s="237">
        <v>934.08140651790006</v>
      </c>
      <c r="AJ19" s="237">
        <v>1591.7272667213999</v>
      </c>
      <c r="AK19" s="237">
        <v>4337.4031426700003</v>
      </c>
      <c r="AL19" s="237">
        <v>1755.3546600228699</v>
      </c>
      <c r="AM19" s="237">
        <v>7740.3830131963005</v>
      </c>
      <c r="AN19" s="237">
        <v>3061.7261224233002</v>
      </c>
      <c r="AO19" s="237">
        <v>1299.7031646669</v>
      </c>
      <c r="AP19" s="237">
        <v>1869.4473800575702</v>
      </c>
      <c r="AQ19" s="237">
        <v>2135.0863173025996</v>
      </c>
      <c r="AR19" s="237">
        <v>5027.0151082829989</v>
      </c>
      <c r="AS19" s="237">
        <v>3407.3769725838997</v>
      </c>
      <c r="AT19" s="237">
        <v>3667.4059847306503</v>
      </c>
      <c r="AU19" s="237">
        <v>1680.5023963746</v>
      </c>
      <c r="AV19" s="237">
        <v>1714.8433994488</v>
      </c>
      <c r="AW19" s="237">
        <v>1475.9804798443449</v>
      </c>
      <c r="AX19" s="237">
        <v>880.99066023830778</v>
      </c>
      <c r="AY19" s="237">
        <v>3114.4861754008116</v>
      </c>
      <c r="AZ19" s="237">
        <v>666.36723840710818</v>
      </c>
      <c r="BA19" s="237">
        <v>1612.3968600538199</v>
      </c>
      <c r="BB19" s="237">
        <v>3562.5096598290406</v>
      </c>
      <c r="BC19" s="237">
        <v>1306.6297848883901</v>
      </c>
      <c r="BD19" s="237">
        <v>1164.3095466454999</v>
      </c>
      <c r="BE19" s="237">
        <v>709.2373027054</v>
      </c>
      <c r="BF19" s="237"/>
      <c r="BG19" s="304">
        <f t="shared" si="0"/>
        <v>72461.974398813385</v>
      </c>
    </row>
    <row r="20" spans="2:59" x14ac:dyDescent="0.2">
      <c r="B20" s="245" t="s">
        <v>186</v>
      </c>
      <c r="C20" s="235" t="s">
        <v>184</v>
      </c>
      <c r="D20" s="237"/>
      <c r="E20" s="237"/>
      <c r="F20" s="237"/>
      <c r="G20" s="237"/>
      <c r="H20" s="237"/>
      <c r="I20" s="237">
        <v>196.838175143</v>
      </c>
      <c r="J20" s="237"/>
      <c r="K20" s="237"/>
      <c r="L20" s="237"/>
      <c r="M20" s="237"/>
      <c r="N20" s="237"/>
      <c r="O20" s="237"/>
      <c r="P20" s="237"/>
      <c r="Q20" s="237"/>
      <c r="R20" s="237">
        <v>76</v>
      </c>
      <c r="S20" s="237">
        <v>2087.6636542000001</v>
      </c>
      <c r="T20" s="237"/>
      <c r="U20" s="237"/>
      <c r="V20" s="237"/>
      <c r="W20" s="237"/>
      <c r="X20" s="237"/>
      <c r="Y20" s="237"/>
      <c r="Z20" s="237">
        <v>360</v>
      </c>
      <c r="AA20" s="237"/>
      <c r="AB20" s="237"/>
      <c r="AC20" s="237"/>
      <c r="AD20" s="237"/>
      <c r="AE20" s="237">
        <v>215.437630756</v>
      </c>
      <c r="AF20" s="237"/>
      <c r="AG20" s="237"/>
      <c r="AH20" s="237"/>
      <c r="AI20" s="237">
        <v>565.24224652769999</v>
      </c>
      <c r="AJ20" s="237"/>
      <c r="AK20" s="237"/>
      <c r="AL20" s="237"/>
      <c r="AM20" s="237"/>
      <c r="AN20" s="237"/>
      <c r="AO20" s="237"/>
      <c r="AP20" s="237"/>
      <c r="AQ20" s="237"/>
      <c r="AR20" s="237">
        <v>53.460299445100006</v>
      </c>
      <c r="AS20" s="237"/>
      <c r="AT20" s="237">
        <v>1.4618031795099999</v>
      </c>
      <c r="AU20" s="237"/>
      <c r="AV20" s="237"/>
      <c r="AW20" s="237"/>
      <c r="AX20" s="237"/>
      <c r="AY20" s="237">
        <v>4.7692805537099998</v>
      </c>
      <c r="AZ20" s="237"/>
      <c r="BA20" s="237"/>
      <c r="BB20" s="237"/>
      <c r="BC20" s="237"/>
      <c r="BD20" s="237"/>
      <c r="BE20" s="237"/>
      <c r="BF20" s="237"/>
      <c r="BG20" s="304">
        <f t="shared" si="0"/>
        <v>3560.8730898050203</v>
      </c>
    </row>
    <row r="21" spans="2:59" x14ac:dyDescent="0.2">
      <c r="B21" s="245" t="s">
        <v>186</v>
      </c>
      <c r="C21" s="235" t="s">
        <v>47</v>
      </c>
      <c r="D21" s="237">
        <v>246</v>
      </c>
      <c r="E21" s="237"/>
      <c r="F21" s="237"/>
      <c r="G21" s="237">
        <v>19</v>
      </c>
      <c r="H21" s="237"/>
      <c r="I21" s="237">
        <v>193</v>
      </c>
      <c r="J21" s="237">
        <v>602</v>
      </c>
      <c r="K21" s="237"/>
      <c r="L21" s="237">
        <v>48</v>
      </c>
      <c r="M21" s="237">
        <v>125</v>
      </c>
      <c r="N21" s="237"/>
      <c r="O21" s="237"/>
      <c r="P21" s="237">
        <v>324</v>
      </c>
      <c r="Q21" s="237">
        <v>537</v>
      </c>
      <c r="R21" s="237">
        <v>409</v>
      </c>
      <c r="S21" s="237">
        <v>66</v>
      </c>
      <c r="T21" s="237">
        <v>92</v>
      </c>
      <c r="U21" s="237">
        <v>210</v>
      </c>
      <c r="V21" s="237"/>
      <c r="W21" s="237">
        <v>235</v>
      </c>
      <c r="X21" s="237">
        <v>25</v>
      </c>
      <c r="Y21" s="237">
        <v>242</v>
      </c>
      <c r="Z21" s="237">
        <v>971</v>
      </c>
      <c r="AA21" s="237">
        <v>229</v>
      </c>
      <c r="AB21" s="237"/>
      <c r="AC21" s="237">
        <v>963</v>
      </c>
      <c r="AD21" s="237">
        <v>397</v>
      </c>
      <c r="AE21" s="237">
        <v>434</v>
      </c>
      <c r="AF21" s="237">
        <v>74</v>
      </c>
      <c r="AG21" s="237">
        <v>1291</v>
      </c>
      <c r="AH21" s="237">
        <v>698</v>
      </c>
      <c r="AI21" s="237">
        <v>833</v>
      </c>
      <c r="AJ21" s="237">
        <v>1759</v>
      </c>
      <c r="AK21" s="237">
        <v>1430</v>
      </c>
      <c r="AL21" s="237">
        <v>145</v>
      </c>
      <c r="AM21" s="237">
        <v>699</v>
      </c>
      <c r="AN21" s="237">
        <v>393</v>
      </c>
      <c r="AO21" s="237">
        <v>3005</v>
      </c>
      <c r="AP21" s="237">
        <v>2955</v>
      </c>
      <c r="AQ21" s="237">
        <v>4008</v>
      </c>
      <c r="AR21" s="237">
        <v>4389</v>
      </c>
      <c r="AS21" s="237">
        <v>3095</v>
      </c>
      <c r="AT21" s="237">
        <v>5251</v>
      </c>
      <c r="AU21" s="237">
        <v>3291</v>
      </c>
      <c r="AV21" s="237">
        <v>2359</v>
      </c>
      <c r="AW21" s="237">
        <v>2995</v>
      </c>
      <c r="AX21" s="237">
        <v>3660</v>
      </c>
      <c r="AY21" s="237">
        <v>4834</v>
      </c>
      <c r="AZ21" s="237">
        <v>3568</v>
      </c>
      <c r="BA21" s="237">
        <v>4564</v>
      </c>
      <c r="BB21" s="237">
        <v>1855</v>
      </c>
      <c r="BC21" s="237">
        <v>6857.4497000000001</v>
      </c>
      <c r="BD21" s="237">
        <v>1235</v>
      </c>
      <c r="BE21" s="237">
        <v>51.05</v>
      </c>
      <c r="BF21" s="237"/>
      <c r="BG21" s="304">
        <f t="shared" si="0"/>
        <v>71661.4997</v>
      </c>
    </row>
    <row r="22" spans="2:59" x14ac:dyDescent="0.2">
      <c r="B22" s="245" t="s">
        <v>186</v>
      </c>
      <c r="C22" s="235" t="s">
        <v>183</v>
      </c>
      <c r="D22" s="237"/>
      <c r="E22" s="237"/>
      <c r="F22" s="237"/>
      <c r="G22" s="237"/>
      <c r="H22" s="237"/>
      <c r="I22" s="237"/>
      <c r="J22" s="237"/>
      <c r="K22" s="237"/>
      <c r="L22" s="237"/>
      <c r="M22" s="237"/>
      <c r="N22" s="237"/>
      <c r="O22" s="237"/>
      <c r="P22" s="237"/>
      <c r="Q22" s="237"/>
      <c r="R22" s="237">
        <v>60</v>
      </c>
      <c r="S22" s="237"/>
      <c r="T22" s="237"/>
      <c r="U22" s="237"/>
      <c r="V22" s="237"/>
      <c r="W22" s="237"/>
      <c r="X22" s="237"/>
      <c r="Y22" s="237"/>
      <c r="Z22" s="237"/>
      <c r="AA22" s="237"/>
      <c r="AB22" s="237">
        <v>227</v>
      </c>
      <c r="AC22" s="237"/>
      <c r="AD22" s="237"/>
      <c r="AE22" s="237"/>
      <c r="AF22" s="237"/>
      <c r="AG22" s="237"/>
      <c r="AH22" s="237"/>
      <c r="AI22" s="237"/>
      <c r="AJ22" s="237"/>
      <c r="AK22" s="237"/>
      <c r="AL22" s="237"/>
      <c r="AM22" s="237"/>
      <c r="AN22" s="237"/>
      <c r="AO22" s="237"/>
      <c r="AP22" s="237"/>
      <c r="AQ22" s="237"/>
      <c r="AR22" s="237">
        <v>262</v>
      </c>
      <c r="AS22" s="237"/>
      <c r="AT22" s="237">
        <v>6</v>
      </c>
      <c r="AU22" s="237">
        <v>108</v>
      </c>
      <c r="AV22" s="237"/>
      <c r="AW22" s="237"/>
      <c r="AX22" s="237"/>
      <c r="AY22" s="237"/>
      <c r="AZ22" s="237"/>
      <c r="BA22" s="237">
        <v>194</v>
      </c>
      <c r="BB22" s="237"/>
      <c r="BC22" s="237"/>
      <c r="BD22" s="237"/>
      <c r="BE22" s="237"/>
      <c r="BF22" s="237"/>
      <c r="BG22" s="304">
        <f t="shared" si="0"/>
        <v>857</v>
      </c>
    </row>
    <row r="23" spans="2:59" x14ac:dyDescent="0.2">
      <c r="B23" s="245" t="s">
        <v>186</v>
      </c>
      <c r="C23" s="235" t="s">
        <v>46</v>
      </c>
      <c r="D23" s="237"/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>
        <v>222.1722776</v>
      </c>
      <c r="V23" s="237"/>
      <c r="W23" s="237">
        <v>102.4704284</v>
      </c>
      <c r="X23" s="237"/>
      <c r="Y23" s="237">
        <v>401.57561770000001</v>
      </c>
      <c r="Z23" s="237"/>
      <c r="AA23" s="237">
        <v>69.497321499999998</v>
      </c>
      <c r="AB23" s="237">
        <v>436.28161420000004</v>
      </c>
      <c r="AC23" s="237"/>
      <c r="AD23" s="237"/>
      <c r="AE23" s="237">
        <v>93.712144170000002</v>
      </c>
      <c r="AF23" s="237"/>
      <c r="AG23" s="237"/>
      <c r="AH23" s="237">
        <v>332.53080469999998</v>
      </c>
      <c r="AI23" s="237">
        <v>160.5114106</v>
      </c>
      <c r="AJ23" s="237">
        <v>539.75661049999997</v>
      </c>
      <c r="AK23" s="237">
        <v>1287.4958404399999</v>
      </c>
      <c r="AL23" s="237">
        <v>1080.0999025000001</v>
      </c>
      <c r="AM23" s="237">
        <v>1095.4042065890003</v>
      </c>
      <c r="AN23" s="237">
        <v>1275.8885937499999</v>
      </c>
      <c r="AO23" s="237">
        <v>2608.6924882499998</v>
      </c>
      <c r="AP23" s="237">
        <v>1630.9929016600001</v>
      </c>
      <c r="AQ23" s="237">
        <v>904.99993197000003</v>
      </c>
      <c r="AR23" s="237">
        <v>1810.9463367999999</v>
      </c>
      <c r="AS23" s="237">
        <v>1707.4153213399998</v>
      </c>
      <c r="AT23" s="237">
        <v>1563.754941249</v>
      </c>
      <c r="AU23" s="237">
        <v>1444.3376235599999</v>
      </c>
      <c r="AV23" s="237">
        <v>1735.3176297329999</v>
      </c>
      <c r="AW23" s="237">
        <v>691.96285466799998</v>
      </c>
      <c r="AX23" s="237">
        <v>236.18656706000002</v>
      </c>
      <c r="AY23" s="237">
        <v>810.69336074599994</v>
      </c>
      <c r="AZ23" s="237">
        <v>1936.767282817</v>
      </c>
      <c r="BA23" s="237">
        <v>619.42201540000008</v>
      </c>
      <c r="BB23" s="237">
        <v>240.26779303799998</v>
      </c>
      <c r="BC23" s="237">
        <v>1409.4450889140001</v>
      </c>
      <c r="BD23" s="237">
        <v>801.70237280000003</v>
      </c>
      <c r="BE23" s="237"/>
      <c r="BF23" s="237"/>
      <c r="BG23" s="304">
        <f t="shared" si="0"/>
        <v>27250.301282653996</v>
      </c>
    </row>
    <row r="24" spans="2:59" x14ac:dyDescent="0.2">
      <c r="B24" s="245" t="s">
        <v>186</v>
      </c>
      <c r="C24" s="235" t="s">
        <v>45</v>
      </c>
      <c r="D24" s="237"/>
      <c r="E24" s="237"/>
      <c r="F24" s="237"/>
      <c r="G24" s="237"/>
      <c r="H24" s="237"/>
      <c r="I24" s="237"/>
      <c r="J24" s="237"/>
      <c r="K24" s="237"/>
      <c r="L24" s="237"/>
      <c r="M24" s="237"/>
      <c r="N24" s="237"/>
      <c r="O24" s="237"/>
      <c r="P24" s="237"/>
      <c r="Q24" s="237">
        <v>206</v>
      </c>
      <c r="R24" s="237"/>
      <c r="S24" s="237">
        <v>351</v>
      </c>
      <c r="T24" s="237"/>
      <c r="U24" s="237"/>
      <c r="V24" s="237">
        <v>116</v>
      </c>
      <c r="W24" s="237">
        <v>141</v>
      </c>
      <c r="X24" s="237">
        <v>212</v>
      </c>
      <c r="Y24" s="237">
        <v>1560</v>
      </c>
      <c r="Z24" s="237"/>
      <c r="AA24" s="237">
        <v>91</v>
      </c>
      <c r="AB24" s="237">
        <v>427</v>
      </c>
      <c r="AC24" s="237"/>
      <c r="AD24" s="237">
        <v>507</v>
      </c>
      <c r="AE24" s="237">
        <v>581</v>
      </c>
      <c r="AF24" s="237">
        <v>551</v>
      </c>
      <c r="AG24" s="237">
        <v>3</v>
      </c>
      <c r="AH24" s="237">
        <v>104</v>
      </c>
      <c r="AI24" s="237">
        <v>453</v>
      </c>
      <c r="AJ24" s="237">
        <v>1941</v>
      </c>
      <c r="AK24" s="237">
        <v>1187</v>
      </c>
      <c r="AL24" s="237">
        <v>731</v>
      </c>
      <c r="AM24" s="237">
        <v>1885</v>
      </c>
      <c r="AN24" s="237">
        <v>2332</v>
      </c>
      <c r="AO24" s="237">
        <v>3131</v>
      </c>
      <c r="AP24" s="237">
        <v>2979</v>
      </c>
      <c r="AQ24" s="237">
        <v>2606</v>
      </c>
      <c r="AR24" s="237">
        <v>1153</v>
      </c>
      <c r="AS24" s="237">
        <v>2844</v>
      </c>
      <c r="AT24" s="237">
        <v>1941</v>
      </c>
      <c r="AU24" s="237">
        <v>2135</v>
      </c>
      <c r="AV24" s="237">
        <v>804</v>
      </c>
      <c r="AW24" s="237">
        <v>593</v>
      </c>
      <c r="AX24" s="237">
        <v>1461</v>
      </c>
      <c r="AY24" s="237"/>
      <c r="AZ24" s="237">
        <v>1490</v>
      </c>
      <c r="BA24" s="237">
        <v>1344</v>
      </c>
      <c r="BB24" s="237">
        <v>448</v>
      </c>
      <c r="BC24" s="237">
        <v>1233</v>
      </c>
      <c r="BD24" s="237">
        <v>737</v>
      </c>
      <c r="BE24" s="237"/>
      <c r="BF24" s="237"/>
      <c r="BG24" s="304">
        <f t="shared" si="0"/>
        <v>38278</v>
      </c>
    </row>
    <row r="25" spans="2:59" x14ac:dyDescent="0.2">
      <c r="B25" s="245" t="s">
        <v>186</v>
      </c>
      <c r="C25" s="235" t="s">
        <v>182</v>
      </c>
      <c r="D25" s="237"/>
      <c r="E25" s="237"/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>
        <v>754</v>
      </c>
      <c r="AL25" s="237"/>
      <c r="AM25" s="237">
        <v>86</v>
      </c>
      <c r="AN25" s="237"/>
      <c r="AO25" s="237">
        <v>635</v>
      </c>
      <c r="AP25" s="237"/>
      <c r="AQ25" s="237"/>
      <c r="AR25" s="237">
        <v>599</v>
      </c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>
        <v>70</v>
      </c>
      <c r="BD25" s="237"/>
      <c r="BE25" s="237"/>
      <c r="BF25" s="237"/>
      <c r="BG25" s="304">
        <f t="shared" si="0"/>
        <v>2144</v>
      </c>
    </row>
    <row r="26" spans="2:59" x14ac:dyDescent="0.2">
      <c r="B26" s="245" t="s">
        <v>186</v>
      </c>
      <c r="C26" s="235" t="s">
        <v>44</v>
      </c>
      <c r="D26" s="237"/>
      <c r="E26" s="237"/>
      <c r="F26" s="237"/>
      <c r="G26" s="237"/>
      <c r="H26" s="237"/>
      <c r="I26" s="237"/>
      <c r="J26" s="23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>
        <v>260.42280410299998</v>
      </c>
      <c r="AE26" s="237"/>
      <c r="AF26" s="237">
        <v>88.746785518099998</v>
      </c>
      <c r="AG26" s="237"/>
      <c r="AH26" s="237">
        <v>207.88970201800001</v>
      </c>
      <c r="AI26" s="237">
        <v>893.33980633700003</v>
      </c>
      <c r="AJ26" s="237">
        <v>459.429281344</v>
      </c>
      <c r="AK26" s="237"/>
      <c r="AL26" s="237">
        <v>78.247088333999997</v>
      </c>
      <c r="AM26" s="237">
        <v>1743.4446674129999</v>
      </c>
      <c r="AN26" s="237"/>
      <c r="AO26" s="237">
        <v>56.552286386200002</v>
      </c>
      <c r="AP26" s="237"/>
      <c r="AQ26" s="237">
        <v>104.663751187</v>
      </c>
      <c r="AR26" s="237"/>
      <c r="AS26" s="237"/>
      <c r="AT26" s="237"/>
      <c r="AU26" s="237">
        <v>239.35555689200001</v>
      </c>
      <c r="AV26" s="237"/>
      <c r="AW26" s="237"/>
      <c r="AX26" s="237">
        <v>37.006307311956597</v>
      </c>
      <c r="AY26" s="237">
        <v>465.677022384</v>
      </c>
      <c r="AZ26" s="237"/>
      <c r="BA26" s="237">
        <v>44.3633006787</v>
      </c>
      <c r="BB26" s="237">
        <v>234.08214709078001</v>
      </c>
      <c r="BC26" s="237">
        <v>117.026146587</v>
      </c>
      <c r="BD26" s="237"/>
      <c r="BE26" s="237"/>
      <c r="BF26" s="237"/>
      <c r="BG26" s="304">
        <f t="shared" si="0"/>
        <v>5030.246653584737</v>
      </c>
    </row>
    <row r="27" spans="2:59" x14ac:dyDescent="0.2">
      <c r="B27" s="245" t="s">
        <v>186</v>
      </c>
      <c r="C27" s="235" t="s">
        <v>181</v>
      </c>
      <c r="D27" s="237"/>
      <c r="E27" s="237"/>
      <c r="F27" s="237"/>
      <c r="G27" s="237"/>
      <c r="H27" s="237"/>
      <c r="I27" s="237"/>
      <c r="J27" s="23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37">
        <v>93.121614927500005</v>
      </c>
      <c r="AD27" s="237"/>
      <c r="AE27" s="237">
        <v>10</v>
      </c>
      <c r="AF27" s="237"/>
      <c r="AG27" s="237"/>
      <c r="AH27" s="237"/>
      <c r="AI27" s="237"/>
      <c r="AJ27" s="237"/>
      <c r="AK27" s="237"/>
      <c r="AL27" s="237"/>
      <c r="AM27" s="237"/>
      <c r="AN27" s="237"/>
      <c r="AO27" s="237"/>
      <c r="AP27" s="237"/>
      <c r="AQ27" s="237"/>
      <c r="AR27" s="237"/>
      <c r="AS27" s="237"/>
      <c r="AT27" s="237"/>
      <c r="AU27" s="237"/>
      <c r="AV27" s="237"/>
      <c r="AW27" s="237"/>
      <c r="AX27" s="237"/>
      <c r="AY27" s="237"/>
      <c r="AZ27" s="237"/>
      <c r="BA27" s="237"/>
      <c r="BB27" s="237">
        <v>128</v>
      </c>
      <c r="BC27" s="237"/>
      <c r="BD27" s="237"/>
      <c r="BE27" s="237"/>
      <c r="BF27" s="237"/>
      <c r="BG27" s="304">
        <f t="shared" si="0"/>
        <v>231.12161492749999</v>
      </c>
    </row>
    <row r="28" spans="2:59" x14ac:dyDescent="0.2">
      <c r="B28" s="245" t="s">
        <v>186</v>
      </c>
      <c r="C28" s="235" t="s">
        <v>35</v>
      </c>
      <c r="D28" s="237"/>
      <c r="E28" s="237"/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7">
        <v>99.199197683199998</v>
      </c>
      <c r="U28" s="237"/>
      <c r="V28" s="237"/>
      <c r="W28" s="237"/>
      <c r="X28" s="237"/>
      <c r="Y28" s="237"/>
      <c r="Z28" s="237"/>
      <c r="AA28" s="237"/>
      <c r="AB28" s="237"/>
      <c r="AC28" s="237"/>
      <c r="AD28" s="237"/>
      <c r="AE28" s="237"/>
      <c r="AF28" s="237"/>
      <c r="AG28" s="237"/>
      <c r="AH28" s="237"/>
      <c r="AI28" s="237">
        <v>489.60342053490001</v>
      </c>
      <c r="AJ28" s="237">
        <v>157.642008011</v>
      </c>
      <c r="AK28" s="237">
        <v>40.128572589999997</v>
      </c>
      <c r="AL28" s="237"/>
      <c r="AM28" s="237"/>
      <c r="AN28" s="237"/>
      <c r="AO28" s="237">
        <v>659.18193422029992</v>
      </c>
      <c r="AP28" s="237">
        <v>290.73490866999998</v>
      </c>
      <c r="AQ28" s="237">
        <v>289.3108911699</v>
      </c>
      <c r="AR28" s="237">
        <v>115.76879787049</v>
      </c>
      <c r="AS28" s="237"/>
      <c r="AT28" s="237">
        <v>379.65319822000004</v>
      </c>
      <c r="AU28" s="237"/>
      <c r="AV28" s="237">
        <v>1933.0347372910001</v>
      </c>
      <c r="AW28" s="237">
        <v>468.47727217829998</v>
      </c>
      <c r="AX28" s="237"/>
      <c r="AY28" s="237"/>
      <c r="AZ28" s="237"/>
      <c r="BA28" s="237"/>
      <c r="BB28" s="237"/>
      <c r="BC28" s="237"/>
      <c r="BD28" s="237"/>
      <c r="BE28" s="237"/>
      <c r="BF28" s="237"/>
      <c r="BG28" s="304">
        <f t="shared" si="0"/>
        <v>4922.73493843909</v>
      </c>
    </row>
    <row r="29" spans="2:59" x14ac:dyDescent="0.2">
      <c r="B29" s="260" t="s">
        <v>180</v>
      </c>
      <c r="C29" s="260" t="s">
        <v>40</v>
      </c>
      <c r="D29" s="261"/>
      <c r="E29" s="261"/>
      <c r="F29" s="261"/>
      <c r="G29" s="261"/>
      <c r="H29" s="261">
        <v>0.56648565736500001</v>
      </c>
      <c r="I29" s="261"/>
      <c r="J29" s="261"/>
      <c r="K29" s="261"/>
      <c r="L29" s="261">
        <v>448.52041303980997</v>
      </c>
      <c r="M29" s="261">
        <v>282.289513118</v>
      </c>
      <c r="N29" s="261">
        <v>224.0679973124</v>
      </c>
      <c r="O29" s="261">
        <v>77.463304395700007</v>
      </c>
      <c r="P29" s="261">
        <v>77.120339413000011</v>
      </c>
      <c r="Q29" s="261">
        <v>430.85414020799999</v>
      </c>
      <c r="R29" s="261">
        <v>90.709344391100004</v>
      </c>
      <c r="S29" s="261"/>
      <c r="T29" s="261"/>
      <c r="U29" s="261"/>
      <c r="V29" s="261">
        <v>100.03642477299999</v>
      </c>
      <c r="W29" s="261"/>
      <c r="X29" s="261">
        <v>21.657584547199999</v>
      </c>
      <c r="Y29" s="261"/>
      <c r="Z29" s="261">
        <v>250.88036187099999</v>
      </c>
      <c r="AA29" s="261">
        <v>42.461359808200001</v>
      </c>
      <c r="AB29" s="261">
        <v>531.86031285750005</v>
      </c>
      <c r="AC29" s="261">
        <v>62.376109403100003</v>
      </c>
      <c r="AD29" s="261">
        <v>145.65524972</v>
      </c>
      <c r="AE29" s="261">
        <v>298.64038838639999</v>
      </c>
      <c r="AF29" s="261">
        <v>452.16539283519995</v>
      </c>
      <c r="AG29" s="261">
        <v>382.34505075589999</v>
      </c>
      <c r="AH29" s="261">
        <v>337.30876274100001</v>
      </c>
      <c r="AI29" s="261">
        <v>664.18807612640001</v>
      </c>
      <c r="AJ29" s="261">
        <v>585.35917942500009</v>
      </c>
      <c r="AK29" s="261">
        <v>1094.0935159998849</v>
      </c>
      <c r="AL29" s="261">
        <v>107.2786721798</v>
      </c>
      <c r="AM29" s="261">
        <v>1763.8227505502998</v>
      </c>
      <c r="AN29" s="261">
        <v>1058.3108982157</v>
      </c>
      <c r="AO29" s="261">
        <v>990.67438826809996</v>
      </c>
      <c r="AP29" s="261">
        <v>1474.8811924369002</v>
      </c>
      <c r="AQ29" s="261">
        <v>1419.5214032430999</v>
      </c>
      <c r="AR29" s="261">
        <v>1022.2603541584798</v>
      </c>
      <c r="AS29" s="261">
        <v>1675.2768091797402</v>
      </c>
      <c r="AT29" s="261">
        <v>676.89527657544988</v>
      </c>
      <c r="AU29" s="261">
        <v>382.45695147559996</v>
      </c>
      <c r="AV29" s="261">
        <v>822.67468973001996</v>
      </c>
      <c r="AW29" s="261">
        <v>321.66388478527597</v>
      </c>
      <c r="AX29" s="261">
        <v>1064.8235227947</v>
      </c>
      <c r="AY29" s="261">
        <v>1526.3509649403802</v>
      </c>
      <c r="AZ29" s="261">
        <v>636.68988620636378</v>
      </c>
      <c r="BA29" s="261">
        <v>865.41593162496997</v>
      </c>
      <c r="BB29" s="261">
        <v>1275.4624518869289</v>
      </c>
      <c r="BC29" s="261">
        <v>1500.4311727804702</v>
      </c>
      <c r="BD29" s="261">
        <v>248.4756625655256</v>
      </c>
      <c r="BE29" s="261"/>
      <c r="BF29" s="261"/>
      <c r="BG29" s="305">
        <f t="shared" si="0"/>
        <v>25433.98617038297</v>
      </c>
    </row>
    <row r="30" spans="2:59" x14ac:dyDescent="0.2">
      <c r="B30" s="245" t="s">
        <v>180</v>
      </c>
      <c r="C30" s="235" t="s">
        <v>43</v>
      </c>
      <c r="D30" s="237"/>
      <c r="E30" s="237">
        <v>86.007173730000005</v>
      </c>
      <c r="F30" s="237"/>
      <c r="G30" s="237"/>
      <c r="H30" s="237"/>
      <c r="I30" s="237">
        <v>58.006877179999996</v>
      </c>
      <c r="J30" s="237"/>
      <c r="K30" s="237"/>
      <c r="L30" s="237"/>
      <c r="M30" s="237"/>
      <c r="N30" s="237">
        <v>46.989341009999997</v>
      </c>
      <c r="O30" s="237">
        <v>291.44493268000002</v>
      </c>
      <c r="P30" s="237">
        <v>59.530715360000002</v>
      </c>
      <c r="Q30" s="237">
        <v>175.98336190000001</v>
      </c>
      <c r="R30" s="237"/>
      <c r="S30" s="237">
        <v>294.61984869999998</v>
      </c>
      <c r="T30" s="237">
        <v>139.17407009999999</v>
      </c>
      <c r="U30" s="237">
        <v>237.60601070000001</v>
      </c>
      <c r="V30" s="237"/>
      <c r="W30" s="237">
        <v>1518.9042071690001</v>
      </c>
      <c r="X30" s="237">
        <v>603.34366402000001</v>
      </c>
      <c r="Y30" s="237">
        <v>363.74893370000001</v>
      </c>
      <c r="Z30" s="237"/>
      <c r="AA30" s="237">
        <v>100.38889933</v>
      </c>
      <c r="AB30" s="237">
        <v>339.79826420000001</v>
      </c>
      <c r="AC30" s="237">
        <v>1105.972444</v>
      </c>
      <c r="AD30" s="237">
        <v>102.0448555</v>
      </c>
      <c r="AE30" s="237">
        <v>415.89033999799994</v>
      </c>
      <c r="AF30" s="237">
        <v>165.61454078</v>
      </c>
      <c r="AG30" s="237">
        <v>1125.39031189</v>
      </c>
      <c r="AH30" s="237">
        <v>1429.1031698699999</v>
      </c>
      <c r="AI30" s="237">
        <v>1677.8891018000002</v>
      </c>
      <c r="AJ30" s="237">
        <v>1789.681261299</v>
      </c>
      <c r="AK30" s="237">
        <v>2131.07494967</v>
      </c>
      <c r="AL30" s="237">
        <v>727.54700084800004</v>
      </c>
      <c r="AM30" s="237">
        <v>2700.7456355140002</v>
      </c>
      <c r="AN30" s="237">
        <v>1625.8268236000001</v>
      </c>
      <c r="AO30" s="237">
        <v>691.53135362700004</v>
      </c>
      <c r="AP30" s="237">
        <v>2163.6922451740002</v>
      </c>
      <c r="AQ30" s="237">
        <v>1473.6379887599996</v>
      </c>
      <c r="AR30" s="237">
        <v>835.98961886999996</v>
      </c>
      <c r="AS30" s="237">
        <v>1800.4678374409998</v>
      </c>
      <c r="AT30" s="237">
        <v>2426.8033841760002</v>
      </c>
      <c r="AU30" s="237">
        <v>562.67165524000006</v>
      </c>
      <c r="AV30" s="237">
        <v>2933.618594866</v>
      </c>
      <c r="AW30" s="237">
        <v>3774.7824797700005</v>
      </c>
      <c r="AX30" s="237">
        <v>2230.0694723219999</v>
      </c>
      <c r="AY30" s="237">
        <v>1902.4297456099998</v>
      </c>
      <c r="AZ30" s="237">
        <v>808.03340740999988</v>
      </c>
      <c r="BA30" s="237">
        <v>1082.54105781</v>
      </c>
      <c r="BB30" s="237">
        <v>2392.2119796960001</v>
      </c>
      <c r="BC30" s="237">
        <v>4210.8827294830007</v>
      </c>
      <c r="BD30" s="237">
        <v>2329.3130996319996</v>
      </c>
      <c r="BE30" s="237"/>
      <c r="BF30" s="237"/>
      <c r="BG30" s="304">
        <f t="shared" si="0"/>
        <v>50931.003384434996</v>
      </c>
    </row>
    <row r="31" spans="2:59" x14ac:dyDescent="0.2">
      <c r="B31" s="245" t="s">
        <v>180</v>
      </c>
      <c r="C31" s="235" t="s">
        <v>39</v>
      </c>
      <c r="D31" s="237"/>
      <c r="E31" s="237"/>
      <c r="F31" s="237"/>
      <c r="G31" s="237"/>
      <c r="H31" s="237"/>
      <c r="I31" s="237"/>
      <c r="J31" s="237"/>
      <c r="K31" s="237"/>
      <c r="L31" s="237"/>
      <c r="M31" s="237"/>
      <c r="N31" s="237">
        <v>274.97931064400001</v>
      </c>
      <c r="O31" s="237"/>
      <c r="P31" s="237"/>
      <c r="Q31" s="237"/>
      <c r="R31" s="237"/>
      <c r="S31" s="237"/>
      <c r="T31" s="237"/>
      <c r="U31" s="237">
        <v>201.20505403549998</v>
      </c>
      <c r="V31" s="237"/>
      <c r="W31" s="237"/>
      <c r="X31" s="237"/>
      <c r="Y31" s="237"/>
      <c r="Z31" s="237"/>
      <c r="AA31" s="237">
        <v>198.65839953790001</v>
      </c>
      <c r="AB31" s="237">
        <v>188.834387424</v>
      </c>
      <c r="AC31" s="237">
        <v>229.65166156050003</v>
      </c>
      <c r="AD31" s="237">
        <v>126.82122658199999</v>
      </c>
      <c r="AE31" s="237"/>
      <c r="AF31" s="237">
        <v>950.32685438480007</v>
      </c>
      <c r="AG31" s="237"/>
      <c r="AH31" s="237">
        <v>67.154074061599999</v>
      </c>
      <c r="AI31" s="237">
        <v>282.612705264</v>
      </c>
      <c r="AJ31" s="237">
        <v>19.518952687100001</v>
      </c>
      <c r="AK31" s="237">
        <v>718.79291014360001</v>
      </c>
      <c r="AL31" s="237">
        <v>1851.7569497263999</v>
      </c>
      <c r="AM31" s="237">
        <v>334.10501892320002</v>
      </c>
      <c r="AN31" s="237"/>
      <c r="AO31" s="237"/>
      <c r="AP31" s="237">
        <v>347.38994970018996</v>
      </c>
      <c r="AQ31" s="237">
        <v>255.192502284</v>
      </c>
      <c r="AR31" s="237"/>
      <c r="AS31" s="237">
        <v>619.13792768400003</v>
      </c>
      <c r="AT31" s="237">
        <v>471.28016409420002</v>
      </c>
      <c r="AU31" s="237">
        <v>1203.6306471098299</v>
      </c>
      <c r="AV31" s="237">
        <v>12.455318598120002</v>
      </c>
      <c r="AW31" s="237">
        <v>258.00533362207801</v>
      </c>
      <c r="AX31" s="237"/>
      <c r="AY31" s="237">
        <v>111.7303053607</v>
      </c>
      <c r="AZ31" s="237"/>
      <c r="BA31" s="237">
        <v>392.94213595790001</v>
      </c>
      <c r="BB31" s="237">
        <v>186.13585475320002</v>
      </c>
      <c r="BC31" s="237"/>
      <c r="BD31" s="237"/>
      <c r="BE31" s="237"/>
      <c r="BF31" s="237"/>
      <c r="BG31" s="304">
        <f t="shared" si="0"/>
        <v>9302.317644138815</v>
      </c>
    </row>
    <row r="32" spans="2:59" x14ac:dyDescent="0.2">
      <c r="B32" s="245" t="s">
        <v>180</v>
      </c>
      <c r="C32" s="235" t="s">
        <v>38</v>
      </c>
      <c r="D32" s="237"/>
      <c r="E32" s="237"/>
      <c r="F32" s="237"/>
      <c r="G32" s="237"/>
      <c r="H32" s="237">
        <v>1.38693363409</v>
      </c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>
        <v>394.76729729160002</v>
      </c>
      <c r="U32" s="237"/>
      <c r="V32" s="237"/>
      <c r="W32" s="237"/>
      <c r="X32" s="237"/>
      <c r="Y32" s="237">
        <v>62.694937029899997</v>
      </c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>
        <v>437.27203161339997</v>
      </c>
      <c r="AK32" s="237">
        <v>58.199664683199998</v>
      </c>
      <c r="AL32" s="237">
        <v>288.250255471</v>
      </c>
      <c r="AM32" s="237">
        <v>507.73291368059995</v>
      </c>
      <c r="AN32" s="237">
        <v>226.89897627100001</v>
      </c>
      <c r="AO32" s="237">
        <v>453.07820108300001</v>
      </c>
      <c r="AP32" s="237">
        <v>382.16385717580005</v>
      </c>
      <c r="AQ32" s="237">
        <v>375.98449912000001</v>
      </c>
      <c r="AR32" s="237">
        <v>617.57918919046995</v>
      </c>
      <c r="AS32" s="237">
        <v>158.20811245900001</v>
      </c>
      <c r="AT32" s="237">
        <v>299.09880416709996</v>
      </c>
      <c r="AU32" s="237">
        <v>1172.6027327510001</v>
      </c>
      <c r="AV32" s="237">
        <v>572.16892317400004</v>
      </c>
      <c r="AW32" s="237">
        <v>2146.6928116326999</v>
      </c>
      <c r="AX32" s="237">
        <v>540.48877233379994</v>
      </c>
      <c r="AY32" s="237">
        <v>1469.80572201718</v>
      </c>
      <c r="AZ32" s="237">
        <v>93.056974555191005</v>
      </c>
      <c r="BA32" s="237">
        <v>459.40074838100003</v>
      </c>
      <c r="BB32" s="237"/>
      <c r="BC32" s="237">
        <v>535.50140364100002</v>
      </c>
      <c r="BD32" s="237">
        <v>478.23954414026997</v>
      </c>
      <c r="BE32" s="237"/>
      <c r="BF32" s="237"/>
      <c r="BG32" s="304">
        <f t="shared" si="0"/>
        <v>11731.273305496301</v>
      </c>
    </row>
    <row r="33" spans="1:59" x14ac:dyDescent="0.2">
      <c r="B33" s="245" t="s">
        <v>180</v>
      </c>
      <c r="C33" s="235" t="s">
        <v>37</v>
      </c>
      <c r="D33" s="237"/>
      <c r="E33" s="237"/>
      <c r="F33" s="237"/>
      <c r="G33" s="237"/>
      <c r="H33" s="237"/>
      <c r="I33" s="237">
        <v>82.045602572199996</v>
      </c>
      <c r="J33" s="237"/>
      <c r="K33" s="237"/>
      <c r="L33" s="237"/>
      <c r="M33" s="237"/>
      <c r="N33" s="237">
        <v>21.056925242199998</v>
      </c>
      <c r="O33" s="237"/>
      <c r="P33" s="237">
        <v>242.83033323999999</v>
      </c>
      <c r="Q33" s="237">
        <v>1447.316654449</v>
      </c>
      <c r="R33" s="237">
        <v>106.228860733</v>
      </c>
      <c r="S33" s="237">
        <v>636.80619815399996</v>
      </c>
      <c r="T33" s="237">
        <v>356.70525851440004</v>
      </c>
      <c r="U33" s="237">
        <v>152.46655259779999</v>
      </c>
      <c r="V33" s="237"/>
      <c r="W33" s="237">
        <v>1094.3503971721002</v>
      </c>
      <c r="X33" s="237">
        <v>1317.6614359580001</v>
      </c>
      <c r="Y33" s="237">
        <v>698.97091686700003</v>
      </c>
      <c r="Z33" s="237">
        <v>1498.091780581</v>
      </c>
      <c r="AA33" s="237">
        <v>717.23449692899999</v>
      </c>
      <c r="AB33" s="237">
        <v>321.13077260479997</v>
      </c>
      <c r="AC33" s="237">
        <v>853.40258231000007</v>
      </c>
      <c r="AD33" s="237">
        <v>558.41703392519992</v>
      </c>
      <c r="AE33" s="237">
        <v>409.66140465199999</v>
      </c>
      <c r="AF33" s="237">
        <v>1763.856893572</v>
      </c>
      <c r="AG33" s="237">
        <v>66.416962631199993</v>
      </c>
      <c r="AH33" s="237">
        <v>3010.3106305003998</v>
      </c>
      <c r="AI33" s="237">
        <v>930.30936813109997</v>
      </c>
      <c r="AJ33" s="237">
        <v>257.54037172199997</v>
      </c>
      <c r="AK33" s="237">
        <v>688.06666818807798</v>
      </c>
      <c r="AL33" s="237">
        <v>3029.795525348</v>
      </c>
      <c r="AM33" s="237">
        <v>1022.132210345</v>
      </c>
      <c r="AN33" s="237">
        <v>1057.6289833646999</v>
      </c>
      <c r="AO33" s="237">
        <v>1336.8794747635</v>
      </c>
      <c r="AP33" s="237">
        <v>2237.0175507106997</v>
      </c>
      <c r="AQ33" s="237">
        <v>2128.7973271743999</v>
      </c>
      <c r="AR33" s="237">
        <v>769.97258502490001</v>
      </c>
      <c r="AS33" s="237">
        <v>1920.6459637921</v>
      </c>
      <c r="AT33" s="237">
        <v>2191.1782963421001</v>
      </c>
      <c r="AU33" s="237">
        <v>518.81578968849999</v>
      </c>
      <c r="AV33" s="237">
        <v>1385.5950140145001</v>
      </c>
      <c r="AW33" s="237">
        <v>495.25454670783267</v>
      </c>
      <c r="AX33" s="237">
        <v>397.63997598669999</v>
      </c>
      <c r="AY33" s="237">
        <v>2883.6415085227</v>
      </c>
      <c r="AZ33" s="237">
        <v>272.82461717553247</v>
      </c>
      <c r="BA33" s="237">
        <v>1880.8028963700197</v>
      </c>
      <c r="BB33" s="237">
        <v>1854.0870287578073</v>
      </c>
      <c r="BC33" s="237">
        <v>604.41478413559196</v>
      </c>
      <c r="BD33" s="237">
        <v>279.11896077680001</v>
      </c>
      <c r="BE33" s="237"/>
      <c r="BF33" s="237"/>
      <c r="BG33" s="304">
        <f t="shared" si="0"/>
        <v>43497.121140247866</v>
      </c>
    </row>
    <row r="34" spans="1:59" x14ac:dyDescent="0.2">
      <c r="B34" s="245" t="s">
        <v>180</v>
      </c>
      <c r="C34" s="235" t="s">
        <v>36</v>
      </c>
      <c r="D34" s="237"/>
      <c r="E34" s="237"/>
      <c r="F34" s="237"/>
      <c r="G34" s="237"/>
      <c r="H34" s="237"/>
      <c r="I34" s="237"/>
      <c r="J34" s="23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>
        <v>115.862011112</v>
      </c>
      <c r="AC34" s="237"/>
      <c r="AD34" s="237"/>
      <c r="AE34" s="237"/>
      <c r="AF34" s="237"/>
      <c r="AG34" s="237"/>
      <c r="AH34" s="237"/>
      <c r="AI34" s="237"/>
      <c r="AJ34" s="237"/>
      <c r="AK34" s="237"/>
      <c r="AL34" s="237"/>
      <c r="AM34" s="237"/>
      <c r="AN34" s="237"/>
      <c r="AO34" s="237"/>
      <c r="AP34" s="237">
        <v>600.30767140199998</v>
      </c>
      <c r="AQ34" s="237">
        <v>32.6696038089</v>
      </c>
      <c r="AR34" s="237"/>
      <c r="AS34" s="237"/>
      <c r="AT34" s="237">
        <v>62.319015936500001</v>
      </c>
      <c r="AU34" s="237">
        <v>80.286830349900001</v>
      </c>
      <c r="AV34" s="237">
        <v>5.3082039335399998</v>
      </c>
      <c r="AW34" s="237">
        <v>146.36340973</v>
      </c>
      <c r="AX34" s="237"/>
      <c r="AY34" s="237">
        <v>203.41015035877751</v>
      </c>
      <c r="AZ34" s="237"/>
      <c r="BA34" s="237"/>
      <c r="BB34" s="237"/>
      <c r="BC34" s="237">
        <v>662.34737893719989</v>
      </c>
      <c r="BD34" s="237">
        <v>144.81166356700001</v>
      </c>
      <c r="BE34" s="237"/>
      <c r="BF34" s="237"/>
      <c r="BG34" s="304">
        <f t="shared" si="0"/>
        <v>2053.6859391358175</v>
      </c>
    </row>
    <row r="35" spans="1:59" x14ac:dyDescent="0.2">
      <c r="B35" s="245" t="s">
        <v>180</v>
      </c>
      <c r="C35" s="235" t="s">
        <v>33</v>
      </c>
      <c r="D35" s="237"/>
      <c r="E35" s="237"/>
      <c r="F35" s="237"/>
      <c r="G35" s="237"/>
      <c r="H35" s="237">
        <v>58.987315044940004</v>
      </c>
      <c r="I35" s="237"/>
      <c r="J35" s="237"/>
      <c r="K35" s="237"/>
      <c r="L35" s="237">
        <v>77.879521374800007</v>
      </c>
      <c r="M35" s="237">
        <v>197.53206446799999</v>
      </c>
      <c r="N35" s="237">
        <v>441.96748971269994</v>
      </c>
      <c r="O35" s="237">
        <v>239.06466677100002</v>
      </c>
      <c r="P35" s="237"/>
      <c r="Q35" s="237">
        <v>832.38367619299993</v>
      </c>
      <c r="R35" s="237">
        <v>994.91877103220008</v>
      </c>
      <c r="S35" s="237"/>
      <c r="T35" s="237">
        <v>115.96828521499999</v>
      </c>
      <c r="U35" s="237">
        <v>122.05277582759999</v>
      </c>
      <c r="V35" s="237">
        <v>214.866863293645</v>
      </c>
      <c r="W35" s="237"/>
      <c r="X35" s="237">
        <v>240.39530016610001</v>
      </c>
      <c r="Y35" s="237">
        <v>923.32242285899997</v>
      </c>
      <c r="Z35" s="237">
        <v>864.21059384135015</v>
      </c>
      <c r="AA35" s="237">
        <v>336.72810031400002</v>
      </c>
      <c r="AB35" s="237">
        <v>2666.9600010167997</v>
      </c>
      <c r="AC35" s="237">
        <v>2867.1885562902003</v>
      </c>
      <c r="AD35" s="237">
        <v>449.89038753599999</v>
      </c>
      <c r="AE35" s="237">
        <v>1978.7541827312</v>
      </c>
      <c r="AF35" s="237">
        <v>2298.9996124328181</v>
      </c>
      <c r="AG35" s="237">
        <v>1524.57466997085</v>
      </c>
      <c r="AH35" s="237">
        <v>797.49568290699995</v>
      </c>
      <c r="AI35" s="237">
        <v>1062.3232937437999</v>
      </c>
      <c r="AJ35" s="237">
        <v>4270.9348079643996</v>
      </c>
      <c r="AK35" s="237">
        <v>2135.0059266629996</v>
      </c>
      <c r="AL35" s="237">
        <v>2862.5155239862565</v>
      </c>
      <c r="AM35" s="237">
        <v>3191.5831655559</v>
      </c>
      <c r="AN35" s="237">
        <v>6214.8160778394995</v>
      </c>
      <c r="AO35" s="237">
        <v>7269.5290465882708</v>
      </c>
      <c r="AP35" s="237">
        <v>2184.1579960939998</v>
      </c>
      <c r="AQ35" s="237">
        <v>6641.8298172203004</v>
      </c>
      <c r="AR35" s="237">
        <v>5009.3248712214699</v>
      </c>
      <c r="AS35" s="237">
        <v>4241.8742785901495</v>
      </c>
      <c r="AT35" s="237">
        <v>6078.2429720694863</v>
      </c>
      <c r="AU35" s="237">
        <v>8904.8262486907097</v>
      </c>
      <c r="AV35" s="237">
        <v>4724.1850067446012</v>
      </c>
      <c r="AW35" s="237">
        <v>2293.4709350399903</v>
      </c>
      <c r="AX35" s="237">
        <v>3439.4382839828531</v>
      </c>
      <c r="AY35" s="237">
        <v>8753.9640461549843</v>
      </c>
      <c r="AZ35" s="237">
        <v>6491.8598245070698</v>
      </c>
      <c r="BA35" s="237">
        <v>6517.8107006784494</v>
      </c>
      <c r="BB35" s="237">
        <v>10437.844891531518</v>
      </c>
      <c r="BC35" s="237">
        <v>8990.1488066912207</v>
      </c>
      <c r="BD35" s="237">
        <v>9975.9177680839548</v>
      </c>
      <c r="BE35" s="237"/>
      <c r="BF35" s="237"/>
      <c r="BG35" s="304">
        <f t="shared" si="0"/>
        <v>139935.74522864009</v>
      </c>
    </row>
    <row r="36" spans="1:59" x14ac:dyDescent="0.2">
      <c r="A36" s="239"/>
      <c r="B36" s="239"/>
      <c r="C36" s="307" t="s">
        <v>173</v>
      </c>
      <c r="D36" s="306">
        <v>246</v>
      </c>
      <c r="E36" s="306">
        <v>86.007173730000005</v>
      </c>
      <c r="F36" s="306">
        <v>217.68691515099999</v>
      </c>
      <c r="G36" s="306">
        <v>62.833692276599997</v>
      </c>
      <c r="H36" s="306">
        <v>60.940734336395003</v>
      </c>
      <c r="I36" s="306">
        <v>572.32447264640007</v>
      </c>
      <c r="J36" s="306">
        <v>602</v>
      </c>
      <c r="K36" s="306">
        <v>59.522262576000003</v>
      </c>
      <c r="L36" s="306">
        <v>663.19024278651</v>
      </c>
      <c r="M36" s="306">
        <v>604.82157758599999</v>
      </c>
      <c r="N36" s="306">
        <v>1268.2177399092002</v>
      </c>
      <c r="O36" s="306">
        <v>607.97290384670009</v>
      </c>
      <c r="P36" s="306">
        <v>1269.2736570518</v>
      </c>
      <c r="Q36" s="306">
        <v>3782.3721493284002</v>
      </c>
      <c r="R36" s="306">
        <v>2047.3529729006</v>
      </c>
      <c r="S36" s="306">
        <v>3795.2160628451002</v>
      </c>
      <c r="T36" s="306">
        <v>2006.5135508187</v>
      </c>
      <c r="U36" s="306">
        <v>2065.4364898130912</v>
      </c>
      <c r="V36" s="306">
        <v>744.63807470184497</v>
      </c>
      <c r="W36" s="306">
        <v>4965.9189932122008</v>
      </c>
      <c r="X36" s="306">
        <v>3319.8302416177003</v>
      </c>
      <c r="Y36" s="306">
        <v>6179.569702403699</v>
      </c>
      <c r="Z36" s="306">
        <v>8277.3432158169489</v>
      </c>
      <c r="AA36" s="306">
        <v>2328.6197301070601</v>
      </c>
      <c r="AB36" s="306">
        <v>6297.712522899199</v>
      </c>
      <c r="AC36" s="306">
        <v>8219.5926014678007</v>
      </c>
      <c r="AD36" s="306">
        <v>5067.9150626687997</v>
      </c>
      <c r="AE36" s="306">
        <v>8737.4675634034993</v>
      </c>
      <c r="AF36" s="306">
        <v>10986.567065137617</v>
      </c>
      <c r="AG36" s="306">
        <v>6804.9037350580493</v>
      </c>
      <c r="AH36" s="306">
        <v>9367.0305244729007</v>
      </c>
      <c r="AI36" s="306">
        <v>14211.900059010302</v>
      </c>
      <c r="AJ36" s="306">
        <v>21854.640780272701</v>
      </c>
      <c r="AK36" s="306">
        <v>31531.606075233969</v>
      </c>
      <c r="AL36" s="306">
        <v>20127.15678158879</v>
      </c>
      <c r="AM36" s="306">
        <v>32731.620616677701</v>
      </c>
      <c r="AN36" s="306">
        <v>20738.723319925222</v>
      </c>
      <c r="AO36" s="306">
        <v>30042.026548713773</v>
      </c>
      <c r="AP36" s="306">
        <v>29693.895553358168</v>
      </c>
      <c r="AQ36" s="306">
        <v>29046.997574414101</v>
      </c>
      <c r="AR36" s="306">
        <v>32785.74374084908</v>
      </c>
      <c r="AS36" s="306">
        <v>29654.25381949759</v>
      </c>
      <c r="AT36" s="306">
        <v>34821.772701282338</v>
      </c>
      <c r="AU36" s="306">
        <v>26744.035207718545</v>
      </c>
      <c r="AV36" s="306">
        <v>27220.339053182339</v>
      </c>
      <c r="AW36" s="306">
        <v>19225.212777078741</v>
      </c>
      <c r="AX36" s="306">
        <v>23550.469421006172</v>
      </c>
      <c r="AY36" s="306">
        <v>32836.777038630316</v>
      </c>
      <c r="AZ36" s="306">
        <v>23080.688768831067</v>
      </c>
      <c r="BA36" s="306">
        <v>49912.488820381492</v>
      </c>
      <c r="BB36" s="306">
        <v>30160.899646602564</v>
      </c>
      <c r="BC36" s="306">
        <v>49542.599387326591</v>
      </c>
      <c r="BD36" s="306">
        <v>22420.8318818958</v>
      </c>
      <c r="BE36" s="306">
        <v>760.28730270539995</v>
      </c>
      <c r="BF36" s="238"/>
      <c r="BG36" s="306">
        <f t="shared" si="0"/>
        <v>734009.75850675267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76463-A504-473D-A61E-3845E6E874E2}">
  <sheetPr codeName="Sheet2"/>
  <dimension ref="A1:BP16"/>
  <sheetViews>
    <sheetView showGridLines="0" tabSelected="1" zoomScale="85" zoomScaleNormal="85" workbookViewId="0"/>
  </sheetViews>
  <sheetFormatPr defaultRowHeight="12.75" x14ac:dyDescent="0.2"/>
  <cols>
    <col min="8" max="8" width="9.5" bestFit="1" customWidth="1"/>
  </cols>
  <sheetData>
    <row r="1" spans="1:68" s="1" customFormat="1" ht="18.75" x14ac:dyDescent="0.3">
      <c r="A1" s="249" t="s">
        <v>190</v>
      </c>
      <c r="B1" s="249"/>
      <c r="C1" s="249"/>
      <c r="D1" s="249"/>
      <c r="E1" s="249"/>
      <c r="F1" s="249"/>
      <c r="G1" s="250"/>
      <c r="H1" s="250"/>
      <c r="I1" s="250"/>
      <c r="J1" s="250"/>
      <c r="K1" s="250"/>
      <c r="L1" s="250"/>
      <c r="M1" s="249"/>
      <c r="N1" s="249"/>
      <c r="O1" s="249"/>
      <c r="P1" s="249"/>
      <c r="Q1" s="249"/>
      <c r="R1" s="249"/>
      <c r="S1" s="249"/>
      <c r="T1" s="249"/>
      <c r="U1" s="251"/>
      <c r="V1" s="251"/>
      <c r="W1" s="251"/>
      <c r="X1" s="251"/>
      <c r="Y1" s="251"/>
      <c r="Z1" s="251"/>
      <c r="AA1" s="251"/>
      <c r="AB1" s="251"/>
      <c r="AC1" s="251"/>
      <c r="AD1" s="251"/>
      <c r="AE1" s="251"/>
      <c r="AF1" s="251"/>
      <c r="AG1" s="251"/>
      <c r="AH1" s="251"/>
      <c r="AI1" s="251"/>
      <c r="AJ1" s="251"/>
      <c r="AK1" s="251"/>
      <c r="AL1" s="251"/>
      <c r="AM1" s="251"/>
      <c r="AN1" s="251"/>
      <c r="AO1" s="251"/>
      <c r="AP1" s="251"/>
      <c r="AQ1" s="251"/>
      <c r="AR1" s="251"/>
      <c r="AS1" s="251"/>
      <c r="AT1" s="251"/>
      <c r="AU1" s="251"/>
      <c r="AV1" s="251"/>
      <c r="AW1" s="251"/>
      <c r="AX1" s="251"/>
      <c r="AY1" s="251"/>
      <c r="AZ1" s="251"/>
      <c r="BA1" s="251"/>
      <c r="BB1" s="251"/>
      <c r="BC1" s="251"/>
      <c r="BD1" s="251"/>
      <c r="BE1" s="251"/>
      <c r="BF1" s="251"/>
    </row>
    <row r="2" spans="1:68" s="1" customFormat="1" ht="15.75" x14ac:dyDescent="0.25">
      <c r="A2" s="252" t="str">
        <f ca="1">RIGHT(CELL("filename", $A$1), LEN(CELL("filename", $A$1)) - SEARCH("]", CELL("filename", $A$1)))</f>
        <v>Output</v>
      </c>
      <c r="B2" s="252"/>
      <c r="C2" s="252"/>
      <c r="D2" s="252"/>
      <c r="E2" s="252"/>
      <c r="F2" s="252"/>
      <c r="G2" s="253"/>
      <c r="H2" s="253"/>
      <c r="I2" s="253"/>
      <c r="J2" s="253"/>
      <c r="K2" s="253"/>
      <c r="L2" s="253"/>
      <c r="M2" s="252"/>
      <c r="N2" s="252"/>
      <c r="O2" s="252"/>
      <c r="P2" s="252"/>
      <c r="Q2" s="252"/>
      <c r="R2" s="252"/>
      <c r="S2" s="252"/>
      <c r="T2" s="252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  <c r="AH2" s="251"/>
      <c r="AI2" s="251"/>
      <c r="AJ2" s="251"/>
      <c r="AK2" s="251"/>
      <c r="AL2" s="251"/>
      <c r="AM2" s="251"/>
      <c r="AN2" s="251"/>
      <c r="AO2" s="251"/>
      <c r="AP2" s="251"/>
      <c r="AQ2" s="251"/>
      <c r="AR2" s="251"/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F2" s="251"/>
    </row>
    <row r="6" spans="1:68" x14ac:dyDescent="0.2">
      <c r="A6" s="1"/>
      <c r="B6" s="7" t="s">
        <v>0</v>
      </c>
      <c r="C6" s="8"/>
      <c r="D6" s="8"/>
      <c r="E6" s="8"/>
      <c r="F6" s="8"/>
      <c r="G6" s="8" t="s">
        <v>1</v>
      </c>
      <c r="H6" s="23">
        <v>2022</v>
      </c>
      <c r="I6" s="23">
        <v>2023</v>
      </c>
      <c r="J6" s="23">
        <v>2024</v>
      </c>
      <c r="K6" s="23">
        <v>2025</v>
      </c>
      <c r="L6" s="23">
        <v>2026</v>
      </c>
      <c r="M6" s="23">
        <v>2027</v>
      </c>
      <c r="N6" s="23">
        <v>2028</v>
      </c>
      <c r="O6" s="23">
        <v>2029</v>
      </c>
      <c r="P6" s="23">
        <v>2030</v>
      </c>
      <c r="Q6" s="23">
        <v>2031</v>
      </c>
      <c r="R6" s="23">
        <v>2032</v>
      </c>
      <c r="S6" s="23">
        <v>2033</v>
      </c>
      <c r="T6" s="23">
        <v>2034</v>
      </c>
      <c r="U6" s="23">
        <v>2035</v>
      </c>
      <c r="V6" s="23">
        <v>2036</v>
      </c>
      <c r="W6" s="23">
        <v>2037</v>
      </c>
      <c r="X6" s="23">
        <v>2038</v>
      </c>
      <c r="Y6" s="23">
        <v>2039</v>
      </c>
      <c r="Z6" s="23">
        <v>2040</v>
      </c>
      <c r="AA6" s="23">
        <v>2041</v>
      </c>
      <c r="AB6" s="23">
        <v>2042</v>
      </c>
      <c r="AC6" s="23">
        <v>2043</v>
      </c>
      <c r="AD6" s="23">
        <v>2044</v>
      </c>
      <c r="AE6" s="23">
        <v>2045</v>
      </c>
      <c r="AF6" s="23">
        <v>2046</v>
      </c>
      <c r="AG6" s="23">
        <v>2047</v>
      </c>
      <c r="AH6" s="23">
        <v>2048</v>
      </c>
      <c r="AI6" s="23">
        <v>2049</v>
      </c>
      <c r="AJ6" s="23">
        <v>2050</v>
      </c>
      <c r="AK6" s="23">
        <v>2051</v>
      </c>
      <c r="AL6" s="23">
        <v>2052</v>
      </c>
      <c r="AM6" s="23">
        <v>2053</v>
      </c>
      <c r="AN6" s="23">
        <v>2054</v>
      </c>
      <c r="AO6" s="23">
        <v>2055</v>
      </c>
      <c r="AP6" s="23">
        <v>2056</v>
      </c>
      <c r="AQ6" s="23">
        <v>2057</v>
      </c>
      <c r="AR6" s="23">
        <v>2058</v>
      </c>
      <c r="AS6" s="23">
        <v>2059</v>
      </c>
      <c r="AT6" s="23">
        <v>2060</v>
      </c>
      <c r="AU6" s="23">
        <v>2061</v>
      </c>
      <c r="AV6" s="23">
        <v>2062</v>
      </c>
      <c r="AW6" s="23">
        <v>2063</v>
      </c>
      <c r="AX6" s="23">
        <v>2064</v>
      </c>
      <c r="AY6" s="23">
        <v>2065</v>
      </c>
      <c r="AZ6" s="23">
        <v>2066</v>
      </c>
      <c r="BA6" s="23">
        <v>2067</v>
      </c>
      <c r="BB6" s="23">
        <v>2068</v>
      </c>
      <c r="BC6" s="23">
        <v>2069</v>
      </c>
      <c r="BD6" s="23">
        <v>2070</v>
      </c>
      <c r="BE6" s="23">
        <v>2071</v>
      </c>
      <c r="BF6" s="23">
        <v>2072</v>
      </c>
      <c r="BG6" s="23">
        <v>2073</v>
      </c>
      <c r="BH6" s="23">
        <v>2074</v>
      </c>
      <c r="BI6" s="23">
        <v>2075</v>
      </c>
      <c r="BJ6" s="23">
        <v>2076</v>
      </c>
      <c r="BK6" s="23">
        <v>2077</v>
      </c>
      <c r="BL6" s="23">
        <v>2078</v>
      </c>
      <c r="BM6" s="23">
        <v>2079</v>
      </c>
      <c r="BN6" s="23">
        <v>2080</v>
      </c>
      <c r="BO6" s="23">
        <v>2081</v>
      </c>
      <c r="BP6" s="23">
        <v>2082</v>
      </c>
    </row>
    <row r="8" spans="1:68" s="1" customFormat="1" x14ac:dyDescent="0.2">
      <c r="B8" s="36" t="s">
        <v>23</v>
      </c>
      <c r="C8" s="36"/>
      <c r="D8" s="36"/>
      <c r="E8" s="36"/>
      <c r="F8" s="36"/>
      <c r="G8" s="37">
        <f>INDEX(Profile!$G$9:$L$17, MATCH($G$6, Profile!$B$9:$B$17,0),MATCH(G$6, Profile!$G$8:$L$8,0))/1000000</f>
        <v>74.471600096648444</v>
      </c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</row>
    <row r="9" spans="1:68" s="1" customFormat="1" x14ac:dyDescent="0.2">
      <c r="B9" s="36" t="s">
        <v>16</v>
      </c>
      <c r="C9" s="36"/>
      <c r="D9" s="36"/>
      <c r="E9" s="36"/>
      <c r="F9" s="36"/>
      <c r="G9" s="37"/>
      <c r="H9" s="37">
        <f>INDEX(Profile!$G$9:$L$17, MATCH($G$6, Profile!$B$9:$B$17,0),MATCH(H$6, Profile!$G$8:$L$8,0))/1000000</f>
        <v>22.177824585287031</v>
      </c>
      <c r="I9" s="37">
        <f>INDEX(Profile!$G$9:$L$17, MATCH($G$6, Profile!$B$9:$B$17,0),MATCH(I$6, Profile!$G$8:$L$8,0))/1000000</f>
        <v>19.6674821854911</v>
      </c>
      <c r="J9" s="37">
        <f>INDEX(Profile!$G$9:$L$17, MATCH($G$6, Profile!$B$9:$B$17,0),MATCH(J$6, Profile!$G$8:$L$8,0))/1000000</f>
        <v>18.461313463182378</v>
      </c>
      <c r="K9" s="37">
        <f>INDEX(Profile!$G$9:$L$17, MATCH($G$6, Profile!$B$9:$B$17,0),MATCH(K$6, Profile!$G$8:$L$8,0))/1000000</f>
        <v>8.4129745361164616</v>
      </c>
      <c r="L9" s="37">
        <f>INDEX(Profile!$G$9:$L$17, MATCH($G$6, Profile!$B$9:$B$17,0),MATCH(L$6, Profile!$G$8:$L$8,0))/1000000</f>
        <v>5.7520053265714806</v>
      </c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</row>
    <row r="10" spans="1:68" s="1" customFormat="1" x14ac:dyDescent="0.2"/>
    <row r="11" spans="1:68" s="1" customFormat="1" x14ac:dyDescent="0.2"/>
    <row r="12" spans="1:68" s="1" customFormat="1" x14ac:dyDescent="0.2">
      <c r="B12" s="36" t="s">
        <v>17</v>
      </c>
      <c r="C12" s="36"/>
      <c r="D12" s="36"/>
      <c r="E12" s="36"/>
      <c r="F12" s="36"/>
      <c r="G12" s="37">
        <f>-G8</f>
        <v>-74.471600096648444</v>
      </c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</row>
    <row r="13" spans="1:68" s="1" customFormat="1" x14ac:dyDescent="0.2">
      <c r="B13" s="36" t="s">
        <v>18</v>
      </c>
      <c r="C13" s="36"/>
      <c r="D13" s="36"/>
      <c r="E13" s="36"/>
      <c r="F13" s="36"/>
      <c r="G13" s="37"/>
      <c r="H13" s="37">
        <f>-INDEX(Profile!$G$17:$BQ$95, MATCH($B13, Profile!$B$17:$B$95,0),MATCH(H$6, Profile!$G$20:$BQ$20,0))/1000000</f>
        <v>-2.3411476850753652</v>
      </c>
      <c r="I13" s="37">
        <f>-INDEX(Profile!$G$17:$BQ$95, MATCH($B13, Profile!$B$17:$B$95,0),MATCH(I$6, Profile!$G$20:$BQ$20,0))/1000000</f>
        <v>-2.3411476850753652</v>
      </c>
      <c r="J13" s="37">
        <f>-INDEX(Profile!$G$17:$BQ$95, MATCH($B13, Profile!$B$17:$B$95,0),MATCH(J$6, Profile!$G$20:$BQ$20,0))/1000000</f>
        <v>-2.3411476850753652</v>
      </c>
      <c r="K13" s="37">
        <f>-INDEX(Profile!$G$17:$BQ$95, MATCH($B13, Profile!$B$17:$B$95,0),MATCH(K$6, Profile!$G$20:$BQ$20,0))/1000000</f>
        <v>-2.3411476850753652</v>
      </c>
      <c r="L13" s="37">
        <f>-INDEX(Profile!$G$17:$BQ$95, MATCH($B13, Profile!$B$17:$B$95,0),MATCH(L$6, Profile!$G$20:$BQ$20,0))/1000000</f>
        <v>-2.3411476850753652</v>
      </c>
      <c r="M13" s="37">
        <f>-INDEX(Profile!$G$17:$BQ$95, MATCH($B13, Profile!$B$17:$B$95,0),MATCH(M$6, Profile!$G$20:$BQ$20,0))/1000000</f>
        <v>-2.3411476850753652</v>
      </c>
      <c r="N13" s="37">
        <f>-INDEX(Profile!$G$17:$BQ$95, MATCH($B13, Profile!$B$17:$B$95,0),MATCH(N$6, Profile!$G$20:$BQ$20,0))/1000000</f>
        <v>-2.3411476850753652</v>
      </c>
      <c r="O13" s="37">
        <f>-INDEX(Profile!$G$17:$BQ$95, MATCH($B13, Profile!$B$17:$B$95,0),MATCH(O$6, Profile!$G$20:$BQ$20,0))/1000000</f>
        <v>-2.3411476850753652</v>
      </c>
      <c r="P13" s="37">
        <f>-INDEX(Profile!$G$17:$BQ$95, MATCH($B13, Profile!$B$17:$B$95,0),MATCH(P$6, Profile!$G$20:$BQ$20,0))/1000000</f>
        <v>-2.3411476850753652</v>
      </c>
      <c r="Q13" s="37">
        <f>-INDEX(Profile!$G$17:$BQ$95, MATCH($B13, Profile!$B$17:$B$95,0),MATCH(Q$6, Profile!$G$20:$BQ$20,0))/1000000</f>
        <v>-2.3411476850753652</v>
      </c>
      <c r="R13" s="37">
        <f>-INDEX(Profile!$G$17:$BQ$95, MATCH($B13, Profile!$B$17:$B$95,0),MATCH(R$6, Profile!$G$20:$BQ$20,0))/1000000</f>
        <v>-2.3411476850753652</v>
      </c>
      <c r="S13" s="37">
        <f>-INDEX(Profile!$G$17:$BQ$95, MATCH($B13, Profile!$B$17:$B$95,0),MATCH(S$6, Profile!$G$20:$BQ$20,0))/1000000</f>
        <v>-2.3411476850753652</v>
      </c>
      <c r="T13" s="37">
        <f>-INDEX(Profile!$G$17:$BQ$95, MATCH($B13, Profile!$B$17:$B$95,0),MATCH(T$6, Profile!$G$20:$BQ$20,0))/1000000</f>
        <v>-2.3411476850753652</v>
      </c>
      <c r="U13" s="37">
        <f>-INDEX(Profile!$G$17:$BQ$95, MATCH($B13, Profile!$B$17:$B$95,0),MATCH(U$6, Profile!$G$20:$BQ$20,0))/1000000</f>
        <v>-2.3411476850753652</v>
      </c>
      <c r="V13" s="37">
        <f>-INDEX(Profile!$G$17:$BQ$95, MATCH($B13, Profile!$B$17:$B$95,0),MATCH(V$6, Profile!$G$20:$BQ$20,0))/1000000</f>
        <v>-2.3411476850753652</v>
      </c>
      <c r="W13" s="37">
        <f>-INDEX(Profile!$G$17:$BQ$95, MATCH($B13, Profile!$B$17:$B$95,0),MATCH(W$6, Profile!$G$20:$BQ$20,0))/1000000</f>
        <v>-2.3411476850753652</v>
      </c>
      <c r="X13" s="37">
        <f>-INDEX(Profile!$G$17:$BQ$95, MATCH($B13, Profile!$B$17:$B$95,0),MATCH(X$6, Profile!$G$20:$BQ$20,0))/1000000</f>
        <v>-2.3411476850753652</v>
      </c>
      <c r="Y13" s="37">
        <f>-INDEX(Profile!$G$17:$BQ$95, MATCH($B13, Profile!$B$17:$B$95,0),MATCH(Y$6, Profile!$G$20:$BQ$20,0))/1000000</f>
        <v>-2.3411476850753652</v>
      </c>
      <c r="Z13" s="37">
        <f>-INDEX(Profile!$G$17:$BQ$95, MATCH($B13, Profile!$B$17:$B$95,0),MATCH(Z$6, Profile!$G$20:$BQ$20,0))/1000000</f>
        <v>-2.3411476850753652</v>
      </c>
      <c r="AA13" s="37">
        <f>-INDEX(Profile!$G$17:$BQ$95, MATCH($B13, Profile!$B$17:$B$95,0),MATCH(AA$6, Profile!$G$20:$BQ$20,0))/1000000</f>
        <v>-2.3411476850753652</v>
      </c>
      <c r="AB13" s="37">
        <f>-INDEX(Profile!$G$17:$BQ$95, MATCH($B13, Profile!$B$17:$B$95,0),MATCH(AB$6, Profile!$G$20:$BQ$20,0))/1000000</f>
        <v>-2.3411476850753652</v>
      </c>
      <c r="AC13" s="37">
        <f>-INDEX(Profile!$G$17:$BQ$95, MATCH($B13, Profile!$B$17:$B$95,0),MATCH(AC$6, Profile!$G$20:$BQ$20,0))/1000000</f>
        <v>-2.3411476850753652</v>
      </c>
      <c r="AD13" s="37">
        <f>-INDEX(Profile!$G$17:$BQ$95, MATCH($B13, Profile!$B$17:$B$95,0),MATCH(AD$6, Profile!$G$20:$BQ$20,0))/1000000</f>
        <v>-2.3411476850753652</v>
      </c>
      <c r="AE13" s="37">
        <f>-INDEX(Profile!$G$17:$BQ$95, MATCH($B13, Profile!$B$17:$B$95,0),MATCH(AE$6, Profile!$G$20:$BQ$20,0))/1000000</f>
        <v>-2.3411476850753652</v>
      </c>
      <c r="AF13" s="37">
        <f>-INDEX(Profile!$G$17:$BQ$95, MATCH($B13, Profile!$B$17:$B$95,0),MATCH(AF$6, Profile!$G$20:$BQ$20,0))/1000000</f>
        <v>-2.3411476850753652</v>
      </c>
      <c r="AG13" s="37">
        <f>-INDEX(Profile!$G$17:$BQ$95, MATCH($B13, Profile!$B$17:$B$95,0),MATCH(AG$6, Profile!$G$20:$BQ$20,0))/1000000</f>
        <v>-1.7772255942350217</v>
      </c>
      <c r="AH13" s="37">
        <f>-INDEX(Profile!$G$17:$BQ$95, MATCH($B13, Profile!$B$17:$B$95,0),MATCH(AH$6, Profile!$G$20:$BQ$20,0))/1000000</f>
        <v>-1.2133035033946826</v>
      </c>
      <c r="AI13" s="37">
        <f>-INDEX(Profile!$G$17:$BQ$95, MATCH($B13, Profile!$B$17:$B$95,0),MATCH(AI$6, Profile!$G$20:$BQ$20,0))/1000000</f>
        <v>-1.2133035033946826</v>
      </c>
      <c r="AJ13" s="37">
        <f>-INDEX(Profile!$G$17:$BQ$95, MATCH($B13, Profile!$B$17:$B$95,0),MATCH(AJ$6, Profile!$G$20:$BQ$20,0))/1000000</f>
        <v>-1.2133035033946826</v>
      </c>
      <c r="AK13" s="37">
        <f>-INDEX(Profile!$G$17:$BQ$95, MATCH($B13, Profile!$B$17:$B$95,0),MATCH(AK$6, Profile!$G$20:$BQ$20,0))/1000000</f>
        <v>-1.2133035033946826</v>
      </c>
      <c r="AL13" s="37">
        <f>-INDEX(Profile!$G$17:$BQ$95, MATCH($B13, Profile!$B$17:$B$95,0),MATCH(AL$6, Profile!$G$20:$BQ$20,0))/1000000</f>
        <v>-1.2133035033946826</v>
      </c>
      <c r="AM13" s="37">
        <f>-INDEX(Profile!$G$17:$BQ$95, MATCH($B13, Profile!$B$17:$B$95,0),MATCH(AM$6, Profile!$G$20:$BQ$20,0))/1000000</f>
        <v>-1.1546700701680954</v>
      </c>
      <c r="AN13" s="37">
        <f>-INDEX(Profile!$G$17:$BQ$95, MATCH($B13, Profile!$B$17:$B$95,0),MATCH(AN$6, Profile!$G$20:$BQ$20,0))/1000000</f>
        <v>-0.78913418292427417</v>
      </c>
      <c r="AO13" s="37">
        <f>-INDEX(Profile!$G$17:$BQ$95, MATCH($B13, Profile!$B$17:$B$95,0),MATCH(AO$6, Profile!$G$20:$BQ$20,0))/1000000</f>
        <v>-0.78913418292427417</v>
      </c>
      <c r="AP13" s="37">
        <f>-INDEX(Profile!$G$17:$BQ$95, MATCH($B13, Profile!$B$17:$B$95,0),MATCH(AP$6, Profile!$G$20:$BQ$20,0))/1000000</f>
        <v>-0.78913418292427417</v>
      </c>
      <c r="AQ13" s="37">
        <f>-INDEX(Profile!$G$17:$BQ$95, MATCH($B13, Profile!$B$17:$B$95,0),MATCH(AQ$6, Profile!$G$20:$BQ$20,0))/1000000</f>
        <v>-0.78913418292427417</v>
      </c>
      <c r="AR13" s="37">
        <f>-INDEX(Profile!$G$17:$BQ$95, MATCH($B13, Profile!$B$17:$B$95,0),MATCH(AR$6, Profile!$G$20:$BQ$20,0))/1000000</f>
        <v>-0.78913418292427417</v>
      </c>
      <c r="AS13" s="37">
        <f>-INDEX(Profile!$G$17:$BQ$95, MATCH($B13, Profile!$B$17:$B$95,0),MATCH(AS$6, Profile!$G$20:$BQ$20,0))/1000000</f>
        <v>-0.66284120557090576</v>
      </c>
      <c r="AT13" s="37">
        <f>-INDEX(Profile!$G$17:$BQ$95, MATCH($B13, Profile!$B$17:$B$95,0),MATCH(AT$6, Profile!$G$20:$BQ$20,0))/1000000</f>
        <v>-0.45606675908655792</v>
      </c>
      <c r="AU13" s="37">
        <f>-INDEX(Profile!$G$17:$BQ$95, MATCH($B13, Profile!$B$17:$B$95,0),MATCH(AU$6, Profile!$G$20:$BQ$20,0))/1000000</f>
        <v>-0.45606675908655792</v>
      </c>
      <c r="AV13" s="37">
        <f>-INDEX(Profile!$G$17:$BQ$95, MATCH($B13, Profile!$B$17:$B$95,0),MATCH(AV$6, Profile!$G$20:$BQ$20,0))/1000000</f>
        <v>-0.45606675908655792</v>
      </c>
      <c r="AW13" s="37">
        <f>-INDEX(Profile!$G$17:$BQ$95, MATCH($B13, Profile!$B$17:$B$95,0),MATCH(AW$6, Profile!$G$20:$BQ$20,0))/1000000</f>
        <v>-0.38751958709154255</v>
      </c>
      <c r="AX13" s="37">
        <f>-INDEX(Profile!$G$17:$BQ$95, MATCH($B13, Profile!$B$17:$B$95,0),MATCH(AX$6, Profile!$G$20:$BQ$20,0))/1000000</f>
        <v>-0.1450657009610718</v>
      </c>
      <c r="AY13" s="37">
        <f>-INDEX(Profile!$G$17:$BQ$95, MATCH($B13, Profile!$B$17:$B$95,0),MATCH(AY$6, Profile!$G$20:$BQ$20,0))/1000000</f>
        <v>-0.1450657009610718</v>
      </c>
      <c r="AZ13" s="37">
        <f>-INDEX(Profile!$G$17:$BQ$95, MATCH($B13, Profile!$B$17:$B$95,0),MATCH(AZ$6, Profile!$G$20:$BQ$20,0))/1000000</f>
        <v>-0.1450657009610718</v>
      </c>
      <c r="BA13" s="37">
        <f>-INDEX(Profile!$G$17:$BQ$95, MATCH($B13, Profile!$B$17:$B$95,0),MATCH(BA$6, Profile!$G$20:$BQ$20,0))/1000000</f>
        <v>-0.14506570096106641</v>
      </c>
      <c r="BB13" s="37">
        <f>-INDEX(Profile!$G$17:$BQ$95, MATCH($B13, Profile!$B$17:$B$95,0),MATCH(BB$6, Profile!$G$20:$BQ$20,0))/1000000</f>
        <v>0</v>
      </c>
      <c r="BC13" s="37">
        <f>-INDEX(Profile!$G$17:$BQ$95, MATCH($B13, Profile!$B$17:$B$95,0),MATCH(BC$6, Profile!$G$20:$BQ$20,0))/1000000</f>
        <v>0</v>
      </c>
      <c r="BD13" s="37">
        <f>-INDEX(Profile!$G$17:$BQ$95, MATCH($B13, Profile!$B$17:$B$95,0),MATCH(BD$6, Profile!$G$20:$BQ$20,0))/1000000</f>
        <v>0</v>
      </c>
      <c r="BE13" s="37">
        <f>-INDEX(Profile!$G$17:$BQ$95, MATCH($B13, Profile!$B$17:$B$95,0),MATCH(BE$6, Profile!$G$20:$BQ$20,0))/1000000</f>
        <v>0</v>
      </c>
      <c r="BF13" s="37">
        <f>-INDEX(Profile!$G$17:$BQ$95, MATCH($B13, Profile!$B$17:$B$95,0),MATCH(BF$6, Profile!$G$20:$BQ$20,0))/1000000</f>
        <v>0</v>
      </c>
      <c r="BG13" s="37">
        <f>-INDEX(Profile!$G$17:$BQ$95, MATCH($B13, Profile!$B$17:$B$95,0),MATCH(BG$6, Profile!$G$20:$BQ$20,0))/1000000</f>
        <v>0</v>
      </c>
      <c r="BH13" s="37">
        <f>-INDEX(Profile!$G$17:$BQ$95, MATCH($B13, Profile!$B$17:$B$95,0),MATCH(BH$6, Profile!$G$20:$BQ$20,0))/1000000</f>
        <v>0</v>
      </c>
      <c r="BI13" s="37">
        <f>-INDEX(Profile!$G$17:$BQ$95, MATCH($B13, Profile!$B$17:$B$95,0),MATCH(BI$6, Profile!$G$20:$BQ$20,0))/1000000</f>
        <v>0</v>
      </c>
      <c r="BJ13" s="37">
        <f>-INDEX(Profile!$G$17:$BQ$95, MATCH($B13, Profile!$B$17:$B$95,0),MATCH(BJ$6, Profile!$G$20:$BQ$20,0))/1000000</f>
        <v>0</v>
      </c>
      <c r="BK13" s="37">
        <f>-INDEX(Profile!$G$17:$BQ$95, MATCH($B13, Profile!$B$17:$B$95,0),MATCH(BK$6, Profile!$G$20:$BQ$20,0))/1000000</f>
        <v>0</v>
      </c>
      <c r="BL13" s="37">
        <f>-INDEX(Profile!$G$17:$BQ$95, MATCH($B13, Profile!$B$17:$B$95,0),MATCH(BL$6, Profile!$G$20:$BQ$20,0))/1000000</f>
        <v>0</v>
      </c>
      <c r="BM13" s="37">
        <f>-INDEX(Profile!$G$17:$BQ$95, MATCH($B13, Profile!$B$17:$B$95,0),MATCH(BM$6, Profile!$G$20:$BQ$20,0))/1000000</f>
        <v>0</v>
      </c>
      <c r="BN13" s="37">
        <f>-INDEX(Profile!$G$17:$BQ$95, MATCH($B13, Profile!$B$17:$B$95,0),MATCH(BN$6, Profile!$G$20:$BQ$20,0))/1000000</f>
        <v>0</v>
      </c>
      <c r="BO13" s="37">
        <f>-INDEX(Profile!$G$17:$BQ$95, MATCH($B13, Profile!$B$17:$B$95,0),MATCH(BO$6, Profile!$G$20:$BQ$20,0))/1000000</f>
        <v>0</v>
      </c>
      <c r="BP13" s="37">
        <f>-INDEX(Profile!$G$17:$BQ$95, MATCH($B13, Profile!$B$17:$B$95,0),MATCH(BP$6, Profile!$G$20:$BQ$20,0))/1000000</f>
        <v>0</v>
      </c>
    </row>
    <row r="14" spans="1:68" s="1" customFormat="1" x14ac:dyDescent="0.2">
      <c r="G14" s="6"/>
      <c r="H14" s="6"/>
      <c r="I14" s="6"/>
      <c r="J14" s="6"/>
      <c r="K14" s="6"/>
      <c r="L14" s="6"/>
    </row>
    <row r="16" spans="1:68" x14ac:dyDescent="0.2">
      <c r="H16" s="24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A1:BQ70"/>
  <sheetViews>
    <sheetView showGridLines="0" zoomScale="85" zoomScaleNormal="85" workbookViewId="0">
      <selection activeCell="F21" sqref="F21"/>
    </sheetView>
  </sheetViews>
  <sheetFormatPr defaultColWidth="9" defaultRowHeight="12.75" x14ac:dyDescent="0.2"/>
  <cols>
    <col min="1" max="1" width="3.625" style="1" customWidth="1"/>
    <col min="2" max="2" width="35.25" style="1" customWidth="1"/>
    <col min="3" max="6" width="8.625" style="1" customWidth="1"/>
    <col min="7" max="7" width="17.375" style="6" customWidth="1"/>
    <col min="8" max="12" width="11.375" style="6" customWidth="1"/>
    <col min="13" max="68" width="11.375" style="1" customWidth="1"/>
    <col min="69" max="16384" width="9" style="1"/>
  </cols>
  <sheetData>
    <row r="1" spans="1:58" ht="18.75" x14ac:dyDescent="0.3">
      <c r="A1" s="249" t="str">
        <f>Output!A1</f>
        <v>PAL Accelerated depreciation</v>
      </c>
      <c r="B1" s="249"/>
      <c r="C1" s="249"/>
      <c r="D1" s="249"/>
      <c r="E1" s="249"/>
      <c r="F1" s="249"/>
      <c r="G1" s="250"/>
      <c r="H1" s="250"/>
      <c r="I1" s="250"/>
      <c r="J1" s="250"/>
      <c r="K1" s="250"/>
      <c r="L1" s="250"/>
      <c r="M1" s="249"/>
      <c r="N1" s="249"/>
      <c r="O1" s="249"/>
      <c r="P1" s="249"/>
      <c r="Q1" s="249"/>
      <c r="R1" s="249"/>
      <c r="S1" s="249"/>
      <c r="T1" s="249"/>
      <c r="U1" s="251"/>
      <c r="V1" s="251"/>
      <c r="W1" s="251"/>
      <c r="X1" s="251"/>
      <c r="Y1" s="251"/>
      <c r="Z1" s="251"/>
      <c r="AA1" s="251"/>
      <c r="AB1" s="251"/>
      <c r="AC1" s="251"/>
      <c r="AD1" s="251"/>
      <c r="AE1" s="251"/>
      <c r="AF1" s="251"/>
      <c r="AG1" s="251"/>
      <c r="AH1" s="251"/>
      <c r="AI1" s="251"/>
      <c r="AJ1" s="251"/>
      <c r="AK1" s="251"/>
      <c r="AL1" s="251"/>
      <c r="AM1" s="251"/>
      <c r="AN1" s="251"/>
      <c r="AO1" s="251"/>
      <c r="AP1" s="251"/>
      <c r="AQ1" s="251"/>
      <c r="AR1" s="251"/>
      <c r="AS1" s="251"/>
      <c r="AT1" s="251"/>
      <c r="AU1" s="251"/>
      <c r="AV1" s="251"/>
      <c r="AW1" s="251"/>
      <c r="AX1" s="251"/>
      <c r="AY1" s="251"/>
      <c r="AZ1" s="251"/>
      <c r="BA1" s="251"/>
      <c r="BB1" s="251"/>
      <c r="BC1" s="251"/>
      <c r="BD1" s="251"/>
      <c r="BE1" s="251"/>
      <c r="BF1" s="251"/>
    </row>
    <row r="2" spans="1:58" ht="15.75" x14ac:dyDescent="0.25">
      <c r="A2" s="252" t="s">
        <v>198</v>
      </c>
      <c r="B2" s="252"/>
      <c r="C2" s="252"/>
      <c r="D2" s="252"/>
      <c r="E2" s="252"/>
      <c r="F2" s="252"/>
      <c r="G2" s="253"/>
      <c r="H2" s="253"/>
      <c r="I2" s="253"/>
      <c r="J2" s="253"/>
      <c r="K2" s="253"/>
      <c r="L2" s="253"/>
      <c r="M2" s="252"/>
      <c r="N2" s="252"/>
      <c r="O2" s="252"/>
      <c r="P2" s="252"/>
      <c r="Q2" s="252"/>
      <c r="R2" s="252"/>
      <c r="S2" s="252"/>
      <c r="T2" s="252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  <c r="AH2" s="251"/>
      <c r="AI2" s="251"/>
      <c r="AJ2" s="251"/>
      <c r="AK2" s="251"/>
      <c r="AL2" s="251"/>
      <c r="AM2" s="251"/>
      <c r="AN2" s="251"/>
      <c r="AO2" s="251"/>
      <c r="AP2" s="251"/>
      <c r="AQ2" s="251"/>
      <c r="AR2" s="251"/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F2" s="251"/>
    </row>
    <row r="3" spans="1:5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58" x14ac:dyDescent="0.2">
      <c r="B4" s="3" t="s">
        <v>2</v>
      </c>
      <c r="C4" s="254">
        <v>51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58" x14ac:dyDescent="0.2">
      <c r="B5" s="3" t="s">
        <v>9</v>
      </c>
      <c r="C5" s="14">
        <f>[1]Assumptions!I12</f>
        <v>1.0810468188716866</v>
      </c>
      <c r="H5" s="4"/>
      <c r="I5" s="4"/>
      <c r="J5" s="4"/>
      <c r="K5" s="4"/>
      <c r="L5" s="4"/>
      <c r="M5" s="2"/>
      <c r="N5" s="2"/>
      <c r="O5" s="2"/>
      <c r="P5" s="2"/>
      <c r="Q5" s="2"/>
      <c r="R5" s="2"/>
      <c r="S5" s="2"/>
      <c r="T5" s="2"/>
    </row>
    <row r="6" spans="1:58" x14ac:dyDescent="0.2">
      <c r="H6" s="4"/>
      <c r="I6" s="4"/>
      <c r="J6" s="4"/>
      <c r="K6" s="4"/>
      <c r="L6" s="4"/>
      <c r="M6" s="2"/>
      <c r="N6" s="2"/>
      <c r="O6" s="2"/>
      <c r="P6" s="2"/>
      <c r="Q6" s="2"/>
      <c r="R6" s="2"/>
      <c r="S6" s="2"/>
      <c r="T6" s="2"/>
    </row>
    <row r="7" spans="1:58" x14ac:dyDescent="0.2">
      <c r="A7" s="2"/>
      <c r="B7" s="5"/>
      <c r="C7" s="2"/>
      <c r="D7" s="2"/>
      <c r="E7" s="2"/>
      <c r="F7" s="2"/>
      <c r="G7" s="50" t="s">
        <v>24</v>
      </c>
      <c r="H7" s="51"/>
      <c r="I7" s="51"/>
      <c r="J7" s="51"/>
      <c r="K7" s="51"/>
      <c r="L7" s="51"/>
      <c r="M7" s="2"/>
      <c r="N7" s="2"/>
      <c r="O7" s="2"/>
      <c r="P7" s="2"/>
      <c r="Q7" s="2"/>
      <c r="R7" s="2"/>
      <c r="S7" s="2"/>
      <c r="T7" s="2"/>
    </row>
    <row r="8" spans="1:58" ht="25.5" x14ac:dyDescent="0.2">
      <c r="A8" s="2"/>
      <c r="B8" s="7" t="s">
        <v>0</v>
      </c>
      <c r="C8" s="8" t="s">
        <v>13</v>
      </c>
      <c r="D8" s="8" t="s">
        <v>12</v>
      </c>
      <c r="E8" s="8" t="s">
        <v>14</v>
      </c>
      <c r="F8" s="8" t="s">
        <v>11</v>
      </c>
      <c r="G8" s="49" t="s">
        <v>1</v>
      </c>
      <c r="H8" s="23">
        <v>2022</v>
      </c>
      <c r="I8" s="23">
        <v>2023</v>
      </c>
      <c r="J8" s="23">
        <v>2024</v>
      </c>
      <c r="K8" s="23">
        <v>2025</v>
      </c>
      <c r="L8" s="23">
        <v>2026</v>
      </c>
      <c r="M8" s="2"/>
      <c r="N8" s="2"/>
      <c r="O8" s="2"/>
      <c r="P8" s="2"/>
      <c r="Q8" s="2"/>
      <c r="R8" s="2"/>
      <c r="S8" s="2"/>
      <c r="T8" s="2"/>
    </row>
    <row r="9" spans="1:58" x14ac:dyDescent="0.2">
      <c r="A9" s="2"/>
      <c r="B9" s="10" t="s">
        <v>5</v>
      </c>
      <c r="C9" s="15">
        <v>51</v>
      </c>
      <c r="D9" s="15">
        <v>25.5</v>
      </c>
      <c r="E9" s="12">
        <v>128</v>
      </c>
      <c r="F9" s="12">
        <v>86438.447471470819</v>
      </c>
      <c r="G9" s="246">
        <f>(E9*F9)/Assumptions!$C$5*D9</f>
        <v>5532060.6381741324</v>
      </c>
      <c r="H9" s="294">
        <v>1106412.1276348266</v>
      </c>
      <c r="I9" s="295">
        <v>1106412.1276348266</v>
      </c>
      <c r="J9" s="295">
        <v>1106412.1276348266</v>
      </c>
      <c r="K9" s="295">
        <v>1106412.1276348266</v>
      </c>
      <c r="L9" s="295">
        <v>1106412.1276348266</v>
      </c>
      <c r="M9" s="16">
        <f t="shared" ref="M9:M17" si="0">ROUND(G9-SUM(H9:L9),3)</f>
        <v>0</v>
      </c>
      <c r="N9" s="2"/>
      <c r="O9" s="2"/>
      <c r="P9" s="2"/>
      <c r="Q9" s="2"/>
      <c r="R9" s="2"/>
      <c r="S9" s="2"/>
      <c r="T9" s="2"/>
    </row>
    <row r="10" spans="1:58" x14ac:dyDescent="0.2">
      <c r="A10" s="2"/>
      <c r="B10" s="11" t="s">
        <v>4</v>
      </c>
      <c r="C10" s="15">
        <v>51</v>
      </c>
      <c r="D10" s="15">
        <v>25.5</v>
      </c>
      <c r="E10" s="15">
        <v>9.6</v>
      </c>
      <c r="F10" s="12">
        <f>OtherAssets!C9*Assumptions!$K$12</f>
        <v>443036.15166259295</v>
      </c>
      <c r="G10" s="246">
        <f>(E10*F10)/Assumptions!$C$5*D10</f>
        <v>2126573.5279804459</v>
      </c>
      <c r="H10" s="294">
        <v>425314.70559608919</v>
      </c>
      <c r="I10" s="294">
        <v>425314.70559608919</v>
      </c>
      <c r="J10" s="294">
        <v>425314.70559608919</v>
      </c>
      <c r="K10" s="294">
        <v>425314.70559608919</v>
      </c>
      <c r="L10" s="294">
        <v>425314.70559608919</v>
      </c>
      <c r="M10" s="16">
        <f t="shared" si="0"/>
        <v>0</v>
      </c>
      <c r="N10" s="2"/>
      <c r="O10" s="243">
        <f>M10/3</f>
        <v>0</v>
      </c>
      <c r="P10" s="2"/>
      <c r="Q10" s="2"/>
      <c r="R10" s="2"/>
      <c r="S10" s="2"/>
      <c r="T10" s="2"/>
    </row>
    <row r="11" spans="1:58" x14ac:dyDescent="0.2">
      <c r="A11" s="2"/>
      <c r="B11" s="11" t="s">
        <v>7</v>
      </c>
      <c r="C11" s="15">
        <v>51</v>
      </c>
      <c r="D11" s="15">
        <v>46</v>
      </c>
      <c r="E11" s="12">
        <f>SUM(OtherAssets!J11:N11)</f>
        <v>2060</v>
      </c>
      <c r="F11" s="12">
        <f>OtherAssets!C11</f>
        <v>3591.4324024343018</v>
      </c>
      <c r="G11" s="246">
        <f>(E11*F11)/Assumptions!$C$5*D11</f>
        <v>6673022.2442093026</v>
      </c>
      <c r="H11" s="294">
        <v>3336511.1221046513</v>
      </c>
      <c r="I11" s="294">
        <v>3336511.1221046513</v>
      </c>
      <c r="J11" s="294">
        <v>0</v>
      </c>
      <c r="K11" s="294">
        <v>0</v>
      </c>
      <c r="L11" s="294">
        <v>0</v>
      </c>
      <c r="M11" s="16">
        <f t="shared" si="0"/>
        <v>0</v>
      </c>
      <c r="N11" s="2"/>
      <c r="O11" s="2"/>
      <c r="P11" s="2"/>
      <c r="Q11" s="2"/>
      <c r="R11" s="2"/>
      <c r="S11" s="2"/>
      <c r="T11" s="2"/>
    </row>
    <row r="12" spans="1:58" x14ac:dyDescent="0.2">
      <c r="A12" s="2"/>
      <c r="B12" s="11" t="s">
        <v>3</v>
      </c>
      <c r="C12" s="15">
        <v>51</v>
      </c>
      <c r="D12" s="15">
        <v>25.5</v>
      </c>
      <c r="E12" s="12">
        <f>SUM(OtherAssets!J10:N10)</f>
        <v>638</v>
      </c>
      <c r="F12" s="12">
        <f>OtherAssets!C10</f>
        <v>66148.565726341141</v>
      </c>
      <c r="G12" s="246">
        <f>(E12*F12)/Assumptions!$C$5*D12</f>
        <v>21101392.466702823</v>
      </c>
      <c r="H12" s="294">
        <v>4220278.4933405649</v>
      </c>
      <c r="I12" s="294">
        <v>4220278.4933405649</v>
      </c>
      <c r="J12" s="294">
        <v>4220278.4933405649</v>
      </c>
      <c r="K12" s="294">
        <v>4220278.4933405649</v>
      </c>
      <c r="L12" s="294">
        <v>4220278.4933405649</v>
      </c>
      <c r="M12" s="16">
        <f t="shared" si="0"/>
        <v>0</v>
      </c>
      <c r="N12" s="2"/>
      <c r="O12" s="2"/>
      <c r="P12" s="2"/>
      <c r="Q12" s="2"/>
      <c r="R12" s="2"/>
      <c r="S12" s="2"/>
      <c r="T12" s="2"/>
    </row>
    <row r="13" spans="1:58" x14ac:dyDescent="0.2">
      <c r="A13" s="2"/>
      <c r="B13" s="11" t="s">
        <v>6</v>
      </c>
      <c r="C13" s="15"/>
      <c r="D13" s="15">
        <f>'T3 surge arrestors'!$D$7</f>
        <v>31.861768802228415</v>
      </c>
      <c r="E13" s="12"/>
      <c r="F13" s="12"/>
      <c r="G13" s="247">
        <f>SUM('T3 surge arrestors'!$H$16:$H$22)*Assumptions!$D$14</f>
        <v>10643876.838179927</v>
      </c>
      <c r="H13" s="247">
        <f>[2]Distribution_Depn!N$63*Assumptions!$D$14*1000000</f>
        <v>2660969.2095449818</v>
      </c>
      <c r="I13" s="247">
        <f>[2]Distribution_Depn!O$63*Assumptions!$D$14*1000000</f>
        <v>2660969.2095449818</v>
      </c>
      <c r="J13" s="247">
        <f>[2]Distribution_Depn!P$63*Assumptions!$D$14*1000000</f>
        <v>2660969.2095449818</v>
      </c>
      <c r="K13" s="247">
        <f>[2]Distribution_Depn!Q$63*Assumptions!$D$14*1000000</f>
        <v>2660969.2095449818</v>
      </c>
      <c r="L13" s="247">
        <f>[2]Distribution_Depn!R$63*Assumptions!$D$14*1000000</f>
        <v>0</v>
      </c>
      <c r="M13" s="16">
        <f t="shared" si="0"/>
        <v>0</v>
      </c>
      <c r="N13" s="2"/>
      <c r="O13" s="2"/>
      <c r="P13" s="2"/>
      <c r="Q13" s="2"/>
      <c r="R13" s="2"/>
      <c r="S13" s="2"/>
      <c r="T13" s="2"/>
    </row>
    <row r="14" spans="1:58" x14ac:dyDescent="0.2">
      <c r="A14" s="2"/>
      <c r="B14" s="11" t="s">
        <v>25</v>
      </c>
      <c r="C14" s="15"/>
      <c r="D14" s="15">
        <f>D13</f>
        <v>31.861768802228415</v>
      </c>
      <c r="E14" s="12"/>
      <c r="F14" s="12"/>
      <c r="G14" s="247">
        <f>'T3 surge arrestors'!$H$23*Assumptions!$D$14</f>
        <v>2870907.9836465656</v>
      </c>
      <c r="H14" s="294">
        <v>956969.32788218849</v>
      </c>
      <c r="I14" s="294">
        <v>956969.32788218849</v>
      </c>
      <c r="J14" s="294">
        <v>956969.32788218849</v>
      </c>
      <c r="K14" s="294">
        <v>0</v>
      </c>
      <c r="L14" s="294">
        <v>0</v>
      </c>
      <c r="M14" s="16">
        <f t="shared" si="0"/>
        <v>0</v>
      </c>
      <c r="N14" s="2"/>
      <c r="O14" s="2"/>
      <c r="P14" s="2"/>
      <c r="Q14" s="2"/>
      <c r="R14" s="2"/>
      <c r="S14" s="2"/>
      <c r="T14" s="2"/>
    </row>
    <row r="15" spans="1:58" x14ac:dyDescent="0.2">
      <c r="A15" s="2"/>
      <c r="B15" s="11" t="s">
        <v>10</v>
      </c>
      <c r="C15" s="15"/>
      <c r="D15" s="15">
        <f>Other_ACRs!$D$49</f>
        <v>41.779591836734696</v>
      </c>
      <c r="E15" s="12"/>
      <c r="F15" s="12"/>
      <c r="G15" s="248">
        <f>Other_ACRs!$E$49*Assumptions!$D$14</f>
        <v>12993497.269275414</v>
      </c>
      <c r="H15" s="294">
        <v>4724908.0979183326</v>
      </c>
      <c r="I15" s="294">
        <v>3543681.0734387492</v>
      </c>
      <c r="J15" s="294">
        <v>4724908.0979183326</v>
      </c>
      <c r="K15" s="294">
        <v>0</v>
      </c>
      <c r="L15" s="294">
        <v>0</v>
      </c>
      <c r="M15" s="16">
        <f t="shared" si="0"/>
        <v>0</v>
      </c>
      <c r="N15" s="2"/>
      <c r="O15" s="2"/>
      <c r="P15" s="2"/>
      <c r="Q15" s="2"/>
      <c r="R15" s="2"/>
      <c r="S15" s="2"/>
      <c r="T15" s="2"/>
    </row>
    <row r="16" spans="1:58" x14ac:dyDescent="0.2">
      <c r="A16" s="2"/>
      <c r="B16" s="17" t="s">
        <v>15</v>
      </c>
      <c r="C16" s="18"/>
      <c r="D16" s="18">
        <f>'Underground cable'!D66</f>
        <v>37.620818584122738</v>
      </c>
      <c r="E16" s="19"/>
      <c r="F16" s="19"/>
      <c r="G16" s="248">
        <f>('Underground cable'!$H$66+'Underground cable'!$I$66)*Assumptions!$D$14</f>
        <v>12530269.128479837</v>
      </c>
      <c r="H16" s="294">
        <v>4746461.5012653954</v>
      </c>
      <c r="I16" s="294">
        <v>3417346.1259490461</v>
      </c>
      <c r="J16" s="294">
        <v>4366461.5012653954</v>
      </c>
      <c r="K16" s="294">
        <v>0</v>
      </c>
      <c r="L16" s="294">
        <v>0</v>
      </c>
      <c r="M16" s="16">
        <f t="shared" si="0"/>
        <v>0</v>
      </c>
      <c r="N16" s="2"/>
      <c r="O16" s="243">
        <f>M16/3</f>
        <v>0</v>
      </c>
      <c r="P16" s="2"/>
      <c r="Q16" s="2"/>
      <c r="R16" s="2"/>
      <c r="S16" s="2"/>
      <c r="T16" s="2"/>
    </row>
    <row r="17" spans="1:69" x14ac:dyDescent="0.2">
      <c r="A17" s="2"/>
      <c r="B17" s="20" t="s">
        <v>1</v>
      </c>
      <c r="C17" s="21"/>
      <c r="D17" s="21"/>
      <c r="E17" s="21"/>
      <c r="F17" s="22"/>
      <c r="G17" s="13">
        <f t="shared" ref="G17:L17" si="1">SUM(G9:G16)</f>
        <v>74471600.09664844</v>
      </c>
      <c r="H17" s="13">
        <f t="shared" si="1"/>
        <v>22177824.585287031</v>
      </c>
      <c r="I17" s="13">
        <f t="shared" si="1"/>
        <v>19667482.1854911</v>
      </c>
      <c r="J17" s="13">
        <f t="shared" si="1"/>
        <v>18461313.463182379</v>
      </c>
      <c r="K17" s="13">
        <f t="shared" si="1"/>
        <v>8412974.5361164622</v>
      </c>
      <c r="L17" s="13">
        <f t="shared" si="1"/>
        <v>5752005.3265714804</v>
      </c>
      <c r="M17" s="16">
        <f t="shared" si="0"/>
        <v>0</v>
      </c>
      <c r="N17" s="2"/>
      <c r="O17" s="2"/>
      <c r="P17" s="2"/>
      <c r="Q17" s="2"/>
      <c r="R17" s="2"/>
      <c r="S17" s="2"/>
    </row>
    <row r="18" spans="1:69" x14ac:dyDescent="0.2">
      <c r="A18" s="2"/>
      <c r="B18" s="2"/>
      <c r="C18" s="2"/>
      <c r="D18" s="2"/>
      <c r="E18" s="2"/>
      <c r="F18" s="2"/>
      <c r="G18" s="4"/>
      <c r="H18" s="4"/>
      <c r="I18" s="4"/>
      <c r="J18" s="4"/>
      <c r="K18" s="4"/>
      <c r="L18" s="4"/>
      <c r="M18" s="2"/>
      <c r="N18" s="2"/>
      <c r="O18" s="2"/>
      <c r="P18" s="2"/>
      <c r="Q18" s="2"/>
      <c r="R18" s="2"/>
      <c r="S18" s="2"/>
      <c r="T18" s="2"/>
    </row>
    <row r="19" spans="1:69" ht="12.75" customHeight="1" x14ac:dyDescent="0.2">
      <c r="A19" s="2"/>
      <c r="B19" s="5"/>
      <c r="C19" s="2"/>
      <c r="D19" s="2"/>
      <c r="E19" s="2"/>
      <c r="F19" s="2"/>
      <c r="G19"/>
      <c r="H19" s="53" t="s">
        <v>19</v>
      </c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2"/>
    </row>
    <row r="20" spans="1:69" x14ac:dyDescent="0.2">
      <c r="B20" s="7" t="s">
        <v>0</v>
      </c>
      <c r="C20" s="8"/>
      <c r="D20" s="8"/>
      <c r="E20" s="8"/>
      <c r="F20" s="8"/>
      <c r="G20" s="8"/>
      <c r="H20" s="23">
        <v>2022</v>
      </c>
      <c r="I20" s="23">
        <v>2023</v>
      </c>
      <c r="J20" s="23">
        <v>2024</v>
      </c>
      <c r="K20" s="23">
        <v>2025</v>
      </c>
      <c r="L20" s="23">
        <v>2026</v>
      </c>
      <c r="M20" s="23">
        <v>2027</v>
      </c>
      <c r="N20" s="23">
        <v>2028</v>
      </c>
      <c r="O20" s="23">
        <v>2029</v>
      </c>
      <c r="P20" s="23">
        <v>2030</v>
      </c>
      <c r="Q20" s="23">
        <v>2031</v>
      </c>
      <c r="R20" s="23">
        <v>2032</v>
      </c>
      <c r="S20" s="23">
        <v>2033</v>
      </c>
      <c r="T20" s="23">
        <v>2034</v>
      </c>
      <c r="U20" s="23">
        <v>2035</v>
      </c>
      <c r="V20" s="23">
        <v>2036</v>
      </c>
      <c r="W20" s="23">
        <v>2037</v>
      </c>
      <c r="X20" s="23">
        <v>2038</v>
      </c>
      <c r="Y20" s="23">
        <v>2039</v>
      </c>
      <c r="Z20" s="23">
        <v>2040</v>
      </c>
      <c r="AA20" s="23">
        <v>2041</v>
      </c>
      <c r="AB20" s="23">
        <v>2042</v>
      </c>
      <c r="AC20" s="23">
        <v>2043</v>
      </c>
      <c r="AD20" s="23">
        <v>2044</v>
      </c>
      <c r="AE20" s="23">
        <v>2045</v>
      </c>
      <c r="AF20" s="23">
        <v>2046</v>
      </c>
      <c r="AG20" s="23">
        <v>2047</v>
      </c>
      <c r="AH20" s="23">
        <v>2048</v>
      </c>
      <c r="AI20" s="23">
        <v>2049</v>
      </c>
      <c r="AJ20" s="23">
        <v>2050</v>
      </c>
      <c r="AK20" s="23">
        <v>2051</v>
      </c>
      <c r="AL20" s="23">
        <v>2052</v>
      </c>
      <c r="AM20" s="23">
        <v>2053</v>
      </c>
      <c r="AN20" s="23">
        <v>2054</v>
      </c>
      <c r="AO20" s="23">
        <v>2055</v>
      </c>
      <c r="AP20" s="23">
        <v>2056</v>
      </c>
      <c r="AQ20" s="23">
        <v>2057</v>
      </c>
      <c r="AR20" s="23">
        <v>2058</v>
      </c>
      <c r="AS20" s="23">
        <v>2059</v>
      </c>
      <c r="AT20" s="23">
        <v>2060</v>
      </c>
      <c r="AU20" s="23">
        <v>2061</v>
      </c>
      <c r="AV20" s="23">
        <v>2062</v>
      </c>
      <c r="AW20" s="23">
        <v>2063</v>
      </c>
      <c r="AX20" s="23">
        <v>2064</v>
      </c>
      <c r="AY20" s="23">
        <v>2065</v>
      </c>
      <c r="AZ20" s="23">
        <v>2066</v>
      </c>
      <c r="BA20" s="23">
        <v>2067</v>
      </c>
      <c r="BB20" s="23">
        <v>2068</v>
      </c>
      <c r="BC20" s="23">
        <v>2069</v>
      </c>
      <c r="BD20" s="23">
        <v>2070</v>
      </c>
      <c r="BE20" s="23">
        <v>2071</v>
      </c>
      <c r="BF20" s="23">
        <v>2072</v>
      </c>
      <c r="BG20" s="23">
        <v>2073</v>
      </c>
      <c r="BH20" s="23">
        <v>2074</v>
      </c>
      <c r="BI20" s="23">
        <v>2075</v>
      </c>
      <c r="BJ20" s="23">
        <v>2076</v>
      </c>
      <c r="BK20" s="23">
        <v>2077</v>
      </c>
      <c r="BL20" s="23">
        <v>2078</v>
      </c>
      <c r="BM20" s="23">
        <v>2079</v>
      </c>
      <c r="BN20" s="23">
        <v>2080</v>
      </c>
      <c r="BO20" s="23">
        <v>2081</v>
      </c>
      <c r="BP20" s="23">
        <v>2082</v>
      </c>
    </row>
    <row r="21" spans="1:69" x14ac:dyDescent="0.2">
      <c r="B21" s="24" t="str">
        <f t="shared" ref="B21:B28" si="2">B9</f>
        <v>PVC grey services (dog-bones)</v>
      </c>
      <c r="C21" s="25"/>
      <c r="D21" s="26"/>
      <c r="E21" s="25"/>
      <c r="F21" s="25"/>
      <c r="G21" s="27"/>
      <c r="H21" s="27">
        <f>$G9/$D9</f>
        <v>216943.55443820127</v>
      </c>
      <c r="I21" s="27">
        <f>MIN($G9/$D9,$G9-SUM($H21:H21))</f>
        <v>216943.55443820127</v>
      </c>
      <c r="J21" s="27">
        <f>MIN($G9/$D9,$G9-SUM($H21:I21))</f>
        <v>216943.55443820127</v>
      </c>
      <c r="K21" s="27">
        <f>MIN($G9/$D9,$G9-SUM($H21:J21))</f>
        <v>216943.55443820127</v>
      </c>
      <c r="L21" s="27">
        <f>MIN($G9/$D9,$G9-SUM($H21:K21))</f>
        <v>216943.55443820127</v>
      </c>
      <c r="M21" s="27">
        <f>MIN($G9/$D9,$G9-SUM($H21:L21))</f>
        <v>216943.55443820127</v>
      </c>
      <c r="N21" s="27">
        <f>MIN($G9/$D9,$G9-SUM($H21:M21))</f>
        <v>216943.55443820127</v>
      </c>
      <c r="O21" s="27">
        <f>MIN($G9/$D9,$G9-SUM($H21:N21))</f>
        <v>216943.55443820127</v>
      </c>
      <c r="P21" s="27">
        <f>MIN($G9/$D9,$G9-SUM($H21:O21))</f>
        <v>216943.55443820127</v>
      </c>
      <c r="Q21" s="27">
        <f>MIN($G9/$D9,$G9-SUM($H21:P21))</f>
        <v>216943.55443820127</v>
      </c>
      <c r="R21" s="27">
        <f>MIN($G9/$D9,$G9-SUM($H21:Q21))</f>
        <v>216943.55443820127</v>
      </c>
      <c r="S21" s="27">
        <f>MIN($G9/$D9,$G9-SUM($H21:R21))</f>
        <v>216943.55443820127</v>
      </c>
      <c r="T21" s="27">
        <f>MIN($G9/$D9,$G9-SUM($H21:S21))</f>
        <v>216943.55443820127</v>
      </c>
      <c r="U21" s="27">
        <f>MIN($G9/$D9,$G9-SUM($H21:T21))</f>
        <v>216943.55443820127</v>
      </c>
      <c r="V21" s="27">
        <f>MIN($G9/$D9,$G9-SUM($H21:U21))</f>
        <v>216943.55443820127</v>
      </c>
      <c r="W21" s="27">
        <f>MIN($G9/$D9,$G9-SUM($H21:V21))</f>
        <v>216943.55443820127</v>
      </c>
      <c r="X21" s="27">
        <f>MIN($G9/$D9,$G9-SUM($H21:W21))</f>
        <v>216943.55443820127</v>
      </c>
      <c r="Y21" s="27">
        <f>MIN($G9/$D9,$G9-SUM($H21:X21))</f>
        <v>216943.55443820127</v>
      </c>
      <c r="Z21" s="27">
        <f>MIN($G9/$D9,$G9-SUM($H21:Y21))</f>
        <v>216943.55443820127</v>
      </c>
      <c r="AA21" s="27">
        <f>MIN($G9/$D9,$G9-SUM($H21:Z21))</f>
        <v>216943.55443820127</v>
      </c>
      <c r="AB21" s="27">
        <f>MIN($G9/$D9,$G9-SUM($H21:AA21))</f>
        <v>216943.55443820127</v>
      </c>
      <c r="AC21" s="27">
        <f>MIN($G9/$D9,$G9-SUM($H21:AB21))</f>
        <v>216943.55443820127</v>
      </c>
      <c r="AD21" s="27">
        <f>MIN($G9/$D9,$G9-SUM($H21:AC21))</f>
        <v>216943.55443820127</v>
      </c>
      <c r="AE21" s="27">
        <f>MIN($G9/$D9,$G9-SUM($H21:AD21))</f>
        <v>216943.55443820127</v>
      </c>
      <c r="AF21" s="27">
        <f>MIN($G9/$D9,$G9-SUM($H21:AE21))</f>
        <v>216943.55443820127</v>
      </c>
      <c r="AG21" s="27">
        <f>MIN($G9/$D9,$G9-SUM($H21:AF21))</f>
        <v>108471.77721909806</v>
      </c>
      <c r="AH21" s="27">
        <f>MIN($G9/$D9,$G9-SUM($H21:AG21))</f>
        <v>0</v>
      </c>
      <c r="AI21" s="27">
        <f>MIN($G9/$D9,$G9-SUM($H21:AH21))</f>
        <v>0</v>
      </c>
      <c r="AJ21" s="27">
        <f>MIN($G9/$D9,$G9-SUM($H21:AI21))</f>
        <v>0</v>
      </c>
      <c r="AK21" s="27">
        <f>MIN($G9/$D9,$G9-SUM($H21:AJ21))</f>
        <v>0</v>
      </c>
      <c r="AL21" s="27">
        <f>MIN($G9/$D9,$G9-SUM($H21:AK21))</f>
        <v>0</v>
      </c>
      <c r="AM21" s="27">
        <f>MIN($G9/$D9,$G9-SUM($H21:AL21))</f>
        <v>0</v>
      </c>
      <c r="AN21" s="27">
        <f>MIN($G9/$D9,$G9-SUM($H21:AM21))</f>
        <v>0</v>
      </c>
      <c r="AO21" s="27">
        <f>MIN($G9/$D9,$G9-SUM($H21:AN21))</f>
        <v>0</v>
      </c>
      <c r="AP21" s="27">
        <f>MIN($G9/$D9,$G9-SUM($H21:AO21))</f>
        <v>0</v>
      </c>
      <c r="AQ21" s="27">
        <f>MIN($G9/$D9,$G9-SUM($H21:AP21))</f>
        <v>0</v>
      </c>
      <c r="AR21" s="27">
        <f>MIN($G9/$D9,$G9-SUM($H21:AQ21))</f>
        <v>0</v>
      </c>
      <c r="AS21" s="27">
        <f>MIN($G9/$D9,$G9-SUM($H21:AR21))</f>
        <v>0</v>
      </c>
      <c r="AT21" s="27">
        <f>MIN($G9/$D9,$G9-SUM($H21:AS21))</f>
        <v>0</v>
      </c>
      <c r="AU21" s="27">
        <f>MIN($G9/$D9,$G9-SUM($H21:AT21))</f>
        <v>0</v>
      </c>
      <c r="AV21" s="27">
        <f>MIN($G9/$D9,$G9-SUM($H21:AU21))</f>
        <v>0</v>
      </c>
      <c r="AW21" s="27">
        <f>MIN($G9/$D9,$G9-SUM($H21:AV21))</f>
        <v>0</v>
      </c>
      <c r="AX21" s="27">
        <f>MIN($G9/$D9,$G9-SUM($H21:AW21))</f>
        <v>0</v>
      </c>
      <c r="AY21" s="27">
        <f>MIN($G9/$D9,$G9-SUM($H21:AX21))</f>
        <v>0</v>
      </c>
      <c r="AZ21" s="27">
        <f>MIN($G9/$D9,$G9-SUM($H21:AY21))</f>
        <v>0</v>
      </c>
      <c r="BA21" s="27">
        <f>MIN($G9/$D9,$G9-SUM($H21:AZ21))</f>
        <v>0</v>
      </c>
      <c r="BB21" s="27">
        <f>MIN($G9/$D9,$G9-SUM($H21:BA21))</f>
        <v>0</v>
      </c>
      <c r="BC21" s="27">
        <f>MIN($G9/$D9,$G9-SUM($H21:BB21))</f>
        <v>0</v>
      </c>
      <c r="BD21" s="27">
        <f>MIN($G9/$D9,$G9-SUM($H21:BC21))</f>
        <v>0</v>
      </c>
      <c r="BE21" s="27">
        <f>MIN($G9/$D9,$G9-SUM($H21:BD21))</f>
        <v>0</v>
      </c>
      <c r="BF21" s="27">
        <f>MIN($G9/$D9,$G9-SUM($H21:BE21))</f>
        <v>0</v>
      </c>
      <c r="BG21" s="27">
        <f>MIN($G9/$D9,$G9-SUM($H21:BF21))</f>
        <v>0</v>
      </c>
      <c r="BH21" s="27">
        <f>MIN($G9/$D9,$G9-SUM($H21:BG21))</f>
        <v>0</v>
      </c>
      <c r="BI21" s="27">
        <f>MIN($G9/$D9,$G9-SUM($H21:BH21))</f>
        <v>0</v>
      </c>
      <c r="BJ21" s="27">
        <f>MIN($G9/$D9,$G9-SUM($H21:BI21))</f>
        <v>0</v>
      </c>
      <c r="BK21" s="27">
        <f>MIN($G9/$D9,$G9-SUM($H21:BJ21))</f>
        <v>0</v>
      </c>
      <c r="BL21" s="27">
        <f>MIN($G9/$D9,$G9-SUM($H21:BK21))</f>
        <v>0</v>
      </c>
      <c r="BM21" s="27">
        <f>MIN($G9/$D9,$G9-SUM($H21:BL21))</f>
        <v>0</v>
      </c>
      <c r="BN21" s="27">
        <f>MIN($G9/$D9,$G9-SUM($H21:BM21))</f>
        <v>0</v>
      </c>
      <c r="BO21" s="27">
        <f>MIN($G9/$D9,$G9-SUM($H21:BN21))</f>
        <v>0</v>
      </c>
      <c r="BP21" s="27">
        <f>MIN($G9/$D9,$G9-SUM($H21:BO21))</f>
        <v>0</v>
      </c>
      <c r="BQ21" s="28">
        <f t="shared" ref="BQ21:BQ29" si="3">ROUND(G9-SUM(H21:BP21),3)</f>
        <v>0</v>
      </c>
    </row>
    <row r="22" spans="1:69" s="9" customFormat="1" x14ac:dyDescent="0.2">
      <c r="A22" s="1"/>
      <c r="B22" s="24" t="str">
        <f t="shared" si="2"/>
        <v>Replacing HV ABC in the LBRA</v>
      </c>
      <c r="C22" s="25"/>
      <c r="D22" s="26"/>
      <c r="E22" s="25"/>
      <c r="F22" s="25"/>
      <c r="G22" s="27"/>
      <c r="H22" s="27">
        <f>$G10/$D10</f>
        <v>83395.040312958663</v>
      </c>
      <c r="I22" s="27">
        <f>MIN($G10/$D10,$G10-SUM($H22:H22))</f>
        <v>83395.040312958663</v>
      </c>
      <c r="J22" s="27">
        <f>MIN($G10/$D10,$G10-SUM($H22:I22))</f>
        <v>83395.040312958663</v>
      </c>
      <c r="K22" s="27">
        <f>MIN($G10/$D10,$G10-SUM($H22:J22))</f>
        <v>83395.040312958663</v>
      </c>
      <c r="L22" s="27">
        <f>MIN($G10/$D10,$G10-SUM($H22:K22))</f>
        <v>83395.040312958663</v>
      </c>
      <c r="M22" s="27">
        <f>MIN($G10/$D10,$G10-SUM($H22:L22))</f>
        <v>83395.040312958663</v>
      </c>
      <c r="N22" s="27">
        <f>MIN($G10/$D10,$G10-SUM($H22:M22))</f>
        <v>83395.040312958663</v>
      </c>
      <c r="O22" s="27">
        <f>MIN($G10/$D10,$G10-SUM($H22:N22))</f>
        <v>83395.040312958663</v>
      </c>
      <c r="P22" s="27">
        <f>MIN($G10/$D10,$G10-SUM($H22:O22))</f>
        <v>83395.040312958663</v>
      </c>
      <c r="Q22" s="27">
        <f>MIN($G10/$D10,$G10-SUM($H22:P22))</f>
        <v>83395.040312958663</v>
      </c>
      <c r="R22" s="27">
        <f>MIN($G10/$D10,$G10-SUM($H22:Q22))</f>
        <v>83395.040312958663</v>
      </c>
      <c r="S22" s="27">
        <f>MIN($G10/$D10,$G10-SUM($H22:R22))</f>
        <v>83395.040312958663</v>
      </c>
      <c r="T22" s="27">
        <f>MIN($G10/$D10,$G10-SUM($H22:S22))</f>
        <v>83395.040312958663</v>
      </c>
      <c r="U22" s="27">
        <f>MIN($G10/$D10,$G10-SUM($H22:T22))</f>
        <v>83395.040312958663</v>
      </c>
      <c r="V22" s="27">
        <f>MIN($G10/$D10,$G10-SUM($H22:U22))</f>
        <v>83395.040312958663</v>
      </c>
      <c r="W22" s="27">
        <f>MIN($G10/$D10,$G10-SUM($H22:V22))</f>
        <v>83395.040312958663</v>
      </c>
      <c r="X22" s="27">
        <f>MIN($G10/$D10,$G10-SUM($H22:W22))</f>
        <v>83395.040312958663</v>
      </c>
      <c r="Y22" s="27">
        <f>MIN($G10/$D10,$G10-SUM($H22:X22))</f>
        <v>83395.040312958663</v>
      </c>
      <c r="Z22" s="27">
        <f>MIN($G10/$D10,$G10-SUM($H22:Y22))</f>
        <v>83395.040312958663</v>
      </c>
      <c r="AA22" s="27">
        <f>MIN($G10/$D10,$G10-SUM($H22:Z22))</f>
        <v>83395.040312958663</v>
      </c>
      <c r="AB22" s="27">
        <f>MIN($G10/$D10,$G10-SUM($H22:AA22))</f>
        <v>83395.040312958663</v>
      </c>
      <c r="AC22" s="27">
        <f>MIN($G10/$D10,$G10-SUM($H22:AB22))</f>
        <v>83395.040312958663</v>
      </c>
      <c r="AD22" s="27">
        <f>MIN($G10/$D10,$G10-SUM($H22:AC22))</f>
        <v>83395.040312958663</v>
      </c>
      <c r="AE22" s="27">
        <f>MIN($G10/$D10,$G10-SUM($H22:AD22))</f>
        <v>83395.040312958663</v>
      </c>
      <c r="AF22" s="27">
        <f>MIN($G10/$D10,$G10-SUM($H22:AE22))</f>
        <v>83395.040312958663</v>
      </c>
      <c r="AG22" s="27">
        <f>MIN($G10/$D10,$G10-SUM($H22:AF22))</f>
        <v>41697.520156479441</v>
      </c>
      <c r="AH22" s="27">
        <f>MIN($G10/$D10,$G10-SUM($H22:AG22))</f>
        <v>0</v>
      </c>
      <c r="AI22" s="27">
        <f>MIN($G10/$D10,$G10-SUM($H22:AH22))</f>
        <v>0</v>
      </c>
      <c r="AJ22" s="27">
        <f>MIN($G10/$D10,$G10-SUM($H22:AI22))</f>
        <v>0</v>
      </c>
      <c r="AK22" s="27">
        <f>MIN($G10/$D10,$G10-SUM($H22:AJ22))</f>
        <v>0</v>
      </c>
      <c r="AL22" s="27">
        <f>MIN($G10/$D10,$G10-SUM($H22:AK22))</f>
        <v>0</v>
      </c>
      <c r="AM22" s="27">
        <f>MIN($G10/$D10,$G10-SUM($H22:AL22))</f>
        <v>0</v>
      </c>
      <c r="AN22" s="27">
        <f>MIN($G10/$D10,$G10-SUM($H22:AM22))</f>
        <v>0</v>
      </c>
      <c r="AO22" s="27">
        <f>MIN($G10/$D10,$G10-SUM($H22:AN22))</f>
        <v>0</v>
      </c>
      <c r="AP22" s="27">
        <f>MIN($G10/$D10,$G10-SUM($H22:AO22))</f>
        <v>0</v>
      </c>
      <c r="AQ22" s="27">
        <f>MIN($G10/$D10,$G10-SUM($H22:AP22))</f>
        <v>0</v>
      </c>
      <c r="AR22" s="27">
        <f>MIN($G10/$D10,$G10-SUM($H22:AQ22))</f>
        <v>0</v>
      </c>
      <c r="AS22" s="27">
        <f>MIN($G10/$D10,$G10-SUM($H22:AR22))</f>
        <v>0</v>
      </c>
      <c r="AT22" s="27">
        <f>MIN($G10/$D10,$G10-SUM($H22:AS22))</f>
        <v>0</v>
      </c>
      <c r="AU22" s="27">
        <f>MIN($G10/$D10,$G10-SUM($H22:AT22))</f>
        <v>0</v>
      </c>
      <c r="AV22" s="27">
        <f>MIN($G10/$D10,$G10-SUM($H22:AU22))</f>
        <v>0</v>
      </c>
      <c r="AW22" s="27">
        <f>MIN($G10/$D10,$G10-SUM($H22:AV22))</f>
        <v>0</v>
      </c>
      <c r="AX22" s="27">
        <f>MIN($G10/$D10,$G10-SUM($H22:AW22))</f>
        <v>0</v>
      </c>
      <c r="AY22" s="27">
        <f>MIN($G10/$D10,$G10-SUM($H22:AX22))</f>
        <v>0</v>
      </c>
      <c r="AZ22" s="27">
        <f>MIN($G10/$D10,$G10-SUM($H22:AY22))</f>
        <v>0</v>
      </c>
      <c r="BA22" s="27">
        <f>MIN($G10/$D10,$G10-SUM($H22:AZ22))</f>
        <v>0</v>
      </c>
      <c r="BB22" s="27">
        <f>MIN($G10/$D10,$G10-SUM($H22:BA22))</f>
        <v>0</v>
      </c>
      <c r="BC22" s="27">
        <f>MIN($G10/$D10,$G10-SUM($H22:BB22))</f>
        <v>0</v>
      </c>
      <c r="BD22" s="27">
        <f>MIN($G10/$D10,$G10-SUM($H22:BC22))</f>
        <v>0</v>
      </c>
      <c r="BE22" s="27">
        <f>MIN($G10/$D10,$G10-SUM($H22:BD22))</f>
        <v>0</v>
      </c>
      <c r="BF22" s="27">
        <f>MIN($G10/$D10,$G10-SUM($H22:BE22))</f>
        <v>0</v>
      </c>
      <c r="BG22" s="27">
        <f>MIN($G10/$D10,$G10-SUM($H22:BF22))</f>
        <v>0</v>
      </c>
      <c r="BH22" s="27">
        <f>MIN($G10/$D10,$G10-SUM($H22:BG22))</f>
        <v>0</v>
      </c>
      <c r="BI22" s="27">
        <f>MIN($G10/$D10,$G10-SUM($H22:BH22))</f>
        <v>0</v>
      </c>
      <c r="BJ22" s="27">
        <f>MIN($G10/$D10,$G10-SUM($H22:BI22))</f>
        <v>0</v>
      </c>
      <c r="BK22" s="27">
        <f>MIN($G10/$D10,$G10-SUM($H22:BJ22))</f>
        <v>0</v>
      </c>
      <c r="BL22" s="27">
        <f>MIN($G10/$D10,$G10-SUM($H22:BK22))</f>
        <v>0</v>
      </c>
      <c r="BM22" s="27">
        <f>MIN($G10/$D10,$G10-SUM($H22:BL22))</f>
        <v>0</v>
      </c>
      <c r="BN22" s="27">
        <f>MIN($G10/$D10,$G10-SUM($H22:BM22))</f>
        <v>0</v>
      </c>
      <c r="BO22" s="27">
        <f>MIN($G10/$D10,$G10-SUM($H22:BN22))</f>
        <v>0</v>
      </c>
      <c r="BP22" s="27">
        <f>MIN($G10/$D10,$G10-SUM($H22:BO22))</f>
        <v>0</v>
      </c>
      <c r="BQ22" s="28">
        <f t="shared" si="3"/>
        <v>0</v>
      </c>
    </row>
    <row r="23" spans="1:69" s="9" customFormat="1" x14ac:dyDescent="0.2">
      <c r="A23" s="1"/>
      <c r="B23" s="24" t="str">
        <f t="shared" si="2"/>
        <v>3G to 5G upgrade (control boxes)</v>
      </c>
      <c r="C23" s="25"/>
      <c r="D23" s="26"/>
      <c r="E23" s="25"/>
      <c r="F23" s="25"/>
      <c r="G23" s="27"/>
      <c r="H23" s="27">
        <f>$G11/$D11</f>
        <v>145065.70096107179</v>
      </c>
      <c r="I23" s="27">
        <f>MIN($G11/$D11,$G11-SUM($H23:H23))</f>
        <v>145065.70096107179</v>
      </c>
      <c r="J23" s="27">
        <f>MIN($G11/$D11,$G11-SUM($H23:I23))</f>
        <v>145065.70096107179</v>
      </c>
      <c r="K23" s="27">
        <f>MIN($G11/$D11,$G11-SUM($H23:J23))</f>
        <v>145065.70096107179</v>
      </c>
      <c r="L23" s="27">
        <f>MIN($G11/$D11,$G11-SUM($H23:K23))</f>
        <v>145065.70096107179</v>
      </c>
      <c r="M23" s="27">
        <f>MIN($G11/$D11,$G11-SUM($H23:L23))</f>
        <v>145065.70096107179</v>
      </c>
      <c r="N23" s="27">
        <f>MIN($G11/$D11,$G11-SUM($H23:M23))</f>
        <v>145065.70096107179</v>
      </c>
      <c r="O23" s="27">
        <f>MIN($G11/$D11,$G11-SUM($H23:N23))</f>
        <v>145065.70096107179</v>
      </c>
      <c r="P23" s="27">
        <f>MIN($G11/$D11,$G11-SUM($H23:O23))</f>
        <v>145065.70096107179</v>
      </c>
      <c r="Q23" s="27">
        <f>MIN($G11/$D11,$G11-SUM($H23:P23))</f>
        <v>145065.70096107179</v>
      </c>
      <c r="R23" s="27">
        <f>MIN($G11/$D11,$G11-SUM($H23:Q23))</f>
        <v>145065.70096107179</v>
      </c>
      <c r="S23" s="27">
        <f>MIN($G11/$D11,$G11-SUM($H23:R23))</f>
        <v>145065.70096107179</v>
      </c>
      <c r="T23" s="27">
        <f>MIN($G11/$D11,$G11-SUM($H23:S23))</f>
        <v>145065.70096107179</v>
      </c>
      <c r="U23" s="27">
        <f>MIN($G11/$D11,$G11-SUM($H23:T23))</f>
        <v>145065.70096107179</v>
      </c>
      <c r="V23" s="27">
        <f>MIN($G11/$D11,$G11-SUM($H23:U23))</f>
        <v>145065.70096107179</v>
      </c>
      <c r="W23" s="27">
        <f>MIN($G11/$D11,$G11-SUM($H23:V23))</f>
        <v>145065.70096107179</v>
      </c>
      <c r="X23" s="27">
        <f>MIN($G11/$D11,$G11-SUM($H23:W23))</f>
        <v>145065.70096107179</v>
      </c>
      <c r="Y23" s="27">
        <f>MIN($G11/$D11,$G11-SUM($H23:X23))</f>
        <v>145065.70096107179</v>
      </c>
      <c r="Z23" s="27">
        <f>MIN($G11/$D11,$G11-SUM($H23:Y23))</f>
        <v>145065.70096107179</v>
      </c>
      <c r="AA23" s="27">
        <f>MIN($G11/$D11,$G11-SUM($H23:Z23))</f>
        <v>145065.70096107179</v>
      </c>
      <c r="AB23" s="27">
        <f>MIN($G11/$D11,$G11-SUM($H23:AA23))</f>
        <v>145065.70096107179</v>
      </c>
      <c r="AC23" s="27">
        <f>MIN($G11/$D11,$G11-SUM($H23:AB23))</f>
        <v>145065.70096107179</v>
      </c>
      <c r="AD23" s="27">
        <f>MIN($G11/$D11,$G11-SUM($H23:AC23))</f>
        <v>145065.70096107179</v>
      </c>
      <c r="AE23" s="27">
        <f>MIN($G11/$D11,$G11-SUM($H23:AD23))</f>
        <v>145065.70096107179</v>
      </c>
      <c r="AF23" s="27">
        <f>MIN($G11/$D11,$G11-SUM($H23:AE23))</f>
        <v>145065.70096107179</v>
      </c>
      <c r="AG23" s="27">
        <f>MIN($G11/$D11,$G11-SUM($H23:AF23))</f>
        <v>145065.70096107179</v>
      </c>
      <c r="AH23" s="27">
        <f>MIN($G11/$D11,$G11-SUM($H23:AG23))</f>
        <v>145065.70096107179</v>
      </c>
      <c r="AI23" s="27">
        <f>MIN($G11/$D11,$G11-SUM($H23:AH23))</f>
        <v>145065.70096107179</v>
      </c>
      <c r="AJ23" s="27">
        <f>MIN($G11/$D11,$G11-SUM($H23:AI23))</f>
        <v>145065.70096107179</v>
      </c>
      <c r="AK23" s="27">
        <f>MIN($G11/$D11,$G11-SUM($H23:AJ23))</f>
        <v>145065.70096107179</v>
      </c>
      <c r="AL23" s="27">
        <f>MIN($G11/$D11,$G11-SUM($H23:AK23))</f>
        <v>145065.70096107179</v>
      </c>
      <c r="AM23" s="27">
        <f>MIN($G11/$D11,$G11-SUM($H23:AL23))</f>
        <v>145065.70096107179</v>
      </c>
      <c r="AN23" s="27">
        <f>MIN($G11/$D11,$G11-SUM($H23:AM23))</f>
        <v>145065.70096107179</v>
      </c>
      <c r="AO23" s="27">
        <f>MIN($G11/$D11,$G11-SUM($H23:AN23))</f>
        <v>145065.70096107179</v>
      </c>
      <c r="AP23" s="27">
        <f>MIN($G11/$D11,$G11-SUM($H23:AO23))</f>
        <v>145065.70096107179</v>
      </c>
      <c r="AQ23" s="27">
        <f>MIN($G11/$D11,$G11-SUM($H23:AP23))</f>
        <v>145065.70096107179</v>
      </c>
      <c r="AR23" s="27">
        <f>MIN($G11/$D11,$G11-SUM($H23:AQ23))</f>
        <v>145065.70096107179</v>
      </c>
      <c r="AS23" s="27">
        <f>MIN($G11/$D11,$G11-SUM($H23:AR23))</f>
        <v>145065.70096107179</v>
      </c>
      <c r="AT23" s="27">
        <f>MIN($G11/$D11,$G11-SUM($H23:AS23))</f>
        <v>145065.70096107179</v>
      </c>
      <c r="AU23" s="27">
        <f>MIN($G11/$D11,$G11-SUM($H23:AT23))</f>
        <v>145065.70096107179</v>
      </c>
      <c r="AV23" s="27">
        <f>MIN($G11/$D11,$G11-SUM($H23:AU23))</f>
        <v>145065.70096107179</v>
      </c>
      <c r="AW23" s="27">
        <f>MIN($G11/$D11,$G11-SUM($H23:AV23))</f>
        <v>145065.70096107179</v>
      </c>
      <c r="AX23" s="27">
        <f>MIN($G11/$D11,$G11-SUM($H23:AW23))</f>
        <v>145065.70096107179</v>
      </c>
      <c r="AY23" s="27">
        <f>MIN($G11/$D11,$G11-SUM($H23:AX23))</f>
        <v>145065.70096107179</v>
      </c>
      <c r="AZ23" s="27">
        <f>MIN($G11/$D11,$G11-SUM($H23:AY23))</f>
        <v>145065.70096107179</v>
      </c>
      <c r="BA23" s="27">
        <f>MIN($G11/$D11,$G11-SUM($H23:AZ23))</f>
        <v>145065.70096106641</v>
      </c>
      <c r="BB23" s="27">
        <f>MIN($G11/$D11,$G11-SUM($H23:BA23))</f>
        <v>0</v>
      </c>
      <c r="BC23" s="27">
        <f>MIN($G11/$D11,$G11-SUM($H23:BB23))</f>
        <v>0</v>
      </c>
      <c r="BD23" s="27">
        <f>MIN($G11/$D11,$G11-SUM($H23:BC23))</f>
        <v>0</v>
      </c>
      <c r="BE23" s="27">
        <f>MIN($G11/$D11,$G11-SUM($H23:BD23))</f>
        <v>0</v>
      </c>
      <c r="BF23" s="27">
        <f>MIN($G11/$D11,$G11-SUM($H23:BE23))</f>
        <v>0</v>
      </c>
      <c r="BG23" s="27">
        <f>MIN($G11/$D11,$G11-SUM($H23:BF23))</f>
        <v>0</v>
      </c>
      <c r="BH23" s="27">
        <f>MIN($G11/$D11,$G11-SUM($H23:BG23))</f>
        <v>0</v>
      </c>
      <c r="BI23" s="27">
        <f>MIN($G11/$D11,$G11-SUM($H23:BH23))</f>
        <v>0</v>
      </c>
      <c r="BJ23" s="27">
        <f>MIN($G11/$D11,$G11-SUM($H23:BI23))</f>
        <v>0</v>
      </c>
      <c r="BK23" s="27">
        <f>MIN($G11/$D11,$G11-SUM($H23:BJ23))</f>
        <v>0</v>
      </c>
      <c r="BL23" s="27">
        <f>MIN($G11/$D11,$G11-SUM($H23:BK23))</f>
        <v>0</v>
      </c>
      <c r="BM23" s="27">
        <f>MIN($G11/$D11,$G11-SUM($H23:BL23))</f>
        <v>0</v>
      </c>
      <c r="BN23" s="27">
        <f>MIN($G11/$D11,$G11-SUM($H23:BM23))</f>
        <v>0</v>
      </c>
      <c r="BO23" s="27">
        <f>MIN($G11/$D11,$G11-SUM($H23:BN23))</f>
        <v>0</v>
      </c>
      <c r="BP23" s="27">
        <f>MIN($G11/$D11,$G11-SUM($H23:BO23))</f>
        <v>0</v>
      </c>
      <c r="BQ23" s="28">
        <f t="shared" si="3"/>
        <v>0</v>
      </c>
    </row>
    <row r="24" spans="1:69" s="9" customFormat="1" x14ac:dyDescent="0.2">
      <c r="A24" s="1"/>
      <c r="B24" s="24" t="str">
        <f t="shared" si="2"/>
        <v>Solar enablement: distribution transformers</v>
      </c>
      <c r="C24" s="25"/>
      <c r="D24" s="26"/>
      <c r="E24" s="25"/>
      <c r="F24" s="25"/>
      <c r="G24" s="27"/>
      <c r="H24" s="27">
        <f>$G12/$D12</f>
        <v>827505.58692952245</v>
      </c>
      <c r="I24" s="27">
        <f>MIN($G12/$D12,$G12-SUM($H24:H24))</f>
        <v>827505.58692952245</v>
      </c>
      <c r="J24" s="27">
        <f>MIN($G12/$D12,$G12-SUM($H24:I24))</f>
        <v>827505.58692952245</v>
      </c>
      <c r="K24" s="27">
        <f>MIN($G12/$D12,$G12-SUM($H24:J24))</f>
        <v>827505.58692952245</v>
      </c>
      <c r="L24" s="27">
        <f>MIN($G12/$D12,$G12-SUM($H24:K24))</f>
        <v>827505.58692952245</v>
      </c>
      <c r="M24" s="27">
        <f>MIN($G12/$D12,$G12-SUM($H24:L24))</f>
        <v>827505.58692952245</v>
      </c>
      <c r="N24" s="27">
        <f>MIN($G12/$D12,$G12-SUM($H24:M24))</f>
        <v>827505.58692952245</v>
      </c>
      <c r="O24" s="27">
        <f>MIN($G12/$D12,$G12-SUM($H24:N24))</f>
        <v>827505.58692952245</v>
      </c>
      <c r="P24" s="27">
        <f>MIN($G12/$D12,$G12-SUM($H24:O24))</f>
        <v>827505.58692952245</v>
      </c>
      <c r="Q24" s="27">
        <f>MIN($G12/$D12,$G12-SUM($H24:P24))</f>
        <v>827505.58692952245</v>
      </c>
      <c r="R24" s="27">
        <f>MIN($G12/$D12,$G12-SUM($H24:Q24))</f>
        <v>827505.58692952245</v>
      </c>
      <c r="S24" s="27">
        <f>MIN($G12/$D12,$G12-SUM($H24:R24))</f>
        <v>827505.58692952245</v>
      </c>
      <c r="T24" s="27">
        <f>MIN($G12/$D12,$G12-SUM($H24:S24))</f>
        <v>827505.58692952245</v>
      </c>
      <c r="U24" s="27">
        <f>MIN($G12/$D12,$G12-SUM($H24:T24))</f>
        <v>827505.58692952245</v>
      </c>
      <c r="V24" s="27">
        <f>MIN($G12/$D12,$G12-SUM($H24:U24))</f>
        <v>827505.58692952245</v>
      </c>
      <c r="W24" s="27">
        <f>MIN($G12/$D12,$G12-SUM($H24:V24))</f>
        <v>827505.58692952245</v>
      </c>
      <c r="X24" s="27">
        <f>MIN($G12/$D12,$G12-SUM($H24:W24))</f>
        <v>827505.58692952245</v>
      </c>
      <c r="Y24" s="27">
        <f>MIN($G12/$D12,$G12-SUM($H24:X24))</f>
        <v>827505.58692952245</v>
      </c>
      <c r="Z24" s="27">
        <f>MIN($G12/$D12,$G12-SUM($H24:Y24))</f>
        <v>827505.58692952245</v>
      </c>
      <c r="AA24" s="27">
        <f>MIN($G12/$D12,$G12-SUM($H24:Z24))</f>
        <v>827505.58692952245</v>
      </c>
      <c r="AB24" s="27">
        <f>MIN($G12/$D12,$G12-SUM($H24:AA24))</f>
        <v>827505.58692952245</v>
      </c>
      <c r="AC24" s="27">
        <f>MIN($G12/$D12,$G12-SUM($H24:AB24))</f>
        <v>827505.58692952245</v>
      </c>
      <c r="AD24" s="27">
        <f>MIN($G12/$D12,$G12-SUM($H24:AC24))</f>
        <v>827505.58692952245</v>
      </c>
      <c r="AE24" s="27">
        <f>MIN($G12/$D12,$G12-SUM($H24:AD24))</f>
        <v>827505.58692952245</v>
      </c>
      <c r="AF24" s="27">
        <f>MIN($G12/$D12,$G12-SUM($H24:AE24))</f>
        <v>827505.58692952245</v>
      </c>
      <c r="AG24" s="27">
        <f>MIN($G12/$D12,$G12-SUM($H24:AF24))</f>
        <v>413752.79346476123</v>
      </c>
      <c r="AH24" s="27">
        <f>MIN($G12/$D12,$G12-SUM($H24:AG24))</f>
        <v>0</v>
      </c>
      <c r="AI24" s="27">
        <f>MIN($G12/$D12,$G12-SUM($H24:AH24))</f>
        <v>0</v>
      </c>
      <c r="AJ24" s="27">
        <f>MIN($G12/$D12,$G12-SUM($H24:AI24))</f>
        <v>0</v>
      </c>
      <c r="AK24" s="27">
        <f>MIN($G12/$D12,$G12-SUM($H24:AJ24))</f>
        <v>0</v>
      </c>
      <c r="AL24" s="27">
        <f>MIN($G12/$D12,$G12-SUM($H24:AK24))</f>
        <v>0</v>
      </c>
      <c r="AM24" s="27">
        <f>MIN($G12/$D12,$G12-SUM($H24:AL24))</f>
        <v>0</v>
      </c>
      <c r="AN24" s="27">
        <f>MIN($G12/$D12,$G12-SUM($H24:AM24))</f>
        <v>0</v>
      </c>
      <c r="AO24" s="27">
        <f>MIN($G12/$D12,$G12-SUM($H24:AN24))</f>
        <v>0</v>
      </c>
      <c r="AP24" s="27">
        <f>MIN($G12/$D12,$G12-SUM($H24:AO24))</f>
        <v>0</v>
      </c>
      <c r="AQ24" s="27">
        <f>MIN($G12/$D12,$G12-SUM($H24:AP24))</f>
        <v>0</v>
      </c>
      <c r="AR24" s="27">
        <f>MIN($G12/$D12,$G12-SUM($H24:AQ24))</f>
        <v>0</v>
      </c>
      <c r="AS24" s="27">
        <f>MIN($G12/$D12,$G12-SUM($H24:AR24))</f>
        <v>0</v>
      </c>
      <c r="AT24" s="27">
        <f>MIN($G12/$D12,$G12-SUM($H24:AS24))</f>
        <v>0</v>
      </c>
      <c r="AU24" s="27">
        <f>MIN($G12/$D12,$G12-SUM($H24:AT24))</f>
        <v>0</v>
      </c>
      <c r="AV24" s="27">
        <f>MIN($G12/$D12,$G12-SUM($H24:AU24))</f>
        <v>0</v>
      </c>
      <c r="AW24" s="27">
        <f>MIN($G12/$D12,$G12-SUM($H24:AV24))</f>
        <v>0</v>
      </c>
      <c r="AX24" s="27">
        <f>MIN($G12/$D12,$G12-SUM($H24:AW24))</f>
        <v>0</v>
      </c>
      <c r="AY24" s="27">
        <f>MIN($G12/$D12,$G12-SUM($H24:AX24))</f>
        <v>0</v>
      </c>
      <c r="AZ24" s="27">
        <f>MIN($G12/$D12,$G12-SUM($H24:AY24))</f>
        <v>0</v>
      </c>
      <c r="BA24" s="27">
        <f>MIN($G12/$D12,$G12-SUM($H24:AZ24))</f>
        <v>0</v>
      </c>
      <c r="BB24" s="27">
        <f>MIN($G12/$D12,$G12-SUM($H24:BA24))</f>
        <v>0</v>
      </c>
      <c r="BC24" s="27">
        <f>MIN($G12/$D12,$G12-SUM($H24:BB24))</f>
        <v>0</v>
      </c>
      <c r="BD24" s="27">
        <f>MIN($G12/$D12,$G12-SUM($H24:BC24))</f>
        <v>0</v>
      </c>
      <c r="BE24" s="27">
        <f>MIN($G12/$D12,$G12-SUM($H24:BD24))</f>
        <v>0</v>
      </c>
      <c r="BF24" s="27">
        <f>MIN($G12/$D12,$G12-SUM($H24:BE24))</f>
        <v>0</v>
      </c>
      <c r="BG24" s="27">
        <f>MIN($G12/$D12,$G12-SUM($H24:BF24))</f>
        <v>0</v>
      </c>
      <c r="BH24" s="27">
        <f>MIN($G12/$D12,$G12-SUM($H24:BG24))</f>
        <v>0</v>
      </c>
      <c r="BI24" s="27">
        <f>MIN($G12/$D12,$G12-SUM($H24:BH24))</f>
        <v>0</v>
      </c>
      <c r="BJ24" s="27">
        <f>MIN($G12/$D12,$G12-SUM($H24:BI24))</f>
        <v>0</v>
      </c>
      <c r="BK24" s="27">
        <f>MIN($G12/$D12,$G12-SUM($H24:BJ24))</f>
        <v>0</v>
      </c>
      <c r="BL24" s="27">
        <f>MIN($G12/$D12,$G12-SUM($H24:BK24))</f>
        <v>0</v>
      </c>
      <c r="BM24" s="27">
        <f>MIN($G12/$D12,$G12-SUM($H24:BL24))</f>
        <v>0</v>
      </c>
      <c r="BN24" s="27">
        <f>MIN($G12/$D12,$G12-SUM($H24:BM24))</f>
        <v>0</v>
      </c>
      <c r="BO24" s="27">
        <f>MIN($G12/$D12,$G12-SUM($H24:BN24))</f>
        <v>0</v>
      </c>
      <c r="BP24" s="27">
        <f>MIN($G12/$D12,$G12-SUM($H24:BO24))</f>
        <v>0</v>
      </c>
      <c r="BQ24" s="28">
        <f t="shared" si="3"/>
        <v>0</v>
      </c>
    </row>
    <row r="25" spans="1:69" s="9" customFormat="1" x14ac:dyDescent="0.2">
      <c r="A25" s="1"/>
      <c r="B25" s="24" t="str">
        <f t="shared" si="2"/>
        <v>T3 REFCL: surge arrestors</v>
      </c>
      <c r="C25" s="25"/>
      <c r="D25" s="26"/>
      <c r="E25" s="25"/>
      <c r="F25" s="25"/>
      <c r="G25" s="27"/>
      <c r="H25" s="27">
        <f>G13/$D13</f>
        <v>334064.21671842318</v>
      </c>
      <c r="I25" s="27">
        <f>MIN($G13/$D13,$G13-SUM($H25:H25))</f>
        <v>334064.21671842318</v>
      </c>
      <c r="J25" s="27">
        <f>MIN($G13/$D13,$G13-SUM($H25:I25))</f>
        <v>334064.21671842318</v>
      </c>
      <c r="K25" s="27">
        <f>MIN($G13/$D13,$G13-SUM($H25:J25))</f>
        <v>334064.21671842318</v>
      </c>
      <c r="L25" s="27">
        <f>MIN($G13/$D13,$G13-SUM($H25:K25))</f>
        <v>334064.21671842318</v>
      </c>
      <c r="M25" s="27">
        <f>MIN($G13/$D13,$G13-SUM($H25:L25))</f>
        <v>334064.21671842318</v>
      </c>
      <c r="N25" s="27">
        <f>MIN($G13/$D13,$G13-SUM($H25:M25))</f>
        <v>334064.21671842318</v>
      </c>
      <c r="O25" s="27">
        <f>MIN($G13/$D13,$G13-SUM($H25:N25))</f>
        <v>334064.21671842318</v>
      </c>
      <c r="P25" s="27">
        <f>MIN($G13/$D13,$G13-SUM($H25:O25))</f>
        <v>334064.21671842318</v>
      </c>
      <c r="Q25" s="27">
        <f>MIN($G13/$D13,$G13-SUM($H25:P25))</f>
        <v>334064.21671842318</v>
      </c>
      <c r="R25" s="27">
        <f>MIN($G13/$D13,$G13-SUM($H25:Q25))</f>
        <v>334064.21671842318</v>
      </c>
      <c r="S25" s="27">
        <f>MIN($G13/$D13,$G13-SUM($H25:R25))</f>
        <v>334064.21671842318</v>
      </c>
      <c r="T25" s="27">
        <f>MIN($G13/$D13,$G13-SUM($H25:S25))</f>
        <v>334064.21671842318</v>
      </c>
      <c r="U25" s="27">
        <f>MIN($G13/$D13,$G13-SUM($H25:T25))</f>
        <v>334064.21671842318</v>
      </c>
      <c r="V25" s="27">
        <f>MIN($G13/$D13,$G13-SUM($H25:U25))</f>
        <v>334064.21671842318</v>
      </c>
      <c r="W25" s="27">
        <f>MIN($G13/$D13,$G13-SUM($H25:V25))</f>
        <v>334064.21671842318</v>
      </c>
      <c r="X25" s="27">
        <f>MIN($G13/$D13,$G13-SUM($H25:W25))</f>
        <v>334064.21671842318</v>
      </c>
      <c r="Y25" s="27">
        <f>MIN($G13/$D13,$G13-SUM($H25:X25))</f>
        <v>334064.21671842318</v>
      </c>
      <c r="Z25" s="27">
        <f>MIN($G13/$D13,$G13-SUM($H25:Y25))</f>
        <v>334064.21671842318</v>
      </c>
      <c r="AA25" s="27">
        <f>MIN($G13/$D13,$G13-SUM($H25:Z25))</f>
        <v>334064.21671842318</v>
      </c>
      <c r="AB25" s="27">
        <f>MIN($G13/$D13,$G13-SUM($H25:AA25))</f>
        <v>334064.21671842318</v>
      </c>
      <c r="AC25" s="27">
        <f>MIN($G13/$D13,$G13-SUM($H25:AB25))</f>
        <v>334064.21671842318</v>
      </c>
      <c r="AD25" s="27">
        <f>MIN($G13/$D13,$G13-SUM($H25:AC25))</f>
        <v>334064.21671842318</v>
      </c>
      <c r="AE25" s="27">
        <f>MIN($G13/$D13,$G13-SUM($H25:AD25))</f>
        <v>334064.21671842318</v>
      </c>
      <c r="AF25" s="27">
        <f>MIN($G13/$D13,$G13-SUM($H25:AE25))</f>
        <v>334064.21671842318</v>
      </c>
      <c r="AG25" s="27">
        <f>MIN($G13/$D13,$G13-SUM($H25:AF25))</f>
        <v>334064.21671842318</v>
      </c>
      <c r="AH25" s="27">
        <f>MIN($G13/$D13,$G13-SUM($H25:AG25))</f>
        <v>334064.21671842318</v>
      </c>
      <c r="AI25" s="27">
        <f>MIN($G13/$D13,$G13-SUM($H25:AH25))</f>
        <v>334064.21671842318</v>
      </c>
      <c r="AJ25" s="27">
        <f>MIN($G13/$D13,$G13-SUM($H25:AI25))</f>
        <v>334064.21671842318</v>
      </c>
      <c r="AK25" s="27">
        <f>MIN($G13/$D13,$G13-SUM($H25:AJ25))</f>
        <v>334064.21671842318</v>
      </c>
      <c r="AL25" s="27">
        <f>MIN($G13/$D13,$G13-SUM($H25:AK25))</f>
        <v>334064.21671842318</v>
      </c>
      <c r="AM25" s="27">
        <f>MIN($G13/$D13,$G13-SUM($H25:AL25))</f>
        <v>287886.11990880594</v>
      </c>
      <c r="AN25" s="27">
        <f>MIN($G13/$D13,$G13-SUM($H25:AM25))</f>
        <v>0</v>
      </c>
      <c r="AO25" s="27">
        <f>MIN($G13/$D13,$G13-SUM($H25:AN25))</f>
        <v>0</v>
      </c>
      <c r="AP25" s="27">
        <f>MIN($G13/$D13,$G13-SUM($H25:AO25))</f>
        <v>0</v>
      </c>
      <c r="AQ25" s="27">
        <f>MIN($G13/$D13,$G13-SUM($H25:AP25))</f>
        <v>0</v>
      </c>
      <c r="AR25" s="27">
        <f>MIN($G13/$D13,$G13-SUM($H25:AQ25))</f>
        <v>0</v>
      </c>
      <c r="AS25" s="27">
        <f>MIN($G13/$D13,$G13-SUM($H25:AR25))</f>
        <v>0</v>
      </c>
      <c r="AT25" s="27">
        <f>MIN($G13/$D13,$G13-SUM($H25:AS25))</f>
        <v>0</v>
      </c>
      <c r="AU25" s="27">
        <f>MIN($G13/$D13,$G13-SUM($H25:AT25))</f>
        <v>0</v>
      </c>
      <c r="AV25" s="27">
        <f>MIN($G13/$D13,$G13-SUM($H25:AU25))</f>
        <v>0</v>
      </c>
      <c r="AW25" s="27">
        <f>MIN($G13/$D13,$G13-SUM($H25:AV25))</f>
        <v>0</v>
      </c>
      <c r="AX25" s="27">
        <f>MIN($G13/$D13,$G13-SUM($H25:AW25))</f>
        <v>0</v>
      </c>
      <c r="AY25" s="27">
        <f>MIN($G13/$D13,$G13-SUM($H25:AX25))</f>
        <v>0</v>
      </c>
      <c r="AZ25" s="27">
        <f>MIN($G13/$D13,$G13-SUM($H25:AY25))</f>
        <v>0</v>
      </c>
      <c r="BA25" s="27">
        <f>MIN($G13/$D13,$G13-SUM($H25:AZ25))</f>
        <v>0</v>
      </c>
      <c r="BB25" s="27">
        <f>MIN($G13/$D13,$G13-SUM($H25:BA25))</f>
        <v>0</v>
      </c>
      <c r="BC25" s="27">
        <f>MIN($G13/$D13,$G13-SUM($H25:BB25))</f>
        <v>0</v>
      </c>
      <c r="BD25" s="27">
        <f>MIN($G13/$D13,$G13-SUM($H25:BC25))</f>
        <v>0</v>
      </c>
      <c r="BE25" s="27">
        <f>MIN($G13/$D13,$G13-SUM($H25:BD25))</f>
        <v>0</v>
      </c>
      <c r="BF25" s="27">
        <f>MIN($G13/$D13,$G13-SUM($H25:BE25))</f>
        <v>0</v>
      </c>
      <c r="BG25" s="27">
        <f>MIN($G13/$D13,$G13-SUM($H25:BF25))</f>
        <v>0</v>
      </c>
      <c r="BH25" s="27">
        <f>MIN($G13/$D13,$G13-SUM($H25:BG25))</f>
        <v>0</v>
      </c>
      <c r="BI25" s="27">
        <f>MIN($G13/$D13,$G13-SUM($H25:BH25))</f>
        <v>0</v>
      </c>
      <c r="BJ25" s="27">
        <f>MIN($G13/$D13,$G13-SUM($H25:BI25))</f>
        <v>0</v>
      </c>
      <c r="BK25" s="27">
        <f>MIN($G13/$D13,$G13-SUM($H25:BJ25))</f>
        <v>0</v>
      </c>
      <c r="BL25" s="27">
        <f>MIN($G13/$D13,$G13-SUM($H25:BK25))</f>
        <v>0</v>
      </c>
      <c r="BM25" s="27">
        <f>MIN($G13/$D13,$G13-SUM($H25:BL25))</f>
        <v>0</v>
      </c>
      <c r="BN25" s="27">
        <f>MIN($G13/$D13,$G13-SUM($H25:BM25))</f>
        <v>0</v>
      </c>
      <c r="BO25" s="27">
        <f>MIN($G13/$D13,$G13-SUM($H25:BN25))</f>
        <v>0</v>
      </c>
      <c r="BP25" s="27">
        <f>MIN($G13/$D13,$G13-SUM($H25:BO25))</f>
        <v>0</v>
      </c>
      <c r="BQ25" s="28">
        <f t="shared" si="3"/>
        <v>0</v>
      </c>
    </row>
    <row r="26" spans="1:69" s="9" customFormat="1" x14ac:dyDescent="0.2">
      <c r="A26" s="1"/>
      <c r="B26" s="24" t="str">
        <f t="shared" si="2"/>
        <v>WPD: surge arrestors</v>
      </c>
      <c r="C26" s="25"/>
      <c r="D26" s="26"/>
      <c r="E26" s="25"/>
      <c r="F26" s="25"/>
      <c r="G26" s="27"/>
      <c r="H26" s="27">
        <f>$G14/$D14</f>
        <v>90105.103751985487</v>
      </c>
      <c r="I26" s="27">
        <f>MIN($G14/$D14,$G14-SUM($H26:H26))</f>
        <v>90105.103751985487</v>
      </c>
      <c r="J26" s="27">
        <f>MIN($G14/$D14,$G14-SUM($H26:I26))</f>
        <v>90105.103751985487</v>
      </c>
      <c r="K26" s="27">
        <f>MIN($G14/$D14,$G14-SUM($H26:J26))</f>
        <v>90105.103751985487</v>
      </c>
      <c r="L26" s="27">
        <f>MIN($G14/$D14,$G14-SUM($H26:K26))</f>
        <v>90105.103751985487</v>
      </c>
      <c r="M26" s="27">
        <f>MIN($G14/$D14,$G14-SUM($H26:L26))</f>
        <v>90105.103751985487</v>
      </c>
      <c r="N26" s="27">
        <f>MIN($G14/$D14,$G14-SUM($H26:M26))</f>
        <v>90105.103751985487</v>
      </c>
      <c r="O26" s="27">
        <f>MIN($G14/$D14,$G14-SUM($H26:N26))</f>
        <v>90105.103751985487</v>
      </c>
      <c r="P26" s="27">
        <f>MIN($G14/$D14,$G14-SUM($H26:O26))</f>
        <v>90105.103751985487</v>
      </c>
      <c r="Q26" s="27">
        <f>MIN($G14/$D14,$G14-SUM($H26:P26))</f>
        <v>90105.103751985487</v>
      </c>
      <c r="R26" s="27">
        <f>MIN($G14/$D14,$G14-SUM($H26:Q26))</f>
        <v>90105.103751985487</v>
      </c>
      <c r="S26" s="27">
        <f>MIN($G14/$D14,$G14-SUM($H26:R26))</f>
        <v>90105.103751985487</v>
      </c>
      <c r="T26" s="27">
        <f>MIN($G14/$D14,$G14-SUM($H26:S26))</f>
        <v>90105.103751985487</v>
      </c>
      <c r="U26" s="27">
        <f>MIN($G14/$D14,$G14-SUM($H26:T26))</f>
        <v>90105.103751985487</v>
      </c>
      <c r="V26" s="27">
        <f>MIN($G14/$D14,$G14-SUM($H26:U26))</f>
        <v>90105.103751985487</v>
      </c>
      <c r="W26" s="27">
        <f>MIN($G14/$D14,$G14-SUM($H26:V26))</f>
        <v>90105.103751985487</v>
      </c>
      <c r="X26" s="27">
        <f>MIN($G14/$D14,$G14-SUM($H26:W26))</f>
        <v>90105.103751985487</v>
      </c>
      <c r="Y26" s="27">
        <f>MIN($G14/$D14,$G14-SUM($H26:X26))</f>
        <v>90105.103751985487</v>
      </c>
      <c r="Z26" s="27">
        <f>MIN($G14/$D14,$G14-SUM($H26:Y26))</f>
        <v>90105.103751985487</v>
      </c>
      <c r="AA26" s="27">
        <f>MIN($G14/$D14,$G14-SUM($H26:Z26))</f>
        <v>90105.103751985487</v>
      </c>
      <c r="AB26" s="27">
        <f>MIN($G14/$D14,$G14-SUM($H26:AA26))</f>
        <v>90105.103751985487</v>
      </c>
      <c r="AC26" s="27">
        <f>MIN($G14/$D14,$G14-SUM($H26:AB26))</f>
        <v>90105.103751985487</v>
      </c>
      <c r="AD26" s="27">
        <f>MIN($G14/$D14,$G14-SUM($H26:AC26))</f>
        <v>90105.103751985487</v>
      </c>
      <c r="AE26" s="27">
        <f>MIN($G14/$D14,$G14-SUM($H26:AD26))</f>
        <v>90105.103751985487</v>
      </c>
      <c r="AF26" s="27">
        <f>MIN($G14/$D14,$G14-SUM($H26:AE26))</f>
        <v>90105.103751985487</v>
      </c>
      <c r="AG26" s="27">
        <f>MIN($G14/$D14,$G14-SUM($H26:AF26))</f>
        <v>90105.103751985487</v>
      </c>
      <c r="AH26" s="27">
        <f>MIN($G14/$D14,$G14-SUM($H26:AG26))</f>
        <v>90105.103751985487</v>
      </c>
      <c r="AI26" s="27">
        <f>MIN($G14/$D14,$G14-SUM($H26:AH26))</f>
        <v>90105.103751985487</v>
      </c>
      <c r="AJ26" s="27">
        <f>MIN($G14/$D14,$G14-SUM($H26:AI26))</f>
        <v>90105.103751985487</v>
      </c>
      <c r="AK26" s="27">
        <f>MIN($G14/$D14,$G14-SUM($H26:AJ26))</f>
        <v>90105.103751985487</v>
      </c>
      <c r="AL26" s="27">
        <f>MIN($G14/$D14,$G14-SUM($H26:AK26))</f>
        <v>90105.103751985487</v>
      </c>
      <c r="AM26" s="27">
        <f>MIN($G14/$D14,$G14-SUM($H26:AL26))</f>
        <v>77649.767335015349</v>
      </c>
      <c r="AN26" s="27">
        <f>MIN($G14/$D14,$G14-SUM($H26:AM26))</f>
        <v>0</v>
      </c>
      <c r="AO26" s="27">
        <f>MIN($G14/$D14,$G14-SUM($H26:AN26))</f>
        <v>0</v>
      </c>
      <c r="AP26" s="27">
        <f>MIN($G14/$D14,$G14-SUM($H26:AO26))</f>
        <v>0</v>
      </c>
      <c r="AQ26" s="27">
        <f>MIN($G14/$D14,$G14-SUM($H26:AP26))</f>
        <v>0</v>
      </c>
      <c r="AR26" s="27">
        <f>MIN($G14/$D14,$G14-SUM($H26:AQ26))</f>
        <v>0</v>
      </c>
      <c r="AS26" s="27">
        <f>MIN($G14/$D14,$G14-SUM($H26:AR26))</f>
        <v>0</v>
      </c>
      <c r="AT26" s="27">
        <f>MIN($G14/$D14,$G14-SUM($H26:AS26))</f>
        <v>0</v>
      </c>
      <c r="AU26" s="27">
        <f>MIN($G14/$D14,$G14-SUM($H26:AT26))</f>
        <v>0</v>
      </c>
      <c r="AV26" s="27">
        <f>MIN($G14/$D14,$G14-SUM($H26:AU26))</f>
        <v>0</v>
      </c>
      <c r="AW26" s="27">
        <f>MIN($G14/$D14,$G14-SUM($H26:AV26))</f>
        <v>0</v>
      </c>
      <c r="AX26" s="27">
        <f>MIN($G14/$D14,$G14-SUM($H26:AW26))</f>
        <v>0</v>
      </c>
      <c r="AY26" s="27">
        <f>MIN($G14/$D14,$G14-SUM($H26:AX26))</f>
        <v>0</v>
      </c>
      <c r="AZ26" s="27">
        <f>MIN($G14/$D14,$G14-SUM($H26:AY26))</f>
        <v>0</v>
      </c>
      <c r="BA26" s="27">
        <f>MIN($G14/$D14,$G14-SUM($H26:AZ26))</f>
        <v>0</v>
      </c>
      <c r="BB26" s="27">
        <f>MIN($G14/$D14,$G14-SUM($H26:BA26))</f>
        <v>0</v>
      </c>
      <c r="BC26" s="27">
        <f>MIN($G14/$D14,$G14-SUM($H26:BB26))</f>
        <v>0</v>
      </c>
      <c r="BD26" s="27">
        <f>MIN($G14/$D14,$G14-SUM($H26:BC26))</f>
        <v>0</v>
      </c>
      <c r="BE26" s="27">
        <f>MIN($G14/$D14,$G14-SUM($H26:BD26))</f>
        <v>0</v>
      </c>
      <c r="BF26" s="27">
        <f>MIN($G14/$D14,$G14-SUM($H26:BE26))</f>
        <v>0</v>
      </c>
      <c r="BG26" s="27">
        <f>MIN($G14/$D14,$G14-SUM($H26:BF26))</f>
        <v>0</v>
      </c>
      <c r="BH26" s="27">
        <f>MIN($G14/$D14,$G14-SUM($H26:BG26))</f>
        <v>0</v>
      </c>
      <c r="BI26" s="27">
        <f>MIN($G14/$D14,$G14-SUM($H26:BH26))</f>
        <v>0</v>
      </c>
      <c r="BJ26" s="27">
        <f>MIN($G14/$D14,$G14-SUM($H26:BI26))</f>
        <v>0</v>
      </c>
      <c r="BK26" s="27">
        <f>MIN($G14/$D14,$G14-SUM($H26:BJ26))</f>
        <v>0</v>
      </c>
      <c r="BL26" s="27">
        <f>MIN($G14/$D14,$G14-SUM($H26:BK26))</f>
        <v>0</v>
      </c>
      <c r="BM26" s="27">
        <f>MIN($G14/$D14,$G14-SUM($H26:BL26))</f>
        <v>0</v>
      </c>
      <c r="BN26" s="27">
        <f>MIN($G14/$D14,$G14-SUM($H26:BM26))</f>
        <v>0</v>
      </c>
      <c r="BO26" s="27">
        <f>MIN($G14/$D14,$G14-SUM($H26:BN26))</f>
        <v>0</v>
      </c>
      <c r="BP26" s="27">
        <f>MIN($G14/$D14,$G14-SUM($H26:BO26))</f>
        <v>0</v>
      </c>
      <c r="BQ26" s="28">
        <f t="shared" si="3"/>
        <v>0</v>
      </c>
    </row>
    <row r="27" spans="1:69" s="9" customFormat="1" x14ac:dyDescent="0.2">
      <c r="A27" s="1"/>
      <c r="B27" s="24" t="str">
        <f t="shared" si="2"/>
        <v>T1-T3 REFCL: ACRs</v>
      </c>
      <c r="C27" s="25"/>
      <c r="D27" s="26"/>
      <c r="E27" s="25"/>
      <c r="F27" s="25"/>
      <c r="G27" s="27"/>
      <c r="H27" s="27">
        <f>$G15/$D15</f>
        <v>311001.05812548613</v>
      </c>
      <c r="I27" s="27">
        <f>MIN($G15/$D15,$G15-SUM($H27:H27))</f>
        <v>311001.05812548613</v>
      </c>
      <c r="J27" s="27">
        <f>MIN($G15/$D15,$G15-SUM($H27:I27))</f>
        <v>311001.05812548613</v>
      </c>
      <c r="K27" s="27">
        <f>MIN($G15/$D15,$G15-SUM($H27:J27))</f>
        <v>311001.05812548613</v>
      </c>
      <c r="L27" s="27">
        <f>MIN($G15/$D15,$G15-SUM($H27:K27))</f>
        <v>311001.05812548613</v>
      </c>
      <c r="M27" s="27">
        <f>MIN($G15/$D15,$G15-SUM($H27:L27))</f>
        <v>311001.05812548613</v>
      </c>
      <c r="N27" s="27">
        <f>MIN($G15/$D15,$G15-SUM($H27:M27))</f>
        <v>311001.05812548613</v>
      </c>
      <c r="O27" s="27">
        <f>MIN($G15/$D15,$G15-SUM($H27:N27))</f>
        <v>311001.05812548613</v>
      </c>
      <c r="P27" s="27">
        <f>MIN($G15/$D15,$G15-SUM($H27:O27))</f>
        <v>311001.05812548613</v>
      </c>
      <c r="Q27" s="27">
        <f>MIN($G15/$D15,$G15-SUM($H27:P27))</f>
        <v>311001.05812548613</v>
      </c>
      <c r="R27" s="27">
        <f>MIN($G15/$D15,$G15-SUM($H27:Q27))</f>
        <v>311001.05812548613</v>
      </c>
      <c r="S27" s="27">
        <f>MIN($G15/$D15,$G15-SUM($H27:R27))</f>
        <v>311001.05812548613</v>
      </c>
      <c r="T27" s="27">
        <f>MIN($G15/$D15,$G15-SUM($H27:S27))</f>
        <v>311001.05812548613</v>
      </c>
      <c r="U27" s="27">
        <f>MIN($G15/$D15,$G15-SUM($H27:T27))</f>
        <v>311001.05812548613</v>
      </c>
      <c r="V27" s="27">
        <f>MIN($G15/$D15,$G15-SUM($H27:U27))</f>
        <v>311001.05812548613</v>
      </c>
      <c r="W27" s="27">
        <f>MIN($G15/$D15,$G15-SUM($H27:V27))</f>
        <v>311001.05812548613</v>
      </c>
      <c r="X27" s="27">
        <f>MIN($G15/$D15,$G15-SUM($H27:W27))</f>
        <v>311001.05812548613</v>
      </c>
      <c r="Y27" s="27">
        <f>MIN($G15/$D15,$G15-SUM($H27:X27))</f>
        <v>311001.05812548613</v>
      </c>
      <c r="Z27" s="27">
        <f>MIN($G15/$D15,$G15-SUM($H27:Y27))</f>
        <v>311001.05812548613</v>
      </c>
      <c r="AA27" s="27">
        <f>MIN($G15/$D15,$G15-SUM($H27:Z27))</f>
        <v>311001.05812548613</v>
      </c>
      <c r="AB27" s="27">
        <f>MIN($G15/$D15,$G15-SUM($H27:AA27))</f>
        <v>311001.05812548613</v>
      </c>
      <c r="AC27" s="27">
        <f>MIN($G15/$D15,$G15-SUM($H27:AB27))</f>
        <v>311001.05812548613</v>
      </c>
      <c r="AD27" s="27">
        <f>MIN($G15/$D15,$G15-SUM($H27:AC27))</f>
        <v>311001.05812548613</v>
      </c>
      <c r="AE27" s="27">
        <f>MIN($G15/$D15,$G15-SUM($H27:AD27))</f>
        <v>311001.05812548613</v>
      </c>
      <c r="AF27" s="27">
        <f>MIN($G15/$D15,$G15-SUM($H27:AE27))</f>
        <v>311001.05812548613</v>
      </c>
      <c r="AG27" s="27">
        <f>MIN($G15/$D15,$G15-SUM($H27:AF27))</f>
        <v>311001.05812548613</v>
      </c>
      <c r="AH27" s="27">
        <f>MIN($G15/$D15,$G15-SUM($H27:AG27))</f>
        <v>311001.05812548613</v>
      </c>
      <c r="AI27" s="27">
        <f>MIN($G15/$D15,$G15-SUM($H27:AH27))</f>
        <v>311001.05812548613</v>
      </c>
      <c r="AJ27" s="27">
        <f>MIN($G15/$D15,$G15-SUM($H27:AI27))</f>
        <v>311001.05812548613</v>
      </c>
      <c r="AK27" s="27">
        <f>MIN($G15/$D15,$G15-SUM($H27:AJ27))</f>
        <v>311001.05812548613</v>
      </c>
      <c r="AL27" s="27">
        <f>MIN($G15/$D15,$G15-SUM($H27:AK27))</f>
        <v>311001.05812548613</v>
      </c>
      <c r="AM27" s="27">
        <f>MIN($G15/$D15,$G15-SUM($H27:AL27))</f>
        <v>311001.05812548613</v>
      </c>
      <c r="AN27" s="27">
        <f>MIN($G15/$D15,$G15-SUM($H27:AM27))</f>
        <v>311001.05812548613</v>
      </c>
      <c r="AO27" s="27">
        <f>MIN($G15/$D15,$G15-SUM($H27:AN27))</f>
        <v>311001.05812548613</v>
      </c>
      <c r="AP27" s="27">
        <f>MIN($G15/$D15,$G15-SUM($H27:AO27))</f>
        <v>311001.05812548613</v>
      </c>
      <c r="AQ27" s="27">
        <f>MIN($G15/$D15,$G15-SUM($H27:AP27))</f>
        <v>311001.05812548613</v>
      </c>
      <c r="AR27" s="27">
        <f>MIN($G15/$D15,$G15-SUM($H27:AQ27))</f>
        <v>311001.05812548613</v>
      </c>
      <c r="AS27" s="27">
        <f>MIN($G15/$D15,$G15-SUM($H27:AR27))</f>
        <v>311001.05812548613</v>
      </c>
      <c r="AT27" s="27">
        <f>MIN($G15/$D15,$G15-SUM($H27:AS27))</f>
        <v>311001.05812548613</v>
      </c>
      <c r="AU27" s="27">
        <f>MIN($G15/$D15,$G15-SUM($H27:AT27))</f>
        <v>311001.05812548613</v>
      </c>
      <c r="AV27" s="27">
        <f>MIN($G15/$D15,$G15-SUM($H27:AU27))</f>
        <v>311001.05812548613</v>
      </c>
      <c r="AW27" s="27">
        <f>MIN($G15/$D15,$G15-SUM($H27:AV27))</f>
        <v>242453.88613047078</v>
      </c>
      <c r="AX27" s="27">
        <f>MIN($G15/$D15,$G15-SUM($H27:AW27))</f>
        <v>0</v>
      </c>
      <c r="AY27" s="27">
        <f>MIN($G15/$D15,$G15-SUM($H27:AX27))</f>
        <v>0</v>
      </c>
      <c r="AZ27" s="27">
        <f>MIN($G15/$D15,$G15-SUM($H27:AY27))</f>
        <v>0</v>
      </c>
      <c r="BA27" s="27">
        <f>MIN($G15/$D15,$G15-SUM($H27:AZ27))</f>
        <v>0</v>
      </c>
      <c r="BB27" s="27">
        <f>MIN($G15/$D15,$G15-SUM($H27:BA27))</f>
        <v>0</v>
      </c>
      <c r="BC27" s="27">
        <f>MIN($G15/$D15,$G15-SUM($H27:BB27))</f>
        <v>0</v>
      </c>
      <c r="BD27" s="27">
        <f>MIN($G15/$D15,$G15-SUM($H27:BC27))</f>
        <v>0</v>
      </c>
      <c r="BE27" s="27">
        <f>MIN($G15/$D15,$G15-SUM($H27:BD27))</f>
        <v>0</v>
      </c>
      <c r="BF27" s="27">
        <f>MIN($G15/$D15,$G15-SUM($H27:BE27))</f>
        <v>0</v>
      </c>
      <c r="BG27" s="27">
        <f>MIN($G15/$D15,$G15-SUM($H27:BF27))</f>
        <v>0</v>
      </c>
      <c r="BH27" s="27">
        <f>MIN($G15/$D15,$G15-SUM($H27:BG27))</f>
        <v>0</v>
      </c>
      <c r="BI27" s="27">
        <f>MIN($G15/$D15,$G15-SUM($H27:BH27))</f>
        <v>0</v>
      </c>
      <c r="BJ27" s="27">
        <f>MIN($G15/$D15,$G15-SUM($H27:BI27))</f>
        <v>0</v>
      </c>
      <c r="BK27" s="27">
        <f>MIN($G15/$D15,$G15-SUM($H27:BJ27))</f>
        <v>0</v>
      </c>
      <c r="BL27" s="27">
        <f>MIN($G15/$D15,$G15-SUM($H27:BK27))</f>
        <v>0</v>
      </c>
      <c r="BM27" s="27">
        <f>MIN($G15/$D15,$G15-SUM($H27:BL27))</f>
        <v>0</v>
      </c>
      <c r="BN27" s="27">
        <f>MIN($G15/$D15,$G15-SUM($H27:BM27))</f>
        <v>0</v>
      </c>
      <c r="BO27" s="27">
        <f>MIN($G15/$D15,$G15-SUM($H27:BN27))</f>
        <v>0</v>
      </c>
      <c r="BP27" s="27">
        <f>MIN($G15/$D15,$G15-SUM($H27:BO27))</f>
        <v>0</v>
      </c>
      <c r="BQ27" s="28">
        <f t="shared" si="3"/>
        <v>0</v>
      </c>
    </row>
    <row r="28" spans="1:69" s="9" customFormat="1" x14ac:dyDescent="0.2">
      <c r="A28" s="1"/>
      <c r="B28" s="24" t="str">
        <f t="shared" si="2"/>
        <v>T1-T3 REFCL: underground cable</v>
      </c>
      <c r="C28" s="25"/>
      <c r="D28" s="26"/>
      <c r="E28" s="25"/>
      <c r="F28" s="25"/>
      <c r="G28" s="27"/>
      <c r="H28" s="27">
        <f>$G16/$D16</f>
        <v>333067.42383771617</v>
      </c>
      <c r="I28" s="27">
        <f>MIN($G16/$D16,$G16-SUM($H28:H28))</f>
        <v>333067.42383771617</v>
      </c>
      <c r="J28" s="27">
        <f>MIN($G16/$D16,$G16-SUM($H28:I28))</f>
        <v>333067.42383771617</v>
      </c>
      <c r="K28" s="27">
        <f>MIN($G16/$D16,$G16-SUM($H28:J28))</f>
        <v>333067.42383771617</v>
      </c>
      <c r="L28" s="27">
        <f>MIN($G16/$D16,$G16-SUM($H28:K28))</f>
        <v>333067.42383771617</v>
      </c>
      <c r="M28" s="27">
        <f>MIN($G16/$D16,$G16-SUM($H28:L28))</f>
        <v>333067.42383771617</v>
      </c>
      <c r="N28" s="27">
        <f>MIN($G16/$D16,$G16-SUM($H28:M28))</f>
        <v>333067.42383771617</v>
      </c>
      <c r="O28" s="27">
        <f>MIN($G16/$D16,$G16-SUM($H28:N28))</f>
        <v>333067.42383771617</v>
      </c>
      <c r="P28" s="27">
        <f>MIN($G16/$D16,$G16-SUM($H28:O28))</f>
        <v>333067.42383771617</v>
      </c>
      <c r="Q28" s="27">
        <f>MIN($G16/$D16,$G16-SUM($H28:P28))</f>
        <v>333067.42383771617</v>
      </c>
      <c r="R28" s="27">
        <f>MIN($G16/$D16,$G16-SUM($H28:Q28))</f>
        <v>333067.42383771617</v>
      </c>
      <c r="S28" s="27">
        <f>MIN($G16/$D16,$G16-SUM($H28:R28))</f>
        <v>333067.42383771617</v>
      </c>
      <c r="T28" s="27">
        <f>MIN($G16/$D16,$G16-SUM($H28:S28))</f>
        <v>333067.42383771617</v>
      </c>
      <c r="U28" s="27">
        <f>MIN($G16/$D16,$G16-SUM($H28:T28))</f>
        <v>333067.42383771617</v>
      </c>
      <c r="V28" s="27">
        <f>MIN($G16/$D16,$G16-SUM($H28:U28))</f>
        <v>333067.42383771617</v>
      </c>
      <c r="W28" s="27">
        <f>MIN($G16/$D16,$G16-SUM($H28:V28))</f>
        <v>333067.42383771617</v>
      </c>
      <c r="X28" s="27">
        <f>MIN($G16/$D16,$G16-SUM($H28:W28))</f>
        <v>333067.42383771617</v>
      </c>
      <c r="Y28" s="27">
        <f>MIN($G16/$D16,$G16-SUM($H28:X28))</f>
        <v>333067.42383771617</v>
      </c>
      <c r="Z28" s="27">
        <f>MIN($G16/$D16,$G16-SUM($H28:Y28))</f>
        <v>333067.42383771617</v>
      </c>
      <c r="AA28" s="27">
        <f>MIN($G16/$D16,$G16-SUM($H28:Z28))</f>
        <v>333067.42383771617</v>
      </c>
      <c r="AB28" s="27">
        <f>MIN($G16/$D16,$G16-SUM($H28:AA28))</f>
        <v>333067.42383771617</v>
      </c>
      <c r="AC28" s="27">
        <f>MIN($G16/$D16,$G16-SUM($H28:AB28))</f>
        <v>333067.42383771617</v>
      </c>
      <c r="AD28" s="27">
        <f>MIN($G16/$D16,$G16-SUM($H28:AC28))</f>
        <v>333067.42383771617</v>
      </c>
      <c r="AE28" s="27">
        <f>MIN($G16/$D16,$G16-SUM($H28:AD28))</f>
        <v>333067.42383771617</v>
      </c>
      <c r="AF28" s="27">
        <f>MIN($G16/$D16,$G16-SUM($H28:AE28))</f>
        <v>333067.42383771617</v>
      </c>
      <c r="AG28" s="27">
        <f>MIN($G16/$D16,$G16-SUM($H28:AF28))</f>
        <v>333067.42383771617</v>
      </c>
      <c r="AH28" s="27">
        <f>MIN($G16/$D16,$G16-SUM($H28:AG28))</f>
        <v>333067.42383771617</v>
      </c>
      <c r="AI28" s="27">
        <f>MIN($G16/$D16,$G16-SUM($H28:AH28))</f>
        <v>333067.42383771617</v>
      </c>
      <c r="AJ28" s="27">
        <f>MIN($G16/$D16,$G16-SUM($H28:AI28))</f>
        <v>333067.42383771617</v>
      </c>
      <c r="AK28" s="27">
        <f>MIN($G16/$D16,$G16-SUM($H28:AJ28))</f>
        <v>333067.42383771617</v>
      </c>
      <c r="AL28" s="27">
        <f>MIN($G16/$D16,$G16-SUM($H28:AK28))</f>
        <v>333067.42383771617</v>
      </c>
      <c r="AM28" s="27">
        <f>MIN($G16/$D16,$G16-SUM($H28:AL28))</f>
        <v>333067.42383771617</v>
      </c>
      <c r="AN28" s="27">
        <f>MIN($G16/$D16,$G16-SUM($H28:AM28))</f>
        <v>333067.42383771617</v>
      </c>
      <c r="AO28" s="27">
        <f>MIN($G16/$D16,$G16-SUM($H28:AN28))</f>
        <v>333067.42383771617</v>
      </c>
      <c r="AP28" s="27">
        <f>MIN($G16/$D16,$G16-SUM($H28:AO28))</f>
        <v>333067.42383771617</v>
      </c>
      <c r="AQ28" s="27">
        <f>MIN($G16/$D16,$G16-SUM($H28:AP28))</f>
        <v>333067.42383771617</v>
      </c>
      <c r="AR28" s="27">
        <f>MIN($G16/$D16,$G16-SUM($H28:AQ28))</f>
        <v>333067.42383771617</v>
      </c>
      <c r="AS28" s="27">
        <f>MIN($G16/$D16,$G16-SUM($H28:AR28))</f>
        <v>206774.44648434781</v>
      </c>
      <c r="AT28" s="27">
        <f>MIN($G16/$D16,$G16-SUM($H28:AS28))</f>
        <v>0</v>
      </c>
      <c r="AU28" s="27">
        <f>MIN($G16/$D16,$G16-SUM($H28:AT28))</f>
        <v>0</v>
      </c>
      <c r="AV28" s="27">
        <f>MIN($G16/$D16,$G16-SUM($H28:AU28))</f>
        <v>0</v>
      </c>
      <c r="AW28" s="27">
        <f>MIN($G16/$D16,$G16-SUM($H28:AV28))</f>
        <v>0</v>
      </c>
      <c r="AX28" s="27">
        <f>MIN($G16/$D16,$G16-SUM($H28:AW28))</f>
        <v>0</v>
      </c>
      <c r="AY28" s="27">
        <f>MIN($G16/$D16,$G16-SUM($H28:AX28))</f>
        <v>0</v>
      </c>
      <c r="AZ28" s="27">
        <f>MIN($G16/$D16,$G16-SUM($H28:AY28))</f>
        <v>0</v>
      </c>
      <c r="BA28" s="27">
        <f>MIN($G16/$D16,$G16-SUM($H28:AZ28))</f>
        <v>0</v>
      </c>
      <c r="BB28" s="27">
        <f>MIN($G16/$D16,$G16-SUM($H28:BA28))</f>
        <v>0</v>
      </c>
      <c r="BC28" s="27">
        <f>MIN($G16/$D16,$G16-SUM($H28:BB28))</f>
        <v>0</v>
      </c>
      <c r="BD28" s="27">
        <f>MIN($G16/$D16,$G16-SUM($H28:BC28))</f>
        <v>0</v>
      </c>
      <c r="BE28" s="27">
        <f>MIN($G16/$D16,$G16-SUM($H28:BD28))</f>
        <v>0</v>
      </c>
      <c r="BF28" s="27">
        <f>MIN($G16/$D16,$G16-SUM($H28:BE28))</f>
        <v>0</v>
      </c>
      <c r="BG28" s="27">
        <f>MIN($G16/$D16,$G16-SUM($H28:BF28))</f>
        <v>0</v>
      </c>
      <c r="BH28" s="27">
        <f>MIN($G16/$D16,$G16-SUM($H28:BG28))</f>
        <v>0</v>
      </c>
      <c r="BI28" s="27">
        <f>MIN($G16/$D16,$G16-SUM($H28:BH28))</f>
        <v>0</v>
      </c>
      <c r="BJ28" s="27">
        <f>MIN($G16/$D16,$G16-SUM($H28:BI28))</f>
        <v>0</v>
      </c>
      <c r="BK28" s="27">
        <f>MIN($G16/$D16,$G16-SUM($H28:BJ28))</f>
        <v>0</v>
      </c>
      <c r="BL28" s="27">
        <f>MIN($G16/$D16,$G16-SUM($H28:BK28))</f>
        <v>0</v>
      </c>
      <c r="BM28" s="27">
        <f>MIN($G16/$D16,$G16-SUM($H28:BL28))</f>
        <v>0</v>
      </c>
      <c r="BN28" s="27">
        <f>MIN($G16/$D16,$G16-SUM($H28:BM28))</f>
        <v>0</v>
      </c>
      <c r="BO28" s="27">
        <f>MIN($G16/$D16,$G16-SUM($H28:BN28))</f>
        <v>0</v>
      </c>
      <c r="BP28" s="27">
        <f>MIN($G16/$D16,$G16-SUM($H28:BO28))</f>
        <v>0</v>
      </c>
      <c r="BQ28" s="28">
        <f t="shared" si="3"/>
        <v>0</v>
      </c>
    </row>
    <row r="29" spans="1:69" s="35" customFormat="1" x14ac:dyDescent="0.2">
      <c r="A29" s="29"/>
      <c r="B29" s="30" t="s">
        <v>18</v>
      </c>
      <c r="C29" s="31"/>
      <c r="D29" s="32"/>
      <c r="E29" s="31"/>
      <c r="F29" s="31"/>
      <c r="G29" s="33"/>
      <c r="H29" s="33">
        <f>SUM(H21:H28)</f>
        <v>2341147.685075365</v>
      </c>
      <c r="I29" s="33">
        <f t="shared" ref="I29:AF29" si="4">SUM(I21:I28)</f>
        <v>2341147.685075365</v>
      </c>
      <c r="J29" s="33">
        <f t="shared" si="4"/>
        <v>2341147.685075365</v>
      </c>
      <c r="K29" s="33">
        <f t="shared" si="4"/>
        <v>2341147.685075365</v>
      </c>
      <c r="L29" s="33">
        <f t="shared" si="4"/>
        <v>2341147.685075365</v>
      </c>
      <c r="M29" s="33">
        <f t="shared" si="4"/>
        <v>2341147.685075365</v>
      </c>
      <c r="N29" s="33">
        <f t="shared" si="4"/>
        <v>2341147.685075365</v>
      </c>
      <c r="O29" s="33">
        <f t="shared" si="4"/>
        <v>2341147.685075365</v>
      </c>
      <c r="P29" s="33">
        <f t="shared" si="4"/>
        <v>2341147.685075365</v>
      </c>
      <c r="Q29" s="33">
        <f t="shared" si="4"/>
        <v>2341147.685075365</v>
      </c>
      <c r="R29" s="33">
        <f t="shared" si="4"/>
        <v>2341147.685075365</v>
      </c>
      <c r="S29" s="33">
        <f t="shared" si="4"/>
        <v>2341147.685075365</v>
      </c>
      <c r="T29" s="33">
        <f t="shared" si="4"/>
        <v>2341147.685075365</v>
      </c>
      <c r="U29" s="33">
        <f t="shared" si="4"/>
        <v>2341147.685075365</v>
      </c>
      <c r="V29" s="33">
        <f t="shared" si="4"/>
        <v>2341147.685075365</v>
      </c>
      <c r="W29" s="33">
        <f t="shared" si="4"/>
        <v>2341147.685075365</v>
      </c>
      <c r="X29" s="33">
        <f t="shared" si="4"/>
        <v>2341147.685075365</v>
      </c>
      <c r="Y29" s="33">
        <f t="shared" si="4"/>
        <v>2341147.685075365</v>
      </c>
      <c r="Z29" s="33">
        <f t="shared" si="4"/>
        <v>2341147.685075365</v>
      </c>
      <c r="AA29" s="33">
        <f t="shared" si="4"/>
        <v>2341147.685075365</v>
      </c>
      <c r="AB29" s="33">
        <f t="shared" si="4"/>
        <v>2341147.685075365</v>
      </c>
      <c r="AC29" s="33">
        <f t="shared" si="4"/>
        <v>2341147.685075365</v>
      </c>
      <c r="AD29" s="33">
        <f t="shared" si="4"/>
        <v>2341147.685075365</v>
      </c>
      <c r="AE29" s="33">
        <f t="shared" si="4"/>
        <v>2341147.685075365</v>
      </c>
      <c r="AF29" s="33">
        <f t="shared" si="4"/>
        <v>2341147.685075365</v>
      </c>
      <c r="AG29" s="33">
        <f t="shared" ref="AG29:BP29" si="5">SUM(AG21:AG28)</f>
        <v>1777225.5942350216</v>
      </c>
      <c r="AH29" s="33">
        <f t="shared" si="5"/>
        <v>1213303.5033946827</v>
      </c>
      <c r="AI29" s="33">
        <f t="shared" si="5"/>
        <v>1213303.5033946827</v>
      </c>
      <c r="AJ29" s="33">
        <f t="shared" si="5"/>
        <v>1213303.5033946827</v>
      </c>
      <c r="AK29" s="33">
        <f t="shared" si="5"/>
        <v>1213303.5033946827</v>
      </c>
      <c r="AL29" s="33">
        <f t="shared" si="5"/>
        <v>1213303.5033946827</v>
      </c>
      <c r="AM29" s="33">
        <f t="shared" si="5"/>
        <v>1154670.0701680954</v>
      </c>
      <c r="AN29" s="33">
        <f t="shared" si="5"/>
        <v>789134.18292427412</v>
      </c>
      <c r="AO29" s="33">
        <f t="shared" si="5"/>
        <v>789134.18292427412</v>
      </c>
      <c r="AP29" s="33">
        <f t="shared" si="5"/>
        <v>789134.18292427412</v>
      </c>
      <c r="AQ29" s="33">
        <f t="shared" si="5"/>
        <v>789134.18292427412</v>
      </c>
      <c r="AR29" s="33">
        <f t="shared" si="5"/>
        <v>789134.18292427412</v>
      </c>
      <c r="AS29" s="33">
        <f t="shared" si="5"/>
        <v>662841.2055709057</v>
      </c>
      <c r="AT29" s="33">
        <f t="shared" si="5"/>
        <v>456066.7590865579</v>
      </c>
      <c r="AU29" s="33">
        <f t="shared" si="5"/>
        <v>456066.7590865579</v>
      </c>
      <c r="AV29" s="33">
        <f t="shared" si="5"/>
        <v>456066.7590865579</v>
      </c>
      <c r="AW29" s="33">
        <f t="shared" si="5"/>
        <v>387519.58709154255</v>
      </c>
      <c r="AX29" s="33">
        <f t="shared" si="5"/>
        <v>145065.70096107179</v>
      </c>
      <c r="AY29" s="33">
        <f t="shared" si="5"/>
        <v>145065.70096107179</v>
      </c>
      <c r="AZ29" s="33">
        <f t="shared" si="5"/>
        <v>145065.70096107179</v>
      </c>
      <c r="BA29" s="33">
        <f t="shared" si="5"/>
        <v>145065.70096106641</v>
      </c>
      <c r="BB29" s="33">
        <f t="shared" si="5"/>
        <v>0</v>
      </c>
      <c r="BC29" s="33">
        <f t="shared" si="5"/>
        <v>0</v>
      </c>
      <c r="BD29" s="33">
        <f t="shared" si="5"/>
        <v>0</v>
      </c>
      <c r="BE29" s="33">
        <f t="shared" si="5"/>
        <v>0</v>
      </c>
      <c r="BF29" s="33">
        <f t="shared" si="5"/>
        <v>0</v>
      </c>
      <c r="BG29" s="33">
        <f t="shared" si="5"/>
        <v>0</v>
      </c>
      <c r="BH29" s="33">
        <f t="shared" si="5"/>
        <v>0</v>
      </c>
      <c r="BI29" s="33">
        <f t="shared" si="5"/>
        <v>0</v>
      </c>
      <c r="BJ29" s="33">
        <f t="shared" si="5"/>
        <v>0</v>
      </c>
      <c r="BK29" s="33">
        <f t="shared" si="5"/>
        <v>0</v>
      </c>
      <c r="BL29" s="33">
        <f t="shared" si="5"/>
        <v>0</v>
      </c>
      <c r="BM29" s="33">
        <f t="shared" si="5"/>
        <v>0</v>
      </c>
      <c r="BN29" s="33">
        <f t="shared" si="5"/>
        <v>0</v>
      </c>
      <c r="BO29" s="33">
        <f t="shared" si="5"/>
        <v>0</v>
      </c>
      <c r="BP29" s="33">
        <f t="shared" si="5"/>
        <v>0</v>
      </c>
      <c r="BQ29" s="34">
        <f t="shared" si="3"/>
        <v>0</v>
      </c>
    </row>
    <row r="30" spans="1:69" s="9" customFormat="1" x14ac:dyDescent="0.2">
      <c r="A30" s="1"/>
      <c r="B30" s="1"/>
      <c r="C30" s="1"/>
      <c r="D30" s="1"/>
      <c r="E30" s="1"/>
      <c r="F30" s="1"/>
      <c r="G30" s="6"/>
      <c r="H30" s="6"/>
      <c r="I30" s="6"/>
      <c r="J30" s="6"/>
      <c r="K30" s="6"/>
      <c r="L30" s="6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69" s="9" customFormat="1" x14ac:dyDescent="0.2">
      <c r="A31" s="1"/>
      <c r="B31" s="1"/>
      <c r="C31" s="1"/>
      <c r="D31" s="1"/>
      <c r="E31" s="1"/>
      <c r="F31" s="1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</row>
    <row r="32" spans="1:69" x14ac:dyDescent="0.2"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</row>
    <row r="33" spans="7:69" x14ac:dyDescent="0.2"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</row>
    <row r="34" spans="7:69" x14ac:dyDescent="0.2"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</row>
    <row r="35" spans="7:69" x14ac:dyDescent="0.2">
      <c r="G35" s="242"/>
      <c r="H35" s="242"/>
      <c r="I35" s="242"/>
      <c r="J35" s="242"/>
      <c r="K35" s="242"/>
      <c r="L35" s="242"/>
      <c r="M35" s="242"/>
      <c r="N35" s="242"/>
      <c r="O35" s="242"/>
      <c r="P35" s="242"/>
      <c r="Q35" s="242"/>
      <c r="R35" s="242"/>
      <c r="S35" s="242"/>
      <c r="T35" s="242"/>
      <c r="U35" s="242"/>
      <c r="V35" s="242"/>
      <c r="W35" s="242"/>
      <c r="X35" s="242"/>
      <c r="Y35" s="242"/>
      <c r="Z35" s="242"/>
      <c r="AA35" s="242"/>
      <c r="AB35" s="242"/>
      <c r="AC35" s="242"/>
      <c r="AD35" s="242"/>
      <c r="AE35" s="242"/>
      <c r="AF35" s="242"/>
      <c r="AG35" s="242"/>
      <c r="AH35" s="242"/>
      <c r="AI35" s="242"/>
      <c r="AJ35" s="242"/>
      <c r="AK35" s="242"/>
      <c r="AL35" s="242"/>
      <c r="AM35" s="242"/>
      <c r="AN35" s="242"/>
      <c r="AO35" s="242"/>
      <c r="AP35" s="242"/>
      <c r="AQ35" s="242"/>
      <c r="AR35" s="242"/>
      <c r="AS35" s="242"/>
      <c r="AT35" s="242"/>
      <c r="AU35" s="242"/>
      <c r="AV35" s="242"/>
      <c r="AW35" s="242"/>
      <c r="AX35" s="242"/>
      <c r="AY35" s="242"/>
      <c r="AZ35" s="242"/>
      <c r="BA35" s="242"/>
      <c r="BB35" s="242"/>
      <c r="BC35" s="242"/>
      <c r="BD35" s="242"/>
      <c r="BE35" s="242"/>
      <c r="BF35" s="242"/>
      <c r="BG35" s="242"/>
      <c r="BH35" s="242"/>
      <c r="BI35" s="242"/>
      <c r="BJ35" s="242"/>
      <c r="BK35" s="242"/>
      <c r="BL35" s="242"/>
      <c r="BM35" s="242"/>
      <c r="BN35" s="242"/>
      <c r="BO35" s="242"/>
      <c r="BP35" s="242"/>
      <c r="BQ35" s="242"/>
    </row>
    <row r="36" spans="7:69" x14ac:dyDescent="0.2">
      <c r="G36" s="242"/>
      <c r="H36" s="242"/>
      <c r="I36" s="242"/>
      <c r="J36" s="242"/>
      <c r="K36" s="242"/>
      <c r="L36" s="242"/>
      <c r="M36" s="242"/>
      <c r="N36" s="242"/>
      <c r="O36" s="242"/>
      <c r="P36" s="242"/>
      <c r="Q36" s="242"/>
      <c r="R36" s="242"/>
      <c r="S36" s="242"/>
      <c r="T36" s="242"/>
      <c r="U36" s="242"/>
      <c r="V36" s="242"/>
      <c r="W36" s="242"/>
      <c r="X36" s="242"/>
      <c r="Y36" s="242"/>
      <c r="Z36" s="242"/>
      <c r="AA36" s="242"/>
      <c r="AB36" s="242"/>
      <c r="AC36" s="242"/>
      <c r="AD36" s="242"/>
      <c r="AE36" s="242"/>
      <c r="AF36" s="242"/>
      <c r="AG36" s="242"/>
      <c r="AH36" s="242"/>
      <c r="AI36" s="242"/>
      <c r="AJ36" s="242"/>
      <c r="AK36" s="242"/>
      <c r="AL36" s="242"/>
      <c r="AM36" s="242"/>
      <c r="AN36" s="242"/>
      <c r="AO36" s="242"/>
      <c r="AP36" s="242"/>
      <c r="AQ36" s="242"/>
      <c r="AR36" s="242"/>
      <c r="AS36" s="242"/>
      <c r="AT36" s="242"/>
      <c r="AU36" s="242"/>
      <c r="AV36" s="242"/>
      <c r="AW36" s="242"/>
      <c r="AX36" s="242"/>
      <c r="AY36" s="242"/>
      <c r="AZ36" s="242"/>
      <c r="BA36" s="242"/>
      <c r="BB36" s="242"/>
      <c r="BC36" s="242"/>
      <c r="BD36" s="242"/>
      <c r="BE36" s="242"/>
      <c r="BF36" s="242"/>
      <c r="BG36" s="242"/>
      <c r="BH36" s="242"/>
      <c r="BI36" s="242"/>
      <c r="BJ36" s="242"/>
      <c r="BK36" s="242"/>
      <c r="BL36" s="242"/>
      <c r="BM36" s="242"/>
      <c r="BN36" s="242"/>
      <c r="BO36" s="242"/>
      <c r="BP36" s="242"/>
      <c r="BQ36" s="242"/>
    </row>
    <row r="37" spans="7:69" x14ac:dyDescent="0.2">
      <c r="G37" s="242"/>
      <c r="H37" s="242"/>
      <c r="I37" s="242"/>
      <c r="J37" s="242"/>
      <c r="K37" s="242"/>
      <c r="L37" s="242"/>
      <c r="M37" s="242"/>
      <c r="N37" s="242"/>
      <c r="O37" s="242"/>
      <c r="P37" s="242"/>
      <c r="Q37" s="242"/>
      <c r="R37" s="242"/>
      <c r="S37" s="242"/>
      <c r="T37" s="242"/>
      <c r="U37" s="242"/>
      <c r="V37" s="242"/>
      <c r="W37" s="242"/>
      <c r="X37" s="242"/>
      <c r="Y37" s="242"/>
      <c r="Z37" s="242"/>
      <c r="AA37" s="242"/>
      <c r="AB37" s="242"/>
      <c r="AC37" s="242"/>
      <c r="AD37" s="242"/>
      <c r="AE37" s="242"/>
      <c r="AF37" s="242"/>
      <c r="AG37" s="242"/>
      <c r="AH37" s="242"/>
      <c r="AI37" s="242"/>
      <c r="AJ37" s="242"/>
      <c r="AK37" s="242"/>
      <c r="AL37" s="242"/>
      <c r="AM37" s="242"/>
      <c r="AN37" s="242"/>
      <c r="AO37" s="242"/>
      <c r="AP37" s="242"/>
      <c r="AQ37" s="242"/>
      <c r="AR37" s="242"/>
      <c r="AS37" s="242"/>
      <c r="AT37" s="242"/>
      <c r="AU37" s="242"/>
      <c r="AV37" s="242"/>
      <c r="AW37" s="242"/>
      <c r="AX37" s="242"/>
      <c r="AY37" s="242"/>
      <c r="AZ37" s="242"/>
      <c r="BA37" s="242"/>
      <c r="BB37" s="242"/>
      <c r="BC37" s="242"/>
      <c r="BD37" s="242"/>
      <c r="BE37" s="242"/>
      <c r="BF37" s="242"/>
      <c r="BG37" s="242"/>
      <c r="BH37" s="242"/>
      <c r="BI37" s="242"/>
      <c r="BJ37" s="242"/>
      <c r="BK37" s="242"/>
      <c r="BL37" s="242"/>
      <c r="BM37" s="242"/>
      <c r="BN37" s="242"/>
      <c r="BO37" s="242"/>
      <c r="BP37" s="242"/>
      <c r="BQ37" s="242"/>
    </row>
    <row r="38" spans="7:69" x14ac:dyDescent="0.2">
      <c r="G38" s="242"/>
      <c r="H38" s="242"/>
      <c r="I38" s="242"/>
      <c r="J38" s="242"/>
      <c r="K38" s="242"/>
      <c r="L38" s="242"/>
      <c r="M38" s="242"/>
      <c r="N38" s="242"/>
      <c r="O38" s="242"/>
      <c r="P38" s="242"/>
      <c r="Q38" s="242"/>
      <c r="R38" s="242"/>
      <c r="S38" s="242"/>
      <c r="T38" s="242"/>
      <c r="U38" s="242"/>
      <c r="V38" s="242"/>
      <c r="W38" s="242"/>
      <c r="X38" s="242"/>
      <c r="Y38" s="242"/>
      <c r="Z38" s="242"/>
      <c r="AA38" s="242"/>
      <c r="AB38" s="242"/>
      <c r="AC38" s="242"/>
      <c r="AD38" s="242"/>
      <c r="AE38" s="242"/>
      <c r="AF38" s="242"/>
      <c r="AG38" s="242"/>
      <c r="AH38" s="242"/>
      <c r="AI38" s="242"/>
      <c r="AJ38" s="242"/>
      <c r="AK38" s="242"/>
      <c r="AL38" s="242"/>
      <c r="AM38" s="242"/>
      <c r="AN38" s="242"/>
      <c r="AO38" s="242"/>
      <c r="AP38" s="242"/>
      <c r="AQ38" s="242"/>
      <c r="AR38" s="242"/>
      <c r="AS38" s="242"/>
      <c r="AT38" s="242"/>
      <c r="AU38" s="242"/>
      <c r="AV38" s="242"/>
      <c r="AW38" s="242"/>
      <c r="AX38" s="242"/>
      <c r="AY38" s="242"/>
      <c r="AZ38" s="242"/>
      <c r="BA38" s="242"/>
      <c r="BB38" s="242"/>
      <c r="BC38" s="242"/>
      <c r="BD38" s="242"/>
      <c r="BE38" s="242"/>
      <c r="BF38" s="242"/>
      <c r="BG38" s="242"/>
      <c r="BH38" s="242"/>
      <c r="BI38" s="242"/>
      <c r="BJ38" s="242"/>
      <c r="BK38" s="242"/>
      <c r="BL38" s="242"/>
      <c r="BM38" s="242"/>
      <c r="BN38" s="242"/>
      <c r="BO38" s="242"/>
      <c r="BP38" s="242"/>
      <c r="BQ38" s="242"/>
    </row>
    <row r="39" spans="7:69" x14ac:dyDescent="0.2">
      <c r="G39" s="242"/>
      <c r="H39" s="242"/>
      <c r="I39" s="242"/>
      <c r="J39" s="242"/>
      <c r="K39" s="242"/>
      <c r="L39" s="242"/>
      <c r="M39" s="242"/>
      <c r="N39" s="242"/>
      <c r="O39" s="242"/>
      <c r="P39" s="242"/>
      <c r="Q39" s="242"/>
      <c r="R39" s="242"/>
      <c r="S39" s="242"/>
      <c r="T39" s="242"/>
      <c r="U39" s="242"/>
      <c r="V39" s="242"/>
      <c r="W39" s="242"/>
      <c r="X39" s="242"/>
      <c r="Y39" s="242"/>
      <c r="Z39" s="242"/>
      <c r="AA39" s="242"/>
      <c r="AB39" s="242"/>
      <c r="AC39" s="242"/>
      <c r="AD39" s="242"/>
      <c r="AE39" s="242"/>
      <c r="AF39" s="242"/>
      <c r="AG39" s="242"/>
      <c r="AH39" s="242"/>
      <c r="AI39" s="242"/>
      <c r="AJ39" s="242"/>
      <c r="AK39" s="242"/>
      <c r="AL39" s="242"/>
      <c r="AM39" s="242"/>
      <c r="AN39" s="242"/>
      <c r="AO39" s="242"/>
      <c r="AP39" s="242"/>
      <c r="AQ39" s="242"/>
      <c r="AR39" s="242"/>
      <c r="AS39" s="242"/>
      <c r="AT39" s="242"/>
      <c r="AU39" s="242"/>
      <c r="AV39" s="242"/>
      <c r="AW39" s="242"/>
      <c r="AX39" s="242"/>
      <c r="AY39" s="242"/>
      <c r="AZ39" s="242"/>
      <c r="BA39" s="242"/>
      <c r="BB39" s="242"/>
      <c r="BC39" s="242"/>
      <c r="BD39" s="242"/>
      <c r="BE39" s="242"/>
      <c r="BF39" s="242"/>
      <c r="BG39" s="242"/>
      <c r="BH39" s="242"/>
      <c r="BI39" s="242"/>
      <c r="BJ39" s="242"/>
      <c r="BK39" s="242"/>
      <c r="BL39" s="242"/>
      <c r="BM39" s="242"/>
      <c r="BN39" s="242"/>
      <c r="BO39" s="242"/>
      <c r="BP39" s="242"/>
      <c r="BQ39" s="242"/>
    </row>
    <row r="40" spans="7:69" x14ac:dyDescent="0.2">
      <c r="G40" s="242"/>
      <c r="H40" s="242"/>
      <c r="I40" s="242"/>
      <c r="J40" s="242"/>
      <c r="K40" s="242"/>
      <c r="L40" s="242"/>
      <c r="M40" s="242"/>
      <c r="N40" s="242"/>
      <c r="O40" s="242"/>
      <c r="P40" s="242"/>
      <c r="Q40" s="242"/>
      <c r="R40" s="242"/>
      <c r="S40" s="242"/>
      <c r="T40" s="242"/>
      <c r="U40" s="242"/>
      <c r="V40" s="242"/>
      <c r="W40" s="242"/>
      <c r="X40" s="242"/>
      <c r="Y40" s="242"/>
      <c r="Z40" s="242"/>
      <c r="AA40" s="242"/>
      <c r="AB40" s="242"/>
      <c r="AC40" s="242"/>
      <c r="AD40" s="242"/>
      <c r="AE40" s="242"/>
      <c r="AF40" s="242"/>
      <c r="AG40" s="242"/>
      <c r="AH40" s="242"/>
      <c r="AI40" s="242"/>
      <c r="AJ40" s="242"/>
      <c r="AK40" s="242"/>
      <c r="AL40" s="242"/>
      <c r="AM40" s="242"/>
      <c r="AN40" s="242"/>
      <c r="AO40" s="242"/>
      <c r="AP40" s="242"/>
      <c r="AQ40" s="242"/>
      <c r="AR40" s="242"/>
      <c r="AS40" s="242"/>
      <c r="AT40" s="242"/>
      <c r="AU40" s="242"/>
      <c r="AV40" s="242"/>
      <c r="AW40" s="242"/>
      <c r="AX40" s="242"/>
      <c r="AY40" s="242"/>
      <c r="AZ40" s="242"/>
      <c r="BA40" s="242"/>
      <c r="BB40" s="242"/>
      <c r="BC40" s="242"/>
      <c r="BD40" s="242"/>
      <c r="BE40" s="242"/>
      <c r="BF40" s="242"/>
      <c r="BG40" s="242"/>
      <c r="BH40" s="242"/>
      <c r="BI40" s="242"/>
      <c r="BJ40" s="242"/>
      <c r="BK40" s="242"/>
      <c r="BL40" s="242"/>
      <c r="BM40" s="242"/>
      <c r="BN40" s="242"/>
      <c r="BO40" s="242"/>
      <c r="BP40" s="242"/>
      <c r="BQ40" s="242"/>
    </row>
    <row r="41" spans="7:69" x14ac:dyDescent="0.2">
      <c r="G41" s="242"/>
      <c r="H41" s="242"/>
      <c r="I41" s="242"/>
      <c r="J41" s="242"/>
      <c r="K41" s="242"/>
      <c r="L41" s="242"/>
      <c r="M41" s="242"/>
      <c r="N41" s="242"/>
      <c r="O41" s="242"/>
      <c r="P41" s="242"/>
      <c r="Q41" s="242"/>
      <c r="R41" s="242"/>
      <c r="S41" s="242"/>
      <c r="T41" s="242"/>
      <c r="U41" s="242"/>
      <c r="V41" s="242"/>
      <c r="W41" s="242"/>
      <c r="X41" s="242"/>
      <c r="Y41" s="242"/>
      <c r="Z41" s="242"/>
      <c r="AA41" s="242"/>
      <c r="AB41" s="242"/>
      <c r="AC41" s="242"/>
      <c r="AD41" s="242"/>
      <c r="AE41" s="242"/>
      <c r="AF41" s="242"/>
      <c r="AG41" s="242"/>
      <c r="AH41" s="242"/>
      <c r="AI41" s="242"/>
      <c r="AJ41" s="242"/>
      <c r="AK41" s="242"/>
      <c r="AL41" s="242"/>
      <c r="AM41" s="242"/>
      <c r="AN41" s="242"/>
      <c r="AO41" s="242"/>
      <c r="AP41" s="242"/>
      <c r="AQ41" s="242"/>
      <c r="AR41" s="242"/>
      <c r="AS41" s="242"/>
      <c r="AT41" s="242"/>
      <c r="AU41" s="242"/>
      <c r="AV41" s="242"/>
      <c r="AW41" s="242"/>
      <c r="AX41" s="242"/>
      <c r="AY41" s="242"/>
      <c r="AZ41" s="242"/>
      <c r="BA41" s="242"/>
      <c r="BB41" s="242"/>
      <c r="BC41" s="242"/>
      <c r="BD41" s="242"/>
      <c r="BE41" s="242"/>
      <c r="BF41" s="242"/>
      <c r="BG41" s="242"/>
      <c r="BH41" s="242"/>
      <c r="BI41" s="242"/>
      <c r="BJ41" s="242"/>
      <c r="BK41" s="242"/>
      <c r="BL41" s="242"/>
      <c r="BM41" s="242"/>
      <c r="BN41" s="242"/>
      <c r="BO41" s="242"/>
      <c r="BP41" s="242"/>
      <c r="BQ41" s="242"/>
    </row>
    <row r="42" spans="7:69" x14ac:dyDescent="0.2">
      <c r="G42" s="242"/>
      <c r="H42" s="242"/>
      <c r="I42" s="242"/>
      <c r="J42" s="242"/>
      <c r="K42" s="242"/>
      <c r="L42" s="242"/>
      <c r="M42" s="242"/>
      <c r="N42" s="242"/>
      <c r="O42" s="242"/>
      <c r="P42" s="242"/>
      <c r="Q42" s="242"/>
      <c r="R42" s="242"/>
      <c r="S42" s="242"/>
      <c r="T42" s="242"/>
      <c r="U42" s="242"/>
      <c r="V42" s="242"/>
      <c r="W42" s="242"/>
      <c r="X42" s="242"/>
      <c r="Y42" s="242"/>
      <c r="Z42" s="242"/>
      <c r="AA42" s="242"/>
      <c r="AB42" s="242"/>
      <c r="AC42" s="242"/>
      <c r="AD42" s="242"/>
      <c r="AE42" s="242"/>
      <c r="AF42" s="242"/>
      <c r="AG42" s="242"/>
      <c r="AH42" s="242"/>
      <c r="AI42" s="242"/>
      <c r="AJ42" s="242"/>
      <c r="AK42" s="242"/>
      <c r="AL42" s="242"/>
      <c r="AM42" s="242"/>
      <c r="AN42" s="242"/>
      <c r="AO42" s="242"/>
      <c r="AP42" s="242"/>
      <c r="AQ42" s="242"/>
      <c r="AR42" s="242"/>
      <c r="AS42" s="242"/>
      <c r="AT42" s="242"/>
      <c r="AU42" s="242"/>
      <c r="AV42" s="242"/>
      <c r="AW42" s="242"/>
      <c r="AX42" s="242"/>
      <c r="AY42" s="242"/>
      <c r="AZ42" s="242"/>
      <c r="BA42" s="242"/>
      <c r="BB42" s="242"/>
      <c r="BC42" s="242"/>
      <c r="BD42" s="242"/>
      <c r="BE42" s="242"/>
      <c r="BF42" s="242"/>
      <c r="BG42" s="242"/>
      <c r="BH42" s="242"/>
      <c r="BI42" s="242"/>
      <c r="BJ42" s="242"/>
      <c r="BK42" s="242"/>
      <c r="BL42" s="242"/>
      <c r="BM42" s="242"/>
      <c r="BN42" s="242"/>
      <c r="BO42" s="242"/>
      <c r="BP42" s="242"/>
      <c r="BQ42" s="242"/>
    </row>
    <row r="43" spans="7:69" x14ac:dyDescent="0.2">
      <c r="G43" s="242"/>
      <c r="H43" s="242"/>
      <c r="I43" s="242"/>
      <c r="J43" s="242"/>
      <c r="K43" s="242"/>
      <c r="L43" s="242"/>
      <c r="M43" s="242"/>
      <c r="N43" s="242"/>
      <c r="O43" s="242"/>
      <c r="P43" s="242"/>
      <c r="Q43" s="242"/>
      <c r="R43" s="242"/>
      <c r="S43" s="242"/>
      <c r="T43" s="242"/>
      <c r="U43" s="242"/>
      <c r="V43" s="242"/>
      <c r="W43" s="242"/>
      <c r="X43" s="242"/>
      <c r="Y43" s="242"/>
      <c r="Z43" s="242"/>
      <c r="AA43" s="242"/>
      <c r="AB43" s="242"/>
      <c r="AC43" s="242"/>
      <c r="AD43" s="242"/>
      <c r="AE43" s="242"/>
      <c r="AF43" s="242"/>
      <c r="AG43" s="242"/>
      <c r="AH43" s="242"/>
      <c r="AI43" s="242"/>
      <c r="AJ43" s="242"/>
      <c r="AK43" s="242"/>
      <c r="AL43" s="242"/>
      <c r="AM43" s="242"/>
      <c r="AN43" s="242"/>
      <c r="AO43" s="242"/>
      <c r="AP43" s="242"/>
      <c r="AQ43" s="242"/>
      <c r="AR43" s="242"/>
      <c r="AS43" s="242"/>
      <c r="AT43" s="242"/>
      <c r="AU43" s="242"/>
      <c r="AV43" s="242"/>
      <c r="AW43" s="242"/>
      <c r="AX43" s="242"/>
      <c r="AY43" s="242"/>
      <c r="AZ43" s="242"/>
      <c r="BA43" s="242"/>
      <c r="BB43" s="242"/>
      <c r="BC43" s="242"/>
      <c r="BD43" s="242"/>
      <c r="BE43" s="242"/>
      <c r="BF43" s="242"/>
      <c r="BG43" s="242"/>
      <c r="BH43" s="242"/>
      <c r="BI43" s="242"/>
      <c r="BJ43" s="242"/>
      <c r="BK43" s="242"/>
      <c r="BL43" s="242"/>
      <c r="BM43" s="242"/>
      <c r="BN43" s="242"/>
      <c r="BO43" s="242"/>
      <c r="BP43" s="242"/>
      <c r="BQ43" s="242"/>
    </row>
    <row r="44" spans="7:69" x14ac:dyDescent="0.2">
      <c r="G44" s="242"/>
      <c r="H44" s="242"/>
      <c r="I44" s="242"/>
      <c r="J44" s="242"/>
      <c r="K44" s="242"/>
      <c r="L44" s="242"/>
      <c r="M44" s="242"/>
      <c r="N44" s="242"/>
      <c r="O44" s="242"/>
      <c r="P44" s="242"/>
      <c r="Q44" s="242"/>
      <c r="R44" s="242"/>
      <c r="S44" s="242"/>
      <c r="T44" s="242"/>
      <c r="U44" s="242"/>
      <c r="V44" s="242"/>
      <c r="W44" s="242"/>
      <c r="X44" s="242"/>
      <c r="Y44" s="242"/>
      <c r="Z44" s="242"/>
      <c r="AA44" s="242"/>
      <c r="AB44" s="242"/>
      <c r="AC44" s="242"/>
      <c r="AD44" s="242"/>
      <c r="AE44" s="242"/>
      <c r="AF44" s="242"/>
      <c r="AG44" s="242"/>
      <c r="AH44" s="242"/>
      <c r="AI44" s="242"/>
      <c r="AJ44" s="242"/>
      <c r="AK44" s="242"/>
      <c r="AL44" s="242"/>
      <c r="AM44" s="242"/>
      <c r="AN44" s="242"/>
      <c r="AO44" s="242"/>
      <c r="AP44" s="242"/>
      <c r="AQ44" s="242"/>
      <c r="AR44" s="242"/>
      <c r="AS44" s="242"/>
      <c r="AT44" s="242"/>
      <c r="AU44" s="242"/>
      <c r="AV44" s="242"/>
      <c r="AW44" s="242"/>
      <c r="AX44" s="242"/>
      <c r="AY44" s="242"/>
      <c r="AZ44" s="242"/>
      <c r="BA44" s="242"/>
      <c r="BB44" s="242"/>
      <c r="BC44" s="242"/>
      <c r="BD44" s="242"/>
      <c r="BE44" s="242"/>
      <c r="BF44" s="242"/>
      <c r="BG44" s="242"/>
      <c r="BH44" s="242"/>
      <c r="BI44" s="242"/>
      <c r="BJ44" s="242"/>
      <c r="BK44" s="242"/>
      <c r="BL44" s="242"/>
      <c r="BM44" s="242"/>
      <c r="BN44" s="242"/>
      <c r="BO44" s="242"/>
      <c r="BP44" s="242"/>
      <c r="BQ44" s="242"/>
    </row>
    <row r="45" spans="7:69" x14ac:dyDescent="0.2">
      <c r="G45" s="242"/>
      <c r="H45" s="242"/>
      <c r="I45" s="242"/>
      <c r="J45" s="242"/>
      <c r="K45" s="242"/>
      <c r="L45" s="242"/>
      <c r="M45" s="242"/>
      <c r="N45" s="242"/>
      <c r="O45" s="242"/>
      <c r="P45" s="242"/>
      <c r="Q45" s="242"/>
      <c r="R45" s="242"/>
      <c r="S45" s="242"/>
      <c r="T45" s="242"/>
      <c r="U45" s="242"/>
      <c r="V45" s="242"/>
      <c r="W45" s="242"/>
      <c r="X45" s="242"/>
      <c r="Y45" s="242"/>
      <c r="Z45" s="242"/>
      <c r="AA45" s="242"/>
      <c r="AB45" s="242"/>
      <c r="AC45" s="242"/>
      <c r="AD45" s="242"/>
      <c r="AE45" s="242"/>
      <c r="AF45" s="242"/>
      <c r="AG45" s="242"/>
      <c r="AH45" s="242"/>
      <c r="AI45" s="242"/>
      <c r="AJ45" s="242"/>
      <c r="AK45" s="242"/>
      <c r="AL45" s="242"/>
      <c r="AM45" s="242"/>
      <c r="AN45" s="242"/>
      <c r="AO45" s="242"/>
      <c r="AP45" s="242"/>
      <c r="AQ45" s="242"/>
      <c r="AR45" s="242"/>
      <c r="AS45" s="242"/>
      <c r="AT45" s="242"/>
      <c r="AU45" s="242"/>
      <c r="AV45" s="242"/>
      <c r="AW45" s="242"/>
      <c r="AX45" s="242"/>
      <c r="AY45" s="242"/>
      <c r="AZ45" s="242"/>
      <c r="BA45" s="242"/>
      <c r="BB45" s="242"/>
      <c r="BC45" s="242"/>
      <c r="BD45" s="242"/>
      <c r="BE45" s="242"/>
      <c r="BF45" s="242"/>
      <c r="BG45" s="242"/>
      <c r="BH45" s="242"/>
      <c r="BI45" s="242"/>
      <c r="BJ45" s="242"/>
      <c r="BK45" s="242"/>
      <c r="BL45" s="242"/>
      <c r="BM45" s="242"/>
      <c r="BN45" s="242"/>
      <c r="BO45" s="242"/>
      <c r="BP45" s="242"/>
      <c r="BQ45" s="242"/>
    </row>
    <row r="46" spans="7:69" x14ac:dyDescent="0.2"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</row>
    <row r="47" spans="7:69" x14ac:dyDescent="0.2"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</row>
    <row r="48" spans="7:69" x14ac:dyDescent="0.2"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</row>
    <row r="49" spans="7:69" x14ac:dyDescent="0.2">
      <c r="G49" s="241"/>
      <c r="H49" s="241"/>
      <c r="I49" s="241"/>
      <c r="J49" s="241"/>
      <c r="K49" s="241"/>
      <c r="L49" s="241"/>
      <c r="M49" s="241"/>
      <c r="N49" s="241"/>
      <c r="O49" s="241"/>
      <c r="P49" s="241"/>
      <c r="Q49" s="241"/>
      <c r="R49" s="241"/>
      <c r="S49" s="241"/>
      <c r="T49" s="241"/>
      <c r="U49" s="241"/>
      <c r="V49" s="241"/>
      <c r="W49" s="241"/>
      <c r="X49" s="241"/>
      <c r="Y49" s="241"/>
      <c r="Z49" s="241"/>
      <c r="AA49" s="241"/>
      <c r="AB49" s="241"/>
      <c r="AC49" s="241"/>
      <c r="AD49" s="241"/>
      <c r="AE49" s="241"/>
      <c r="AF49" s="241"/>
      <c r="AG49" s="241"/>
      <c r="AH49" s="241"/>
      <c r="AI49" s="241"/>
      <c r="AJ49" s="241"/>
      <c r="AK49" s="241"/>
      <c r="AL49" s="241"/>
      <c r="AM49" s="241"/>
      <c r="AN49" s="241"/>
      <c r="AO49" s="241"/>
      <c r="AP49" s="241"/>
      <c r="AQ49" s="241"/>
      <c r="AR49" s="241"/>
      <c r="AS49" s="241"/>
      <c r="AT49" s="241"/>
      <c r="AU49" s="241"/>
      <c r="AV49" s="241"/>
      <c r="AW49" s="241"/>
      <c r="AX49" s="241"/>
      <c r="AY49" s="241"/>
      <c r="AZ49" s="241"/>
      <c r="BA49" s="241"/>
      <c r="BB49" s="241"/>
      <c r="BC49" s="241"/>
      <c r="BD49" s="241"/>
      <c r="BE49" s="241"/>
      <c r="BF49" s="241"/>
      <c r="BG49" s="241"/>
      <c r="BH49" s="241"/>
      <c r="BI49" s="241"/>
      <c r="BJ49" s="241"/>
      <c r="BK49" s="241"/>
      <c r="BL49" s="241"/>
      <c r="BM49" s="241"/>
      <c r="BN49" s="241"/>
      <c r="BO49" s="241"/>
      <c r="BP49" s="241"/>
      <c r="BQ49" s="241"/>
    </row>
    <row r="53" spans="7:69" x14ac:dyDescent="0.2">
      <c r="H53" s="241"/>
      <c r="I53" s="241"/>
      <c r="J53" s="241"/>
      <c r="K53" s="241"/>
      <c r="L53" s="241"/>
      <c r="M53" s="241"/>
      <c r="N53" s="241"/>
      <c r="O53" s="241"/>
      <c r="P53" s="241"/>
      <c r="Q53" s="241"/>
      <c r="R53" s="241"/>
      <c r="S53" s="241"/>
      <c r="T53" s="241"/>
      <c r="U53" s="241"/>
      <c r="V53" s="241"/>
      <c r="W53" s="241">
        <v>201179.90196078431</v>
      </c>
      <c r="X53" s="241">
        <v>201179.90196078431</v>
      </c>
      <c r="Y53" s="241">
        <v>201179.90196078431</v>
      </c>
      <c r="Z53" s="241">
        <v>201179.90196078431</v>
      </c>
      <c r="AA53" s="241">
        <v>201179.90196078431</v>
      </c>
      <c r="AB53" s="241">
        <v>201179.90196078431</v>
      </c>
      <c r="AC53" s="241">
        <v>201179.90196078431</v>
      </c>
      <c r="AD53" s="241">
        <v>201179.90196078431</v>
      </c>
      <c r="AE53" s="241">
        <v>201179.90196078431</v>
      </c>
      <c r="AF53" s="241">
        <v>201179.90196078431</v>
      </c>
      <c r="AG53" s="241">
        <v>100589.95098039322</v>
      </c>
      <c r="AH53" s="241">
        <v>0</v>
      </c>
      <c r="AI53" s="241">
        <v>0</v>
      </c>
      <c r="AJ53" s="241">
        <v>0</v>
      </c>
      <c r="AK53" s="241">
        <v>0</v>
      </c>
      <c r="AL53" s="241">
        <v>0</v>
      </c>
      <c r="AM53" s="241">
        <v>0</v>
      </c>
      <c r="AN53" s="241">
        <v>0</v>
      </c>
      <c r="AO53" s="241">
        <v>0</v>
      </c>
      <c r="AP53" s="241">
        <v>0</v>
      </c>
      <c r="AQ53" s="241">
        <v>0</v>
      </c>
      <c r="AR53" s="241">
        <v>0</v>
      </c>
      <c r="AS53" s="241"/>
      <c r="AT53" s="241"/>
      <c r="AU53" s="241"/>
      <c r="AV53" s="241"/>
      <c r="AW53" s="241"/>
      <c r="AX53" s="241"/>
      <c r="AY53" s="241"/>
      <c r="AZ53" s="241"/>
      <c r="BA53" s="241"/>
      <c r="BB53" s="241"/>
      <c r="BC53" s="241">
        <v>0</v>
      </c>
      <c r="BD53" s="241">
        <v>0</v>
      </c>
      <c r="BE53" s="241">
        <v>0</v>
      </c>
      <c r="BF53" s="241">
        <v>0</v>
      </c>
      <c r="BG53" s="241">
        <v>0</v>
      </c>
      <c r="BH53" s="241">
        <v>0</v>
      </c>
      <c r="BI53" s="241">
        <v>0</v>
      </c>
      <c r="BJ53" s="241">
        <v>0</v>
      </c>
      <c r="BK53" s="241">
        <v>0</v>
      </c>
      <c r="BL53" s="241">
        <v>0</v>
      </c>
      <c r="BM53" s="241">
        <v>0</v>
      </c>
      <c r="BN53" s="241">
        <v>0</v>
      </c>
      <c r="BO53" s="241">
        <v>0</v>
      </c>
      <c r="BP53" s="241">
        <v>0</v>
      </c>
    </row>
    <row r="54" spans="7:69" x14ac:dyDescent="0.2">
      <c r="H54" s="241"/>
      <c r="I54" s="241"/>
      <c r="J54" s="241"/>
      <c r="K54" s="241"/>
      <c r="L54" s="241"/>
      <c r="M54" s="241"/>
      <c r="N54" s="241"/>
      <c r="O54" s="241"/>
      <c r="P54" s="241"/>
      <c r="Q54" s="241"/>
      <c r="R54" s="241"/>
      <c r="S54" s="241"/>
      <c r="T54" s="241"/>
      <c r="U54" s="241"/>
      <c r="V54" s="241"/>
      <c r="W54" s="241">
        <v>48823.529411764699</v>
      </c>
      <c r="X54" s="241">
        <v>48823.529411764699</v>
      </c>
      <c r="Y54" s="241">
        <v>48823.529411764699</v>
      </c>
      <c r="Z54" s="241">
        <v>48823.529411764699</v>
      </c>
      <c r="AA54" s="241">
        <v>48823.529411764699</v>
      </c>
      <c r="AB54" s="241">
        <v>48823.529411764699</v>
      </c>
      <c r="AC54" s="241">
        <v>48823.529411764699</v>
      </c>
      <c r="AD54" s="241">
        <v>48823.529411764699</v>
      </c>
      <c r="AE54" s="241">
        <v>48823.529411764699</v>
      </c>
      <c r="AF54" s="241">
        <v>48823.529411764699</v>
      </c>
      <c r="AG54" s="241">
        <v>24411.764705882175</v>
      </c>
      <c r="AH54" s="241">
        <v>0</v>
      </c>
      <c r="AI54" s="241">
        <v>0</v>
      </c>
      <c r="AJ54" s="241">
        <v>0</v>
      </c>
      <c r="AK54" s="241">
        <v>0</v>
      </c>
      <c r="AL54" s="241">
        <v>0</v>
      </c>
      <c r="AM54" s="241">
        <v>0</v>
      </c>
      <c r="AN54" s="241">
        <v>0</v>
      </c>
      <c r="AO54" s="241">
        <v>0</v>
      </c>
      <c r="AP54" s="241">
        <v>0</v>
      </c>
      <c r="AQ54" s="241">
        <v>0</v>
      </c>
      <c r="AR54" s="241">
        <v>0</v>
      </c>
      <c r="AS54" s="241"/>
      <c r="AT54" s="241"/>
      <c r="AU54" s="241"/>
      <c r="AV54" s="241"/>
      <c r="AW54" s="241"/>
      <c r="AX54" s="241"/>
      <c r="AY54" s="241"/>
      <c r="AZ54" s="241"/>
      <c r="BA54" s="241"/>
      <c r="BB54" s="241"/>
      <c r="BC54" s="241">
        <v>0</v>
      </c>
      <c r="BD54" s="241">
        <v>0</v>
      </c>
      <c r="BE54" s="241">
        <v>0</v>
      </c>
      <c r="BF54" s="241">
        <v>0</v>
      </c>
      <c r="BG54" s="241">
        <v>0</v>
      </c>
      <c r="BH54" s="241">
        <v>0</v>
      </c>
      <c r="BI54" s="241">
        <v>0</v>
      </c>
      <c r="BJ54" s="241">
        <v>0</v>
      </c>
      <c r="BK54" s="241">
        <v>0</v>
      </c>
      <c r="BL54" s="241">
        <v>0</v>
      </c>
      <c r="BM54" s="241">
        <v>0</v>
      </c>
      <c r="BN54" s="241">
        <v>0</v>
      </c>
      <c r="BO54" s="241">
        <v>0</v>
      </c>
      <c r="BP54" s="241">
        <v>0</v>
      </c>
    </row>
    <row r="55" spans="7:69" x14ac:dyDescent="0.2">
      <c r="H55" s="241"/>
      <c r="I55" s="241"/>
      <c r="J55" s="241"/>
      <c r="K55" s="241"/>
      <c r="L55" s="241"/>
      <c r="M55" s="241"/>
      <c r="N55" s="241"/>
      <c r="O55" s="241"/>
      <c r="P55" s="241"/>
      <c r="Q55" s="241"/>
      <c r="R55" s="241"/>
      <c r="S55" s="241"/>
      <c r="T55" s="241"/>
      <c r="U55" s="241"/>
      <c r="V55" s="241"/>
      <c r="W55" s="241">
        <v>145065.70096107179</v>
      </c>
      <c r="X55" s="241">
        <v>145065.70096107179</v>
      </c>
      <c r="Y55" s="241">
        <v>145065.70096107179</v>
      </c>
      <c r="Z55" s="241">
        <v>145065.70096107179</v>
      </c>
      <c r="AA55" s="241">
        <v>145065.70096107179</v>
      </c>
      <c r="AB55" s="241">
        <v>145065.70096107179</v>
      </c>
      <c r="AC55" s="241">
        <v>145065.70096107179</v>
      </c>
      <c r="AD55" s="241">
        <v>145065.70096107179</v>
      </c>
      <c r="AE55" s="241">
        <v>145065.70096107179</v>
      </c>
      <c r="AF55" s="241">
        <v>145065.70096107179</v>
      </c>
      <c r="AG55" s="241">
        <v>145065.70096107179</v>
      </c>
      <c r="AH55" s="241">
        <v>145065.70096107179</v>
      </c>
      <c r="AI55" s="241">
        <v>145065.70096107179</v>
      </c>
      <c r="AJ55" s="241">
        <v>145065.70096107179</v>
      </c>
      <c r="AK55" s="241">
        <v>145065.70096107179</v>
      </c>
      <c r="AL55" s="241">
        <v>145065.70096107179</v>
      </c>
      <c r="AM55" s="241">
        <v>145065.70096107179</v>
      </c>
      <c r="AN55" s="241">
        <v>145065.70096107179</v>
      </c>
      <c r="AO55" s="241">
        <v>145065.70096107179</v>
      </c>
      <c r="AP55" s="241">
        <v>145065.70096107179</v>
      </c>
      <c r="AQ55" s="241">
        <v>145065.70096107179</v>
      </c>
      <c r="AR55" s="241">
        <v>145065.70096107179</v>
      </c>
      <c r="AS55" s="241"/>
      <c r="AT55" s="241"/>
      <c r="AU55" s="241"/>
      <c r="AV55" s="241"/>
      <c r="AW55" s="241"/>
      <c r="AX55" s="241"/>
      <c r="AY55" s="241"/>
      <c r="AZ55" s="241"/>
      <c r="BA55" s="241"/>
      <c r="BB55" s="241"/>
      <c r="BC55" s="241">
        <v>145065.70096107179</v>
      </c>
      <c r="BD55" s="241">
        <v>145065.70096107179</v>
      </c>
      <c r="BE55" s="241">
        <v>145065.70096107179</v>
      </c>
      <c r="BF55" s="241">
        <v>145065.70096107179</v>
      </c>
      <c r="BG55" s="241">
        <v>145065.70096107179</v>
      </c>
      <c r="BH55" s="241">
        <v>145065.70096107179</v>
      </c>
      <c r="BI55" s="241">
        <v>145065.70096107179</v>
      </c>
      <c r="BJ55" s="241">
        <v>145065.70096107179</v>
      </c>
      <c r="BK55" s="241">
        <v>145065.70096106641</v>
      </c>
      <c r="BL55" s="241">
        <v>0</v>
      </c>
      <c r="BM55" s="241">
        <v>0</v>
      </c>
      <c r="BN55" s="241">
        <v>0</v>
      </c>
      <c r="BO55" s="241">
        <v>0</v>
      </c>
      <c r="BP55" s="241">
        <v>0</v>
      </c>
    </row>
    <row r="56" spans="7:69" x14ac:dyDescent="0.2">
      <c r="H56" s="241"/>
      <c r="I56" s="241"/>
      <c r="J56" s="241"/>
      <c r="K56" s="241"/>
      <c r="L56" s="241"/>
      <c r="M56" s="241"/>
      <c r="N56" s="241"/>
      <c r="O56" s="241"/>
      <c r="P56" s="241"/>
      <c r="Q56" s="241"/>
      <c r="R56" s="241"/>
      <c r="S56" s="241"/>
      <c r="T56" s="241"/>
      <c r="U56" s="241"/>
      <c r="V56" s="241"/>
      <c r="W56" s="241">
        <v>827225.14785914053</v>
      </c>
      <c r="X56" s="241">
        <v>827225.14785914053</v>
      </c>
      <c r="Y56" s="241">
        <v>827225.14785914053</v>
      </c>
      <c r="Z56" s="241">
        <v>827225.14785914053</v>
      </c>
      <c r="AA56" s="241">
        <v>827225.14785914053</v>
      </c>
      <c r="AB56" s="241">
        <v>827225.14785914053</v>
      </c>
      <c r="AC56" s="241">
        <v>827225.14785914053</v>
      </c>
      <c r="AD56" s="241">
        <v>827225.14785914053</v>
      </c>
      <c r="AE56" s="241">
        <v>827225.14785914053</v>
      </c>
      <c r="AF56" s="241">
        <v>827225.14785914053</v>
      </c>
      <c r="AG56" s="241">
        <v>413612.57392956316</v>
      </c>
      <c r="AH56" s="241">
        <v>0</v>
      </c>
      <c r="AI56" s="241">
        <v>0</v>
      </c>
      <c r="AJ56" s="241">
        <v>0</v>
      </c>
      <c r="AK56" s="241">
        <v>0</v>
      </c>
      <c r="AL56" s="241">
        <v>0</v>
      </c>
      <c r="AM56" s="241">
        <v>0</v>
      </c>
      <c r="AN56" s="241">
        <v>0</v>
      </c>
      <c r="AO56" s="241">
        <v>0</v>
      </c>
      <c r="AP56" s="241">
        <v>0</v>
      </c>
      <c r="AQ56" s="241">
        <v>0</v>
      </c>
      <c r="AR56" s="241">
        <v>0</v>
      </c>
      <c r="AS56" s="241"/>
      <c r="AT56" s="241"/>
      <c r="AU56" s="241"/>
      <c r="AV56" s="241"/>
      <c r="AW56" s="241"/>
      <c r="AX56" s="241"/>
      <c r="AY56" s="241"/>
      <c r="AZ56" s="241"/>
      <c r="BA56" s="241"/>
      <c r="BB56" s="241"/>
      <c r="BC56" s="241">
        <v>0</v>
      </c>
      <c r="BD56" s="241">
        <v>0</v>
      </c>
      <c r="BE56" s="241">
        <v>0</v>
      </c>
      <c r="BF56" s="241">
        <v>0</v>
      </c>
      <c r="BG56" s="241">
        <v>0</v>
      </c>
      <c r="BH56" s="241">
        <v>0</v>
      </c>
      <c r="BI56" s="241">
        <v>0</v>
      </c>
      <c r="BJ56" s="241">
        <v>0</v>
      </c>
      <c r="BK56" s="241">
        <v>0</v>
      </c>
      <c r="BL56" s="241">
        <v>0</v>
      </c>
      <c r="BM56" s="241">
        <v>0</v>
      </c>
      <c r="BN56" s="241">
        <v>0</v>
      </c>
      <c r="BO56" s="241">
        <v>0</v>
      </c>
      <c r="BP56" s="241">
        <v>0</v>
      </c>
    </row>
    <row r="57" spans="7:69" x14ac:dyDescent="0.2">
      <c r="H57" s="241"/>
      <c r="I57" s="241"/>
      <c r="J57" s="241"/>
      <c r="K57" s="241"/>
      <c r="L57" s="241"/>
      <c r="M57" s="241"/>
      <c r="N57" s="241"/>
      <c r="O57" s="241"/>
      <c r="P57" s="241"/>
      <c r="Q57" s="241"/>
      <c r="R57" s="241"/>
      <c r="S57" s="241"/>
      <c r="T57" s="241"/>
      <c r="U57" s="241"/>
      <c r="V57" s="241"/>
      <c r="W57" s="241">
        <v>341055.00783450564</v>
      </c>
      <c r="X57" s="241">
        <v>341055.00783450564</v>
      </c>
      <c r="Y57" s="241">
        <v>341055.00783450564</v>
      </c>
      <c r="Z57" s="241">
        <v>341055.00783450564</v>
      </c>
      <c r="AA57" s="241">
        <v>341055.00783450564</v>
      </c>
      <c r="AB57" s="241">
        <v>341055.00783450564</v>
      </c>
      <c r="AC57" s="241">
        <v>341055.00783450564</v>
      </c>
      <c r="AD57" s="241">
        <v>341055.00783450564</v>
      </c>
      <c r="AE57" s="241">
        <v>341055.00783450564</v>
      </c>
      <c r="AF57" s="241">
        <v>341055.00783450564</v>
      </c>
      <c r="AG57" s="241">
        <v>341055.00783450564</v>
      </c>
      <c r="AH57" s="241">
        <v>341055.00783450564</v>
      </c>
      <c r="AI57" s="241">
        <v>341055.00783450564</v>
      </c>
      <c r="AJ57" s="241">
        <v>341055.00783450564</v>
      </c>
      <c r="AK57" s="241">
        <v>341055.00783450564</v>
      </c>
      <c r="AL57" s="241">
        <v>341055.00783450564</v>
      </c>
      <c r="AM57" s="241">
        <v>341055.00783450564</v>
      </c>
      <c r="AN57" s="241">
        <v>26636.107903152704</v>
      </c>
      <c r="AO57" s="241">
        <v>0</v>
      </c>
      <c r="AP57" s="241">
        <v>0</v>
      </c>
      <c r="AQ57" s="241">
        <v>0</v>
      </c>
      <c r="AR57" s="241">
        <v>0</v>
      </c>
      <c r="AS57" s="241"/>
      <c r="AT57" s="241"/>
      <c r="AU57" s="241"/>
      <c r="AV57" s="241"/>
      <c r="AW57" s="241"/>
      <c r="AX57" s="241"/>
      <c r="AY57" s="241"/>
      <c r="AZ57" s="241"/>
      <c r="BA57" s="241"/>
      <c r="BB57" s="241"/>
      <c r="BC57" s="241">
        <v>0</v>
      </c>
      <c r="BD57" s="241">
        <v>0</v>
      </c>
      <c r="BE57" s="241">
        <v>0</v>
      </c>
      <c r="BF57" s="241">
        <v>0</v>
      </c>
      <c r="BG57" s="241">
        <v>0</v>
      </c>
      <c r="BH57" s="241">
        <v>0</v>
      </c>
      <c r="BI57" s="241">
        <v>0</v>
      </c>
      <c r="BJ57" s="241">
        <v>0</v>
      </c>
      <c r="BK57" s="241">
        <v>0</v>
      </c>
      <c r="BL57" s="241">
        <v>0</v>
      </c>
      <c r="BM57" s="241">
        <v>0</v>
      </c>
      <c r="BN57" s="241">
        <v>0</v>
      </c>
      <c r="BO57" s="241">
        <v>0</v>
      </c>
      <c r="BP57" s="241">
        <v>0</v>
      </c>
    </row>
    <row r="58" spans="7:69" x14ac:dyDescent="0.2">
      <c r="H58" s="241"/>
      <c r="I58" s="241"/>
      <c r="J58" s="241"/>
      <c r="K58" s="241"/>
      <c r="L58" s="241"/>
      <c r="M58" s="241"/>
      <c r="N58" s="241"/>
      <c r="O58" s="241"/>
      <c r="P58" s="241"/>
      <c r="Q58" s="241"/>
      <c r="R58" s="241"/>
      <c r="S58" s="241"/>
      <c r="T58" s="241"/>
      <c r="U58" s="241"/>
      <c r="V58" s="241"/>
      <c r="W58" s="241">
        <v>311001.05812548613</v>
      </c>
      <c r="X58" s="241">
        <v>311001.05812548613</v>
      </c>
      <c r="Y58" s="241">
        <v>311001.05812548613</v>
      </c>
      <c r="Z58" s="241">
        <v>311001.05812548613</v>
      </c>
      <c r="AA58" s="241">
        <v>311001.05812548613</v>
      </c>
      <c r="AB58" s="241">
        <v>311001.05812548613</v>
      </c>
      <c r="AC58" s="241">
        <v>311001.05812548613</v>
      </c>
      <c r="AD58" s="241">
        <v>311001.05812548613</v>
      </c>
      <c r="AE58" s="241">
        <v>311001.05812548613</v>
      </c>
      <c r="AF58" s="241">
        <v>311001.05812548613</v>
      </c>
      <c r="AG58" s="241">
        <v>311001.05812548613</v>
      </c>
      <c r="AH58" s="241">
        <v>311001.05812548613</v>
      </c>
      <c r="AI58" s="241">
        <v>311001.05812548613</v>
      </c>
      <c r="AJ58" s="241">
        <v>311001.05812548613</v>
      </c>
      <c r="AK58" s="241">
        <v>311001.05812548613</v>
      </c>
      <c r="AL58" s="241">
        <v>311001.05812548613</v>
      </c>
      <c r="AM58" s="241">
        <v>311001.05812548613</v>
      </c>
      <c r="AN58" s="241">
        <v>311001.05812548613</v>
      </c>
      <c r="AO58" s="241">
        <v>311001.05812548613</v>
      </c>
      <c r="AP58" s="241">
        <v>311001.05812548613</v>
      </c>
      <c r="AQ58" s="241">
        <v>311001.05812548613</v>
      </c>
      <c r="AR58" s="241">
        <v>311001.05812548613</v>
      </c>
      <c r="AS58" s="241"/>
      <c r="AT58" s="241"/>
      <c r="AU58" s="241"/>
      <c r="AV58" s="241"/>
      <c r="AW58" s="241"/>
      <c r="AX58" s="241"/>
      <c r="AY58" s="241"/>
      <c r="AZ58" s="241"/>
      <c r="BA58" s="241"/>
      <c r="BB58" s="241"/>
      <c r="BC58" s="241">
        <v>311001.05812548613</v>
      </c>
      <c r="BD58" s="241">
        <v>311001.05812548613</v>
      </c>
      <c r="BE58" s="241">
        <v>311001.05812548613</v>
      </c>
      <c r="BF58" s="241">
        <v>311001.05812548613</v>
      </c>
      <c r="BG58" s="241">
        <v>242453.88613047078</v>
      </c>
      <c r="BH58" s="241">
        <v>0</v>
      </c>
      <c r="BI58" s="241">
        <v>0</v>
      </c>
      <c r="BJ58" s="241">
        <v>0</v>
      </c>
      <c r="BK58" s="241">
        <v>0</v>
      </c>
      <c r="BL58" s="241">
        <v>0</v>
      </c>
      <c r="BM58" s="241">
        <v>0</v>
      </c>
      <c r="BN58" s="241">
        <v>0</v>
      </c>
      <c r="BO58" s="241">
        <v>0</v>
      </c>
      <c r="BP58" s="241">
        <v>0</v>
      </c>
    </row>
    <row r="59" spans="7:69" x14ac:dyDescent="0.2">
      <c r="H59" s="241"/>
      <c r="I59" s="241"/>
      <c r="J59" s="241"/>
      <c r="K59" s="241"/>
      <c r="L59" s="241"/>
      <c r="M59" s="241"/>
      <c r="N59" s="241"/>
      <c r="O59" s="241"/>
      <c r="P59" s="241"/>
      <c r="Q59" s="241"/>
      <c r="R59" s="241"/>
      <c r="S59" s="241"/>
      <c r="T59" s="241"/>
      <c r="U59" s="241"/>
      <c r="V59" s="241"/>
      <c r="W59" s="241">
        <v>107552.61967868147</v>
      </c>
      <c r="X59" s="241">
        <v>107552.61967868147</v>
      </c>
      <c r="Y59" s="241">
        <v>107552.61967868147</v>
      </c>
      <c r="Z59" s="241">
        <v>107552.61967868147</v>
      </c>
      <c r="AA59" s="241">
        <v>107552.61967868147</v>
      </c>
      <c r="AB59" s="241">
        <v>107552.61967868147</v>
      </c>
      <c r="AC59" s="241">
        <v>107552.61967868147</v>
      </c>
      <c r="AD59" s="241">
        <v>107552.61967868147</v>
      </c>
      <c r="AE59" s="241">
        <v>107552.61967868147</v>
      </c>
      <c r="AF59" s="241">
        <v>107552.61967868147</v>
      </c>
      <c r="AG59" s="241">
        <v>107552.61967868147</v>
      </c>
      <c r="AH59" s="241">
        <v>107552.61967868147</v>
      </c>
      <c r="AI59" s="241">
        <v>107552.61967868147</v>
      </c>
      <c r="AJ59" s="241">
        <v>107552.61967868147</v>
      </c>
      <c r="AK59" s="241">
        <v>107552.61967868147</v>
      </c>
      <c r="AL59" s="241">
        <v>107552.61967868147</v>
      </c>
      <c r="AM59" s="241">
        <v>107552.61967868147</v>
      </c>
      <c r="AN59" s="241">
        <v>107552.61967868147</v>
      </c>
      <c r="AO59" s="241">
        <v>107552.61967868147</v>
      </c>
      <c r="AP59" s="241">
        <v>107552.61967868147</v>
      </c>
      <c r="AQ59" s="241">
        <v>107552.61967868147</v>
      </c>
      <c r="AR59" s="241">
        <v>107552.61967868147</v>
      </c>
      <c r="AS59" s="241"/>
      <c r="AT59" s="241"/>
      <c r="AU59" s="241"/>
      <c r="AV59" s="241"/>
      <c r="AW59" s="241"/>
      <c r="AX59" s="241"/>
      <c r="AY59" s="241"/>
      <c r="AZ59" s="241"/>
      <c r="BA59" s="241"/>
      <c r="BB59" s="241"/>
      <c r="BC59" s="241">
        <v>107552.61967868147</v>
      </c>
      <c r="BD59" s="241">
        <v>107552.61967868147</v>
      </c>
      <c r="BE59" s="241">
        <v>107552.61967868147</v>
      </c>
      <c r="BF59" s="241">
        <v>70677.435788852163</v>
      </c>
      <c r="BG59" s="241">
        <v>0</v>
      </c>
      <c r="BH59" s="241">
        <v>0</v>
      </c>
      <c r="BI59" s="241">
        <v>0</v>
      </c>
      <c r="BJ59" s="241">
        <v>0</v>
      </c>
      <c r="BK59" s="241">
        <v>0</v>
      </c>
      <c r="BL59" s="241">
        <v>0</v>
      </c>
      <c r="BM59" s="241">
        <v>0</v>
      </c>
      <c r="BN59" s="241">
        <v>0</v>
      </c>
      <c r="BO59" s="241">
        <v>0</v>
      </c>
      <c r="BP59" s="241">
        <v>0</v>
      </c>
    </row>
    <row r="60" spans="7:69" x14ac:dyDescent="0.2">
      <c r="H60" s="241"/>
      <c r="I60" s="241"/>
      <c r="J60" s="241"/>
      <c r="K60" s="241"/>
      <c r="L60" s="241"/>
      <c r="M60" s="241"/>
      <c r="N60" s="241"/>
      <c r="O60" s="241"/>
      <c r="P60" s="241"/>
      <c r="Q60" s="241"/>
      <c r="R60" s="241"/>
      <c r="S60" s="241"/>
      <c r="T60" s="241"/>
      <c r="U60" s="241"/>
      <c r="V60" s="241"/>
      <c r="W60" s="241">
        <v>344663.43474693917</v>
      </c>
      <c r="X60" s="241">
        <v>344663.43474693917</v>
      </c>
      <c r="Y60" s="241">
        <v>344663.43474693917</v>
      </c>
      <c r="Z60" s="241">
        <v>344663.43474693917</v>
      </c>
      <c r="AA60" s="241">
        <v>344663.43474693917</v>
      </c>
      <c r="AB60" s="241">
        <v>344663.43474693917</v>
      </c>
      <c r="AC60" s="241">
        <v>344663.43474693917</v>
      </c>
      <c r="AD60" s="241">
        <v>344663.43474693917</v>
      </c>
      <c r="AE60" s="241">
        <v>344663.43474693917</v>
      </c>
      <c r="AF60" s="241">
        <v>344663.43474693917</v>
      </c>
      <c r="AG60" s="241">
        <v>77827.22720092535</v>
      </c>
      <c r="AH60" s="241">
        <v>0</v>
      </c>
      <c r="AI60" s="241">
        <v>0</v>
      </c>
      <c r="AJ60" s="241">
        <v>0</v>
      </c>
      <c r="AK60" s="241">
        <v>0</v>
      </c>
      <c r="AL60" s="241">
        <v>0</v>
      </c>
      <c r="AM60" s="241">
        <v>0</v>
      </c>
      <c r="AN60" s="241">
        <v>0</v>
      </c>
      <c r="AO60" s="241">
        <v>0</v>
      </c>
      <c r="AP60" s="241">
        <v>0</v>
      </c>
      <c r="AQ60" s="241">
        <v>0</v>
      </c>
      <c r="AR60" s="241">
        <v>0</v>
      </c>
      <c r="AS60" s="241"/>
      <c r="AT60" s="241"/>
      <c r="AU60" s="241"/>
      <c r="AV60" s="241"/>
      <c r="AW60" s="241"/>
      <c r="AX60" s="241"/>
      <c r="AY60" s="241"/>
      <c r="AZ60" s="241"/>
      <c r="BA60" s="241"/>
      <c r="BB60" s="241"/>
      <c r="BC60" s="241">
        <v>0</v>
      </c>
      <c r="BD60" s="241">
        <v>0</v>
      </c>
      <c r="BE60" s="241">
        <v>0</v>
      </c>
      <c r="BF60" s="241">
        <v>0</v>
      </c>
      <c r="BG60" s="241">
        <v>0</v>
      </c>
      <c r="BH60" s="241">
        <v>0</v>
      </c>
      <c r="BI60" s="241">
        <v>0</v>
      </c>
      <c r="BJ60" s="241">
        <v>0</v>
      </c>
      <c r="BK60" s="241">
        <v>0</v>
      </c>
      <c r="BL60" s="241">
        <v>0</v>
      </c>
      <c r="BM60" s="241">
        <v>0</v>
      </c>
      <c r="BN60" s="241">
        <v>0</v>
      </c>
      <c r="BO60" s="241">
        <v>0</v>
      </c>
      <c r="BP60" s="241">
        <v>0</v>
      </c>
    </row>
    <row r="61" spans="7:69" x14ac:dyDescent="0.2">
      <c r="H61" s="241"/>
      <c r="I61" s="241"/>
      <c r="J61" s="241"/>
      <c r="K61" s="241"/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>
        <v>12536.076484848609</v>
      </c>
      <c r="X61" s="241">
        <v>12536.076484848609</v>
      </c>
      <c r="Y61" s="241">
        <v>12536.076484848609</v>
      </c>
      <c r="Z61" s="241">
        <v>12536.076484848609</v>
      </c>
      <c r="AA61" s="241">
        <v>12536.076484848609</v>
      </c>
      <c r="AB61" s="241">
        <v>12536.076484848609</v>
      </c>
      <c r="AC61" s="241">
        <v>12536.076484848609</v>
      </c>
      <c r="AD61" s="241">
        <v>12536.076484848609</v>
      </c>
      <c r="AE61" s="241">
        <v>12536.076484848609</v>
      </c>
      <c r="AF61" s="241">
        <v>12536.076484848609</v>
      </c>
      <c r="AG61" s="241">
        <v>12536.076484848609</v>
      </c>
      <c r="AH61" s="241">
        <v>12536.076484848609</v>
      </c>
      <c r="AI61" s="241">
        <v>12536.076484848609</v>
      </c>
      <c r="AJ61" s="241">
        <v>12536.076484848609</v>
      </c>
      <c r="AK61" s="241">
        <v>12536.076484848609</v>
      </c>
      <c r="AL61" s="241">
        <v>12536.076484848609</v>
      </c>
      <c r="AM61" s="241">
        <v>12536.076484848609</v>
      </c>
      <c r="AN61" s="241">
        <v>12536.076484848609</v>
      </c>
      <c r="AO61" s="241">
        <v>12536.076484848609</v>
      </c>
      <c r="AP61" s="241">
        <v>12536.076484848609</v>
      </c>
      <c r="AQ61" s="241">
        <v>12536.076484848609</v>
      </c>
      <c r="AR61" s="241">
        <v>12536.076484848609</v>
      </c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>
        <v>7119.8479010926676</v>
      </c>
      <c r="BD61" s="241">
        <v>0</v>
      </c>
      <c r="BE61" s="241">
        <v>0</v>
      </c>
      <c r="BF61" s="241">
        <v>0</v>
      </c>
      <c r="BG61" s="241">
        <v>0</v>
      </c>
      <c r="BH61" s="241">
        <v>0</v>
      </c>
      <c r="BI61" s="241">
        <v>0</v>
      </c>
      <c r="BJ61" s="241">
        <v>0</v>
      </c>
      <c r="BK61" s="241">
        <v>0</v>
      </c>
      <c r="BL61" s="241">
        <v>0</v>
      </c>
      <c r="BM61" s="241">
        <v>0</v>
      </c>
      <c r="BN61" s="241">
        <v>0</v>
      </c>
      <c r="BO61" s="241">
        <v>0</v>
      </c>
      <c r="BP61" s="241">
        <v>0</v>
      </c>
    </row>
    <row r="62" spans="7:69" x14ac:dyDescent="0.2">
      <c r="H62" s="241"/>
      <c r="I62" s="241"/>
      <c r="J62" s="241"/>
      <c r="K62" s="241"/>
      <c r="L62" s="241"/>
      <c r="M62" s="241"/>
      <c r="N62" s="241"/>
      <c r="O62" s="241"/>
      <c r="P62" s="241"/>
      <c r="Q62" s="241"/>
      <c r="R62" s="241"/>
      <c r="S62" s="241"/>
      <c r="T62" s="241"/>
      <c r="U62" s="241"/>
      <c r="V62" s="241"/>
      <c r="W62" s="241">
        <v>2339102.4770632223</v>
      </c>
      <c r="X62" s="241">
        <v>2339102.4770632223</v>
      </c>
      <c r="Y62" s="241">
        <v>2339102.4770632223</v>
      </c>
      <c r="Z62" s="241">
        <v>2339102.4770632223</v>
      </c>
      <c r="AA62" s="241">
        <v>2339102.4770632223</v>
      </c>
      <c r="AB62" s="241">
        <v>2339102.4770632223</v>
      </c>
      <c r="AC62" s="241">
        <v>2339102.4770632223</v>
      </c>
      <c r="AD62" s="241">
        <v>2339102.4770632223</v>
      </c>
      <c r="AE62" s="241">
        <v>2339102.4770632223</v>
      </c>
      <c r="AF62" s="241">
        <v>2339102.4770632223</v>
      </c>
      <c r="AG62" s="241">
        <v>1533651.9799013576</v>
      </c>
      <c r="AH62" s="241">
        <v>917210.46308459365</v>
      </c>
      <c r="AI62" s="241">
        <v>917210.46308459365</v>
      </c>
      <c r="AJ62" s="241">
        <v>917210.46308459365</v>
      </c>
      <c r="AK62" s="241">
        <v>917210.46308459365</v>
      </c>
      <c r="AL62" s="241">
        <v>917210.46308459365</v>
      </c>
      <c r="AM62" s="241">
        <v>917210.46308459365</v>
      </c>
      <c r="AN62" s="241">
        <v>602791.56315324071</v>
      </c>
      <c r="AO62" s="241">
        <v>576155.45525008801</v>
      </c>
      <c r="AP62" s="241">
        <v>576155.45525008801</v>
      </c>
      <c r="AQ62" s="241">
        <v>576155.45525008801</v>
      </c>
      <c r="AR62" s="241">
        <v>576155.45525008801</v>
      </c>
      <c r="AS62" s="241"/>
      <c r="AT62" s="241"/>
      <c r="AU62" s="241"/>
      <c r="AV62" s="241"/>
      <c r="AW62" s="241"/>
      <c r="AX62" s="241"/>
      <c r="AY62" s="241"/>
      <c r="AZ62" s="241"/>
      <c r="BA62" s="241"/>
      <c r="BB62" s="241"/>
      <c r="BC62" s="241">
        <v>570739.22666633199</v>
      </c>
      <c r="BD62" s="241">
        <v>563619.37876523938</v>
      </c>
      <c r="BE62" s="241">
        <v>563619.37876523938</v>
      </c>
      <c r="BF62" s="241">
        <v>526744.19487541006</v>
      </c>
      <c r="BG62" s="241">
        <v>387519.58709154255</v>
      </c>
      <c r="BH62" s="241">
        <v>145065.70096107179</v>
      </c>
      <c r="BI62" s="241">
        <v>145065.70096107179</v>
      </c>
      <c r="BJ62" s="241">
        <v>145065.70096107179</v>
      </c>
      <c r="BK62" s="241">
        <v>145065.70096106641</v>
      </c>
      <c r="BL62" s="241">
        <v>0</v>
      </c>
      <c r="BM62" s="241">
        <v>0</v>
      </c>
      <c r="BN62" s="241">
        <v>0</v>
      </c>
      <c r="BO62" s="241">
        <v>0</v>
      </c>
      <c r="BP62" s="241">
        <v>0</v>
      </c>
    </row>
    <row r="65" spans="8:13" x14ac:dyDescent="0.2">
      <c r="H65" s="241"/>
      <c r="I65" s="241"/>
      <c r="J65" s="241"/>
      <c r="K65" s="241"/>
      <c r="L65" s="241"/>
      <c r="M65" s="241"/>
    </row>
    <row r="70" spans="8:13" x14ac:dyDescent="0.2">
      <c r="H70" s="241"/>
      <c r="I70" s="241"/>
      <c r="J70" s="241"/>
      <c r="K70" s="241"/>
      <c r="L70" s="241"/>
      <c r="M70" s="241"/>
    </row>
  </sheetData>
  <pageMargins left="0.19685039370078741" right="0.19685039370078741" top="0.19685039370078741" bottom="0.19685039370078741" header="0.31496062992125984" footer="0.31496062992125984"/>
  <pageSetup paperSize="9" scale="54" orientation="landscape" r:id="rId1"/>
  <ignoredErrors>
    <ignoredError sqref="H2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4DA89-BE56-4B20-8B35-A56DF3222F30}">
  <sheetPr codeName="Sheet11">
    <pageSetUpPr fitToPage="1"/>
  </sheetPr>
  <dimension ref="A1:BZ297"/>
  <sheetViews>
    <sheetView showGridLines="0" zoomScale="70" zoomScaleNormal="70" workbookViewId="0">
      <selection activeCell="E15" sqref="E15"/>
    </sheetView>
  </sheetViews>
  <sheetFormatPr defaultColWidth="8" defaultRowHeight="15" x14ac:dyDescent="0.25"/>
  <cols>
    <col min="1" max="1" width="2.375" style="115" customWidth="1"/>
    <col min="2" max="9" width="21.25" style="114" customWidth="1"/>
    <col min="10" max="16384" width="8" style="114"/>
  </cols>
  <sheetData>
    <row r="1" spans="1:78" s="1" customFormat="1" ht="18.75" x14ac:dyDescent="0.3">
      <c r="A1" s="249" t="str">
        <f>'T3 Distribution_Depn'!A1</f>
        <v>Powercor REFCLs</v>
      </c>
      <c r="B1" s="249"/>
      <c r="C1" s="249"/>
      <c r="D1" s="249"/>
      <c r="E1" s="249"/>
      <c r="F1" s="249"/>
      <c r="G1" s="250"/>
      <c r="H1" s="250"/>
      <c r="I1" s="250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4"/>
      <c r="BS1" s="114"/>
      <c r="BT1" s="114"/>
      <c r="BU1" s="114"/>
      <c r="BV1" s="114"/>
      <c r="BW1" s="114"/>
      <c r="BX1" s="114"/>
      <c r="BY1" s="114"/>
      <c r="BZ1" s="114"/>
    </row>
    <row r="2" spans="1:78" s="1" customFormat="1" ht="15.75" x14ac:dyDescent="0.25">
      <c r="A2" s="252" t="s">
        <v>203</v>
      </c>
      <c r="B2" s="252"/>
      <c r="C2" s="252"/>
      <c r="D2" s="252"/>
      <c r="E2" s="252"/>
      <c r="F2" s="252"/>
      <c r="G2" s="253"/>
      <c r="H2" s="253"/>
      <c r="I2" s="253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4"/>
      <c r="BP2" s="114"/>
      <c r="BQ2" s="114"/>
      <c r="BR2" s="114"/>
      <c r="BS2" s="114"/>
      <c r="BT2" s="114"/>
      <c r="BU2" s="114"/>
      <c r="BV2" s="114"/>
      <c r="BW2" s="114"/>
      <c r="BX2" s="114"/>
      <c r="BY2" s="114"/>
      <c r="BZ2" s="114"/>
    </row>
    <row r="3" spans="1:78" ht="18.75" x14ac:dyDescent="0.3">
      <c r="A3" s="297"/>
      <c r="B3" s="298"/>
      <c r="C3" s="298"/>
      <c r="D3" s="298"/>
      <c r="E3" s="299"/>
      <c r="F3" s="299"/>
      <c r="G3" s="299"/>
      <c r="H3" s="299"/>
      <c r="I3" s="299"/>
      <c r="J3" s="300"/>
      <c r="K3" s="300"/>
      <c r="L3" s="300"/>
      <c r="M3" s="300"/>
      <c r="N3" s="300"/>
      <c r="O3" s="300"/>
      <c r="S3" s="145"/>
      <c r="T3" s="148"/>
      <c r="U3" s="147"/>
      <c r="V3" s="123"/>
      <c r="W3" s="145"/>
      <c r="X3" s="145"/>
      <c r="Y3" s="145"/>
      <c r="Z3" s="145"/>
      <c r="AA3" s="145"/>
      <c r="AB3" s="145"/>
      <c r="AC3" s="145"/>
    </row>
    <row r="4" spans="1:78" x14ac:dyDescent="0.25">
      <c r="A4" s="116"/>
    </row>
    <row r="5" spans="1:78" x14ac:dyDescent="0.25">
      <c r="A5" s="116"/>
      <c r="B5" s="145" t="s">
        <v>112</v>
      </c>
      <c r="D5" s="169">
        <v>2019</v>
      </c>
      <c r="G5" s="141"/>
      <c r="H5" s="137"/>
      <c r="K5" s="54"/>
      <c r="L5" s="54"/>
    </row>
    <row r="6" spans="1:78" x14ac:dyDescent="0.25">
      <c r="A6" s="116"/>
      <c r="B6" s="114" t="s">
        <v>96</v>
      </c>
      <c r="D6" s="143">
        <v>51</v>
      </c>
      <c r="G6" s="137"/>
      <c r="H6" s="137"/>
      <c r="K6" s="54"/>
      <c r="L6" s="54"/>
    </row>
    <row r="7" spans="1:78" x14ac:dyDescent="0.25">
      <c r="A7" s="116"/>
      <c r="B7" s="145" t="s">
        <v>116</v>
      </c>
      <c r="C7" s="145"/>
      <c r="D7" s="199">
        <f>[3]Tot_cost!$AU$20/SUM([3]ART_volumes!$K$20,[3]CRO_volumes!$K$20,[3]HTN_volumes!$K$20,[3]KRT_volumes!$K$20,[3]MBN_volumes!$K$20,[3]STL_volumes!$K$20,[3]TRG_volumes!$K$20)</f>
        <v>58154.362410924339</v>
      </c>
      <c r="G7" s="137"/>
      <c r="H7" s="137"/>
      <c r="K7" s="54"/>
      <c r="L7" s="54"/>
    </row>
    <row r="8" spans="1:78" x14ac:dyDescent="0.25">
      <c r="A8" s="116"/>
      <c r="G8" s="137"/>
      <c r="H8" s="137"/>
      <c r="K8" s="54"/>
      <c r="L8" s="54"/>
    </row>
    <row r="9" spans="1:78" x14ac:dyDescent="0.25">
      <c r="A9" s="116"/>
    </row>
    <row r="10" spans="1:78" x14ac:dyDescent="0.25">
      <c r="A10" s="116"/>
      <c r="B10" s="162" t="s">
        <v>143</v>
      </c>
      <c r="C10" s="162"/>
      <c r="D10" s="162"/>
    </row>
    <row r="11" spans="1:78" x14ac:dyDescent="0.25">
      <c r="A11" s="116"/>
      <c r="B11" s="194" t="s">
        <v>87</v>
      </c>
      <c r="C11" s="194" t="s">
        <v>86</v>
      </c>
      <c r="D11" s="194" t="s">
        <v>119</v>
      </c>
      <c r="E11" s="194" t="s">
        <v>142</v>
      </c>
      <c r="F11" s="177" t="s">
        <v>118</v>
      </c>
      <c r="G11" s="177" t="s">
        <v>117</v>
      </c>
      <c r="H11" s="177" t="s">
        <v>114</v>
      </c>
      <c r="I11" s="177" t="s">
        <v>100</v>
      </c>
    </row>
    <row r="12" spans="1:78" ht="15" customHeight="1" x14ac:dyDescent="0.25">
      <c r="A12" s="116"/>
      <c r="B12" s="192">
        <v>3</v>
      </c>
      <c r="C12" s="192" t="s">
        <v>41</v>
      </c>
      <c r="D12" s="198">
        <v>84337360</v>
      </c>
      <c r="E12" s="198" t="s">
        <v>141</v>
      </c>
      <c r="F12" s="190">
        <v>41320</v>
      </c>
      <c r="G12" s="193">
        <f>'T3 ACRs'!$D$5-YEAR(F12)</f>
        <v>6</v>
      </c>
      <c r="H12" s="154">
        <f t="shared" ref="H12:H33" si="0">$D$6-G12</f>
        <v>45</v>
      </c>
      <c r="I12" s="155">
        <f>$D$7/'T3 ACRs'!$D$6*H12</f>
        <v>51312.672715521476</v>
      </c>
    </row>
    <row r="13" spans="1:78" ht="15" customHeight="1" x14ac:dyDescent="0.25">
      <c r="A13" s="116"/>
      <c r="B13" s="198">
        <v>3</v>
      </c>
      <c r="C13" s="192" t="s">
        <v>36</v>
      </c>
      <c r="D13" s="198">
        <v>24599384</v>
      </c>
      <c r="E13" s="198" t="s">
        <v>140</v>
      </c>
      <c r="F13" s="190">
        <v>37622</v>
      </c>
      <c r="G13" s="193">
        <f>'T3 ACRs'!$D$5-YEAR(F13)</f>
        <v>16</v>
      </c>
      <c r="H13" s="154">
        <f t="shared" si="0"/>
        <v>35</v>
      </c>
      <c r="I13" s="155">
        <f>$D$7/'T3 ACRs'!$D$6*H13</f>
        <v>39909.856556516701</v>
      </c>
    </row>
    <row r="14" spans="1:78" ht="15" customHeight="1" x14ac:dyDescent="0.25">
      <c r="A14" s="116"/>
      <c r="B14" s="198">
        <v>3</v>
      </c>
      <c r="C14" s="192" t="s">
        <v>35</v>
      </c>
      <c r="D14" s="198">
        <v>24598188</v>
      </c>
      <c r="E14" s="198" t="s">
        <v>139</v>
      </c>
      <c r="F14" s="190">
        <v>38718</v>
      </c>
      <c r="G14" s="193">
        <f>'T3 ACRs'!$D$5-YEAR(F14)</f>
        <v>13</v>
      </c>
      <c r="H14" s="154">
        <f t="shared" si="0"/>
        <v>38</v>
      </c>
      <c r="I14" s="155">
        <f>$D$7/'T3 ACRs'!$D$6*H14</f>
        <v>43330.701404218133</v>
      </c>
    </row>
    <row r="15" spans="1:78" ht="15" customHeight="1" x14ac:dyDescent="0.25">
      <c r="A15" s="116"/>
      <c r="B15" s="198">
        <v>3</v>
      </c>
      <c r="C15" s="192" t="s">
        <v>35</v>
      </c>
      <c r="D15" s="198">
        <v>24602686</v>
      </c>
      <c r="E15" s="198" t="s">
        <v>138</v>
      </c>
      <c r="F15" s="190">
        <v>41555</v>
      </c>
      <c r="G15" s="193">
        <f>'T3 ACRs'!$D$5-YEAR(F15)</f>
        <v>6</v>
      </c>
      <c r="H15" s="154">
        <f t="shared" si="0"/>
        <v>45</v>
      </c>
      <c r="I15" s="155">
        <f>$D$7/'T3 ACRs'!$D$6*H15</f>
        <v>51312.672715521476</v>
      </c>
    </row>
    <row r="16" spans="1:78" ht="15" customHeight="1" x14ac:dyDescent="0.25">
      <c r="A16" s="116"/>
      <c r="B16" s="198">
        <v>3</v>
      </c>
      <c r="C16" s="192" t="s">
        <v>35</v>
      </c>
      <c r="D16" s="198">
        <v>24598314</v>
      </c>
      <c r="E16" s="198" t="s">
        <v>137</v>
      </c>
      <c r="F16" s="190">
        <v>25569</v>
      </c>
      <c r="G16" s="193">
        <f>'T3 ACRs'!$D$5-YEAR(F16)</f>
        <v>49</v>
      </c>
      <c r="H16" s="154">
        <f t="shared" si="0"/>
        <v>2</v>
      </c>
      <c r="I16" s="155">
        <f>$D$7/'T3 ACRs'!$D$6*H16</f>
        <v>2280.5632318009543</v>
      </c>
    </row>
    <row r="17" spans="1:11" ht="15" customHeight="1" x14ac:dyDescent="0.25">
      <c r="A17" s="116"/>
      <c r="B17" s="198">
        <v>3</v>
      </c>
      <c r="C17" s="192" t="s">
        <v>35</v>
      </c>
      <c r="D17" s="198">
        <v>24598272</v>
      </c>
      <c r="E17" s="198" t="s">
        <v>136</v>
      </c>
      <c r="F17" s="190">
        <v>28856</v>
      </c>
      <c r="G17" s="193">
        <f>'T3 ACRs'!$D$5-YEAR(F17)</f>
        <v>40</v>
      </c>
      <c r="H17" s="154">
        <f t="shared" si="0"/>
        <v>11</v>
      </c>
      <c r="I17" s="155">
        <f>$D$7/'T3 ACRs'!$D$6*H17</f>
        <v>12543.097774905249</v>
      </c>
    </row>
    <row r="18" spans="1:11" ht="15" customHeight="1" x14ac:dyDescent="0.25">
      <c r="A18" s="116"/>
      <c r="B18" s="198">
        <v>3</v>
      </c>
      <c r="C18" s="192" t="s">
        <v>35</v>
      </c>
      <c r="D18" s="198">
        <v>24598300</v>
      </c>
      <c r="E18" s="198" t="s">
        <v>135</v>
      </c>
      <c r="F18" s="190">
        <v>41682</v>
      </c>
      <c r="G18" s="193">
        <f>'T3 ACRs'!$D$5-YEAR(F18)</f>
        <v>5</v>
      </c>
      <c r="H18" s="154">
        <f t="shared" si="0"/>
        <v>46</v>
      </c>
      <c r="I18" s="155">
        <f>$D$7/'T3 ACRs'!$D$6*H18</f>
        <v>52452.954331421948</v>
      </c>
    </row>
    <row r="19" spans="1:11" ht="15" customHeight="1" x14ac:dyDescent="0.25">
      <c r="A19" s="116"/>
      <c r="B19" s="198">
        <v>3</v>
      </c>
      <c r="C19" s="192" t="s">
        <v>38</v>
      </c>
      <c r="D19" s="198">
        <v>108341179</v>
      </c>
      <c r="E19" s="198" t="s">
        <v>134</v>
      </c>
      <c r="F19" s="190">
        <v>42109</v>
      </c>
      <c r="G19" s="193">
        <f>'T3 ACRs'!$D$5-YEAR(F19)</f>
        <v>4</v>
      </c>
      <c r="H19" s="154">
        <f t="shared" si="0"/>
        <v>47</v>
      </c>
      <c r="I19" s="155">
        <f>$D$7/'T3 ACRs'!$D$6*H19</f>
        <v>53593.235947322428</v>
      </c>
      <c r="K19" s="145"/>
    </row>
    <row r="20" spans="1:11" ht="15" customHeight="1" x14ac:dyDescent="0.25">
      <c r="A20" s="116"/>
      <c r="B20" s="198">
        <v>3</v>
      </c>
      <c r="C20" s="192" t="s">
        <v>38</v>
      </c>
      <c r="D20" s="198">
        <v>60700621</v>
      </c>
      <c r="E20" s="198" t="s">
        <v>133</v>
      </c>
      <c r="F20" s="190">
        <v>40486</v>
      </c>
      <c r="G20" s="193">
        <f>'T3 ACRs'!$D$5-YEAR(F20)</f>
        <v>9</v>
      </c>
      <c r="H20" s="154">
        <f t="shared" si="0"/>
        <v>42</v>
      </c>
      <c r="I20" s="155">
        <f>$D$7/'T3 ACRs'!$D$6*H20</f>
        <v>47891.827867820044</v>
      </c>
      <c r="K20" s="145"/>
    </row>
    <row r="21" spans="1:11" ht="15" customHeight="1" x14ac:dyDescent="0.25">
      <c r="A21" s="116"/>
      <c r="B21" s="198">
        <v>3</v>
      </c>
      <c r="C21" s="192" t="s">
        <v>38</v>
      </c>
      <c r="D21" s="198">
        <v>60700569</v>
      </c>
      <c r="E21" s="198" t="s">
        <v>132</v>
      </c>
      <c r="F21" s="190">
        <v>40491</v>
      </c>
      <c r="G21" s="193">
        <f>'T3 ACRs'!$D$5-YEAR(F21)</f>
        <v>9</v>
      </c>
      <c r="H21" s="154">
        <f t="shared" si="0"/>
        <v>42</v>
      </c>
      <c r="I21" s="155">
        <f>$D$7/'T3 ACRs'!$D$6*H21</f>
        <v>47891.827867820044</v>
      </c>
      <c r="K21" s="145"/>
    </row>
    <row r="22" spans="1:11" ht="15" customHeight="1" x14ac:dyDescent="0.25">
      <c r="A22" s="116"/>
      <c r="B22" s="198">
        <v>3</v>
      </c>
      <c r="C22" s="192" t="s">
        <v>39</v>
      </c>
      <c r="D22" s="198">
        <v>24597686</v>
      </c>
      <c r="E22" s="198" t="s">
        <v>131</v>
      </c>
      <c r="F22" s="190">
        <v>37622</v>
      </c>
      <c r="G22" s="193">
        <f>'T3 ACRs'!$D$5-YEAR(F22)</f>
        <v>16</v>
      </c>
      <c r="H22" s="154">
        <f t="shared" si="0"/>
        <v>35</v>
      </c>
      <c r="I22" s="155">
        <f>$D$7/'T3 ACRs'!$D$6*H22</f>
        <v>39909.856556516701</v>
      </c>
    </row>
    <row r="23" spans="1:11" ht="15" customHeight="1" x14ac:dyDescent="0.25">
      <c r="A23" s="116"/>
      <c r="B23" s="198">
        <v>3</v>
      </c>
      <c r="C23" s="192" t="s">
        <v>39</v>
      </c>
      <c r="D23" s="198">
        <v>24597700</v>
      </c>
      <c r="E23" s="198" t="s">
        <v>130</v>
      </c>
      <c r="F23" s="190">
        <v>37622</v>
      </c>
      <c r="G23" s="193">
        <f>'T3 ACRs'!$D$5-YEAR(F23)</f>
        <v>16</v>
      </c>
      <c r="H23" s="154">
        <f t="shared" si="0"/>
        <v>35</v>
      </c>
      <c r="I23" s="155">
        <f>$D$7/'T3 ACRs'!$D$6*H23</f>
        <v>39909.856556516701</v>
      </c>
    </row>
    <row r="24" spans="1:11" ht="15" customHeight="1" x14ac:dyDescent="0.25">
      <c r="A24" s="116"/>
      <c r="B24" s="198">
        <v>3</v>
      </c>
      <c r="C24" s="192" t="s">
        <v>39</v>
      </c>
      <c r="D24" s="198">
        <v>24597784</v>
      </c>
      <c r="E24" s="198" t="s">
        <v>129</v>
      </c>
      <c r="F24" s="190">
        <v>37622</v>
      </c>
      <c r="G24" s="193">
        <f>'T3 ACRs'!$D$5-YEAR(F24)</f>
        <v>16</v>
      </c>
      <c r="H24" s="154">
        <f t="shared" si="0"/>
        <v>35</v>
      </c>
      <c r="I24" s="155">
        <f>$D$7/'T3 ACRs'!$D$6*H24</f>
        <v>39909.856556516701</v>
      </c>
    </row>
    <row r="25" spans="1:11" ht="15" customHeight="1" x14ac:dyDescent="0.25">
      <c r="A25" s="116"/>
      <c r="B25" s="198">
        <v>3</v>
      </c>
      <c r="C25" s="192" t="s">
        <v>39</v>
      </c>
      <c r="D25" s="198">
        <v>24603830</v>
      </c>
      <c r="E25" s="198" t="s">
        <v>128</v>
      </c>
      <c r="F25" s="190">
        <v>39814</v>
      </c>
      <c r="G25" s="193">
        <f>'T3 ACRs'!$D$5-YEAR(F25)</f>
        <v>10</v>
      </c>
      <c r="H25" s="154">
        <f t="shared" si="0"/>
        <v>41</v>
      </c>
      <c r="I25" s="155">
        <f>$D$7/'T3 ACRs'!$D$6*H25</f>
        <v>46751.546251919564</v>
      </c>
    </row>
    <row r="26" spans="1:11" ht="15" customHeight="1" x14ac:dyDescent="0.25">
      <c r="A26" s="116"/>
      <c r="B26" s="198">
        <v>3</v>
      </c>
      <c r="C26" s="192" t="s">
        <v>39</v>
      </c>
      <c r="D26" s="198">
        <v>24597114</v>
      </c>
      <c r="E26" s="198" t="s">
        <v>127</v>
      </c>
      <c r="F26" s="190">
        <v>37622</v>
      </c>
      <c r="G26" s="193">
        <f>'T3 ACRs'!$D$5-YEAR(F26)</f>
        <v>16</v>
      </c>
      <c r="H26" s="154">
        <f t="shared" si="0"/>
        <v>35</v>
      </c>
      <c r="I26" s="155">
        <f>$D$7/'T3 ACRs'!$D$6*H26</f>
        <v>39909.856556516701</v>
      </c>
    </row>
    <row r="27" spans="1:11" ht="15" customHeight="1" x14ac:dyDescent="0.25">
      <c r="A27" s="116"/>
      <c r="B27" s="198">
        <v>3</v>
      </c>
      <c r="C27" s="192" t="s">
        <v>39</v>
      </c>
      <c r="D27" s="198">
        <v>24597338</v>
      </c>
      <c r="E27" s="198" t="s">
        <v>126</v>
      </c>
      <c r="F27" s="190">
        <v>36892</v>
      </c>
      <c r="G27" s="193">
        <f>'T3 ACRs'!$D$5-YEAR(F27)</f>
        <v>18</v>
      </c>
      <c r="H27" s="154">
        <f t="shared" si="0"/>
        <v>33</v>
      </c>
      <c r="I27" s="155">
        <f>$D$7/'T3 ACRs'!$D$6*H27</f>
        <v>37629.293324715749</v>
      </c>
    </row>
    <row r="28" spans="1:11" ht="15" customHeight="1" x14ac:dyDescent="0.25">
      <c r="A28" s="116"/>
      <c r="B28" s="198">
        <v>3</v>
      </c>
      <c r="C28" s="192" t="s">
        <v>40</v>
      </c>
      <c r="D28" s="198">
        <v>24605726</v>
      </c>
      <c r="E28" s="198" t="s">
        <v>125</v>
      </c>
      <c r="F28" s="190">
        <v>37622</v>
      </c>
      <c r="G28" s="193">
        <f>'T3 ACRs'!$D$5-YEAR(F28)</f>
        <v>16</v>
      </c>
      <c r="H28" s="154">
        <f t="shared" si="0"/>
        <v>35</v>
      </c>
      <c r="I28" s="155">
        <f>$D$7/'T3 ACRs'!$D$6*H28</f>
        <v>39909.856556516701</v>
      </c>
    </row>
    <row r="29" spans="1:11" ht="15" customHeight="1" x14ac:dyDescent="0.25">
      <c r="A29" s="116"/>
      <c r="B29" s="198">
        <v>3</v>
      </c>
      <c r="C29" s="192" t="s">
        <v>40</v>
      </c>
      <c r="D29" s="198">
        <v>76065032</v>
      </c>
      <c r="E29" s="198" t="s">
        <v>124</v>
      </c>
      <c r="F29" s="190">
        <v>41211</v>
      </c>
      <c r="G29" s="193">
        <f>'T3 ACRs'!$D$5-YEAR(F29)</f>
        <v>7</v>
      </c>
      <c r="H29" s="154">
        <f t="shared" si="0"/>
        <v>44</v>
      </c>
      <c r="I29" s="155">
        <f>$D$7/'T3 ACRs'!$D$6*H29</f>
        <v>50172.391099620996</v>
      </c>
    </row>
    <row r="30" spans="1:11" ht="15" customHeight="1" x14ac:dyDescent="0.25">
      <c r="A30" s="116"/>
      <c r="B30" s="198">
        <v>3</v>
      </c>
      <c r="C30" s="192" t="s">
        <v>40</v>
      </c>
      <c r="D30" s="198">
        <v>77737627</v>
      </c>
      <c r="E30" s="198" t="s">
        <v>123</v>
      </c>
      <c r="F30" s="190">
        <v>41243</v>
      </c>
      <c r="G30" s="193">
        <f>'T3 ACRs'!$D$5-YEAR(F30)</f>
        <v>7</v>
      </c>
      <c r="H30" s="154">
        <f t="shared" si="0"/>
        <v>44</v>
      </c>
      <c r="I30" s="155">
        <f>$D$7/'T3 ACRs'!$D$6*H30</f>
        <v>50172.391099620996</v>
      </c>
    </row>
    <row r="31" spans="1:11" ht="15" customHeight="1" x14ac:dyDescent="0.25">
      <c r="A31" s="116"/>
      <c r="B31" s="198">
        <v>3</v>
      </c>
      <c r="C31" s="192" t="s">
        <v>37</v>
      </c>
      <c r="D31" s="198">
        <v>52301620</v>
      </c>
      <c r="E31" s="198" t="s">
        <v>122</v>
      </c>
      <c r="F31" s="190">
        <v>40338</v>
      </c>
      <c r="G31" s="193">
        <f>'T3 ACRs'!$D$5-YEAR(F31)</f>
        <v>9</v>
      </c>
      <c r="H31" s="154">
        <f t="shared" si="0"/>
        <v>42</v>
      </c>
      <c r="I31" s="155">
        <f>$D$7/'T3 ACRs'!$D$6*H31</f>
        <v>47891.827867820044</v>
      </c>
    </row>
    <row r="32" spans="1:11" ht="15" customHeight="1" x14ac:dyDescent="0.25">
      <c r="A32" s="116"/>
      <c r="B32" s="198">
        <v>4</v>
      </c>
      <c r="C32" s="192" t="s">
        <v>33</v>
      </c>
      <c r="D32" s="198"/>
      <c r="E32" s="198" t="s">
        <v>121</v>
      </c>
      <c r="F32" s="190">
        <v>34700</v>
      </c>
      <c r="G32" s="193">
        <f>'T3 ACRs'!$D$5-YEAR(F32)</f>
        <v>24</v>
      </c>
      <c r="H32" s="154">
        <f t="shared" si="0"/>
        <v>27</v>
      </c>
      <c r="I32" s="155">
        <f>$D$7/'T3 ACRs'!$D$6*H32</f>
        <v>30787.603629312882</v>
      </c>
    </row>
    <row r="33" spans="1:12" x14ac:dyDescent="0.25">
      <c r="A33" s="116"/>
      <c r="B33" s="198">
        <v>4</v>
      </c>
      <c r="C33" s="192" t="s">
        <v>33</v>
      </c>
      <c r="D33" s="198"/>
      <c r="E33" s="198" t="s">
        <v>120</v>
      </c>
      <c r="F33" s="195">
        <v>34700</v>
      </c>
      <c r="G33" s="193">
        <f>'T3 ACRs'!$D$5-YEAR(F33)</f>
        <v>24</v>
      </c>
      <c r="H33" s="154">
        <f t="shared" si="0"/>
        <v>27</v>
      </c>
      <c r="I33" s="155">
        <f>$D$7/'T3 ACRs'!$D$6*H33</f>
        <v>30787.603629312882</v>
      </c>
      <c r="L33" s="197"/>
    </row>
    <row r="34" spans="1:12" x14ac:dyDescent="0.25">
      <c r="A34" s="116"/>
      <c r="B34" s="120" t="s">
        <v>82</v>
      </c>
      <c r="C34" s="120"/>
      <c r="D34" s="196"/>
      <c r="E34" s="120"/>
      <c r="F34" s="120"/>
      <c r="G34" s="172"/>
      <c r="H34" s="172"/>
      <c r="I34" s="118">
        <f>SUM(I12:I33)</f>
        <v>896261.35009777499</v>
      </c>
    </row>
    <row r="35" spans="1:12" x14ac:dyDescent="0.25">
      <c r="A35" s="116"/>
      <c r="B35" s="189"/>
      <c r="C35" s="189"/>
      <c r="D35" s="189"/>
      <c r="E35" s="170"/>
      <c r="F35" s="170"/>
      <c r="G35" s="170"/>
      <c r="H35" s="170"/>
      <c r="I35" s="170"/>
    </row>
    <row r="36" spans="1:12" x14ac:dyDescent="0.25">
      <c r="A36" s="116"/>
      <c r="B36" s="188"/>
    </row>
    <row r="37" spans="1:12" x14ac:dyDescent="0.25">
      <c r="A37" s="116"/>
      <c r="B37" s="188"/>
    </row>
    <row r="38" spans="1:12" x14ac:dyDescent="0.25">
      <c r="A38" s="116"/>
      <c r="B38" s="188"/>
    </row>
    <row r="39" spans="1:12" x14ac:dyDescent="0.25">
      <c r="A39" s="116"/>
      <c r="B39" s="188"/>
    </row>
    <row r="40" spans="1:12" x14ac:dyDescent="0.25">
      <c r="A40" s="116"/>
      <c r="B40" s="188"/>
    </row>
    <row r="41" spans="1:12" x14ac:dyDescent="0.25">
      <c r="A41" s="116"/>
      <c r="B41" s="188"/>
    </row>
    <row r="42" spans="1:12" x14ac:dyDescent="0.25">
      <c r="A42" s="116"/>
      <c r="B42" s="188"/>
    </row>
    <row r="43" spans="1:12" x14ac:dyDescent="0.25">
      <c r="A43" s="116"/>
      <c r="B43" s="188"/>
    </row>
    <row r="44" spans="1:12" x14ac:dyDescent="0.25">
      <c r="A44" s="116"/>
      <c r="B44" s="188"/>
    </row>
    <row r="45" spans="1:12" x14ac:dyDescent="0.25">
      <c r="A45" s="116"/>
      <c r="B45" s="188"/>
    </row>
    <row r="46" spans="1:12" x14ac:dyDescent="0.25">
      <c r="A46" s="116"/>
      <c r="B46" s="188"/>
    </row>
    <row r="47" spans="1:12" x14ac:dyDescent="0.25">
      <c r="A47" s="116"/>
      <c r="B47" s="188"/>
    </row>
    <row r="48" spans="1:12" x14ac:dyDescent="0.25">
      <c r="A48" s="116"/>
      <c r="B48" s="188"/>
    </row>
    <row r="49" spans="1:2" x14ac:dyDescent="0.25">
      <c r="A49" s="116"/>
      <c r="B49" s="188"/>
    </row>
    <row r="50" spans="1:2" x14ac:dyDescent="0.25">
      <c r="A50" s="116"/>
      <c r="B50" s="188"/>
    </row>
    <row r="51" spans="1:2" x14ac:dyDescent="0.25">
      <c r="A51" s="116"/>
      <c r="B51" s="188"/>
    </row>
    <row r="52" spans="1:2" x14ac:dyDescent="0.25">
      <c r="A52" s="116"/>
      <c r="B52" s="188"/>
    </row>
    <row r="53" spans="1:2" x14ac:dyDescent="0.25">
      <c r="A53" s="116"/>
      <c r="B53" s="188"/>
    </row>
    <row r="54" spans="1:2" x14ac:dyDescent="0.25">
      <c r="A54" s="116"/>
      <c r="B54" s="188"/>
    </row>
    <row r="55" spans="1:2" x14ac:dyDescent="0.25">
      <c r="A55" s="116"/>
      <c r="B55" s="188"/>
    </row>
    <row r="56" spans="1:2" x14ac:dyDescent="0.25">
      <c r="A56" s="116"/>
      <c r="B56" s="188"/>
    </row>
    <row r="57" spans="1:2" x14ac:dyDescent="0.25">
      <c r="A57" s="116"/>
      <c r="B57" s="188"/>
    </row>
    <row r="58" spans="1:2" x14ac:dyDescent="0.25">
      <c r="A58" s="116"/>
      <c r="B58" s="188"/>
    </row>
    <row r="59" spans="1:2" x14ac:dyDescent="0.25">
      <c r="A59" s="116"/>
      <c r="B59" s="188"/>
    </row>
    <row r="60" spans="1:2" x14ac:dyDescent="0.25">
      <c r="A60" s="116"/>
      <c r="B60" s="188"/>
    </row>
    <row r="61" spans="1:2" x14ac:dyDescent="0.25">
      <c r="A61" s="116"/>
      <c r="B61" s="188"/>
    </row>
    <row r="62" spans="1:2" x14ac:dyDescent="0.25">
      <c r="A62" s="116"/>
      <c r="B62" s="188"/>
    </row>
    <row r="63" spans="1:2" x14ac:dyDescent="0.25">
      <c r="A63" s="116"/>
      <c r="B63" s="188"/>
    </row>
    <row r="64" spans="1:2" x14ac:dyDescent="0.25">
      <c r="A64" s="116"/>
      <c r="B64" s="188"/>
    </row>
    <row r="65" spans="1:1" x14ac:dyDescent="0.25">
      <c r="A65" s="116"/>
    </row>
    <row r="66" spans="1:1" x14ac:dyDescent="0.25">
      <c r="A66" s="116"/>
    </row>
    <row r="67" spans="1:1" x14ac:dyDescent="0.25">
      <c r="A67" s="116"/>
    </row>
    <row r="68" spans="1:1" x14ac:dyDescent="0.25">
      <c r="A68" s="116"/>
    </row>
    <row r="69" spans="1:1" x14ac:dyDescent="0.25">
      <c r="A69" s="116"/>
    </row>
    <row r="70" spans="1:1" x14ac:dyDescent="0.25">
      <c r="A70" s="116"/>
    </row>
    <row r="71" spans="1:1" x14ac:dyDescent="0.25">
      <c r="A71" s="116"/>
    </row>
    <row r="72" spans="1:1" x14ac:dyDescent="0.25">
      <c r="A72" s="116"/>
    </row>
    <row r="73" spans="1:1" x14ac:dyDescent="0.25">
      <c r="A73" s="116"/>
    </row>
    <row r="74" spans="1:1" x14ac:dyDescent="0.25">
      <c r="A74" s="116"/>
    </row>
    <row r="75" spans="1:1" x14ac:dyDescent="0.25">
      <c r="A75" s="116"/>
    </row>
    <row r="76" spans="1:1" x14ac:dyDescent="0.25">
      <c r="A76" s="116"/>
    </row>
    <row r="77" spans="1:1" x14ac:dyDescent="0.25">
      <c r="A77" s="116"/>
    </row>
    <row r="78" spans="1:1" x14ac:dyDescent="0.25">
      <c r="A78" s="116"/>
    </row>
    <row r="79" spans="1:1" x14ac:dyDescent="0.25">
      <c r="A79" s="116"/>
    </row>
    <row r="80" spans="1:1" x14ac:dyDescent="0.25">
      <c r="A80" s="116"/>
    </row>
    <row r="81" spans="1:1" x14ac:dyDescent="0.25">
      <c r="A81" s="116"/>
    </row>
    <row r="82" spans="1:1" x14ac:dyDescent="0.25">
      <c r="A82" s="116"/>
    </row>
    <row r="83" spans="1:1" x14ac:dyDescent="0.25">
      <c r="A83" s="116"/>
    </row>
    <row r="84" spans="1:1" x14ac:dyDescent="0.25">
      <c r="A84" s="116"/>
    </row>
    <row r="85" spans="1:1" x14ac:dyDescent="0.25">
      <c r="A85" s="116"/>
    </row>
    <row r="86" spans="1:1" x14ac:dyDescent="0.25">
      <c r="A86" s="116"/>
    </row>
    <row r="87" spans="1:1" x14ac:dyDescent="0.25">
      <c r="A87" s="116"/>
    </row>
    <row r="88" spans="1:1" x14ac:dyDescent="0.25">
      <c r="A88" s="116"/>
    </row>
    <row r="89" spans="1:1" x14ac:dyDescent="0.25">
      <c r="A89" s="116"/>
    </row>
    <row r="90" spans="1:1" x14ac:dyDescent="0.25">
      <c r="A90" s="116"/>
    </row>
    <row r="91" spans="1:1" x14ac:dyDescent="0.25">
      <c r="A91" s="116"/>
    </row>
    <row r="92" spans="1:1" x14ac:dyDescent="0.25">
      <c r="A92" s="116"/>
    </row>
    <row r="93" spans="1:1" x14ac:dyDescent="0.25">
      <c r="A93" s="116"/>
    </row>
    <row r="94" spans="1:1" x14ac:dyDescent="0.25">
      <c r="A94" s="116"/>
    </row>
    <row r="95" spans="1:1" x14ac:dyDescent="0.25">
      <c r="A95" s="116"/>
    </row>
    <row r="96" spans="1:1" x14ac:dyDescent="0.25">
      <c r="A96" s="116"/>
    </row>
    <row r="97" spans="1:1" x14ac:dyDescent="0.25">
      <c r="A97" s="116"/>
    </row>
    <row r="98" spans="1:1" x14ac:dyDescent="0.25">
      <c r="A98" s="116"/>
    </row>
    <row r="99" spans="1:1" x14ac:dyDescent="0.25">
      <c r="A99" s="116"/>
    </row>
    <row r="100" spans="1:1" x14ac:dyDescent="0.25">
      <c r="A100" s="116"/>
    </row>
    <row r="101" spans="1:1" x14ac:dyDescent="0.25">
      <c r="A101" s="116"/>
    </row>
    <row r="102" spans="1:1" x14ac:dyDescent="0.25">
      <c r="A102" s="116"/>
    </row>
    <row r="103" spans="1:1" x14ac:dyDescent="0.25">
      <c r="A103" s="116"/>
    </row>
    <row r="104" spans="1:1" x14ac:dyDescent="0.25">
      <c r="A104" s="116"/>
    </row>
    <row r="105" spans="1:1" x14ac:dyDescent="0.25">
      <c r="A105" s="116"/>
    </row>
    <row r="106" spans="1:1" x14ac:dyDescent="0.25">
      <c r="A106" s="116"/>
    </row>
    <row r="107" spans="1:1" x14ac:dyDescent="0.25">
      <c r="A107" s="116"/>
    </row>
    <row r="108" spans="1:1" x14ac:dyDescent="0.25">
      <c r="A108" s="116"/>
    </row>
    <row r="109" spans="1:1" x14ac:dyDescent="0.25">
      <c r="A109" s="116"/>
    </row>
    <row r="110" spans="1:1" x14ac:dyDescent="0.25">
      <c r="A110" s="116"/>
    </row>
    <row r="111" spans="1:1" x14ac:dyDescent="0.25">
      <c r="A111" s="116"/>
    </row>
    <row r="112" spans="1:1" x14ac:dyDescent="0.25">
      <c r="A112" s="116"/>
    </row>
    <row r="113" spans="1:1" x14ac:dyDescent="0.25">
      <c r="A113" s="116"/>
    </row>
    <row r="114" spans="1:1" x14ac:dyDescent="0.25">
      <c r="A114" s="116"/>
    </row>
    <row r="115" spans="1:1" x14ac:dyDescent="0.25">
      <c r="A115" s="116"/>
    </row>
    <row r="116" spans="1:1" x14ac:dyDescent="0.25">
      <c r="A116" s="116"/>
    </row>
    <row r="117" spans="1:1" x14ac:dyDescent="0.25">
      <c r="A117" s="116"/>
    </row>
    <row r="118" spans="1:1" x14ac:dyDescent="0.25">
      <c r="A118" s="116"/>
    </row>
    <row r="119" spans="1:1" x14ac:dyDescent="0.25">
      <c r="A119" s="116"/>
    </row>
    <row r="120" spans="1:1" x14ac:dyDescent="0.25">
      <c r="A120" s="116"/>
    </row>
    <row r="121" spans="1:1" x14ac:dyDescent="0.25">
      <c r="A121" s="116"/>
    </row>
    <row r="122" spans="1:1" x14ac:dyDescent="0.25">
      <c r="A122" s="116"/>
    </row>
    <row r="123" spans="1:1" x14ac:dyDescent="0.25">
      <c r="A123" s="116"/>
    </row>
    <row r="124" spans="1:1" x14ac:dyDescent="0.25">
      <c r="A124" s="116"/>
    </row>
    <row r="125" spans="1:1" x14ac:dyDescent="0.25">
      <c r="A125" s="116"/>
    </row>
    <row r="126" spans="1:1" x14ac:dyDescent="0.25">
      <c r="A126" s="116"/>
    </row>
    <row r="127" spans="1:1" x14ac:dyDescent="0.25">
      <c r="A127" s="116"/>
    </row>
    <row r="128" spans="1:1" x14ac:dyDescent="0.25">
      <c r="A128" s="116"/>
    </row>
    <row r="129" spans="1:1" x14ac:dyDescent="0.25">
      <c r="A129" s="116"/>
    </row>
    <row r="130" spans="1:1" x14ac:dyDescent="0.25">
      <c r="A130" s="116"/>
    </row>
    <row r="131" spans="1:1" x14ac:dyDescent="0.25">
      <c r="A131" s="116"/>
    </row>
    <row r="132" spans="1:1" x14ac:dyDescent="0.25">
      <c r="A132" s="116"/>
    </row>
    <row r="133" spans="1:1" x14ac:dyDescent="0.25">
      <c r="A133" s="116"/>
    </row>
    <row r="134" spans="1:1" x14ac:dyDescent="0.25">
      <c r="A134" s="116"/>
    </row>
    <row r="135" spans="1:1" x14ac:dyDescent="0.25">
      <c r="A135" s="116"/>
    </row>
    <row r="136" spans="1:1" x14ac:dyDescent="0.25">
      <c r="A136" s="116"/>
    </row>
    <row r="137" spans="1:1" x14ac:dyDescent="0.25">
      <c r="A137" s="116"/>
    </row>
    <row r="138" spans="1:1" x14ac:dyDescent="0.25">
      <c r="A138" s="116"/>
    </row>
    <row r="139" spans="1:1" x14ac:dyDescent="0.25">
      <c r="A139" s="116"/>
    </row>
    <row r="140" spans="1:1" x14ac:dyDescent="0.25">
      <c r="A140" s="116"/>
    </row>
    <row r="141" spans="1:1" x14ac:dyDescent="0.25">
      <c r="A141" s="116"/>
    </row>
    <row r="142" spans="1:1" x14ac:dyDescent="0.25">
      <c r="A142" s="116"/>
    </row>
    <row r="143" spans="1:1" x14ac:dyDescent="0.25">
      <c r="A143" s="116"/>
    </row>
    <row r="144" spans="1:1" x14ac:dyDescent="0.25">
      <c r="A144" s="116"/>
    </row>
    <row r="145" spans="1:1" x14ac:dyDescent="0.25">
      <c r="A145" s="116"/>
    </row>
    <row r="146" spans="1:1" x14ac:dyDescent="0.25">
      <c r="A146" s="116"/>
    </row>
    <row r="147" spans="1:1" x14ac:dyDescent="0.25">
      <c r="A147" s="116"/>
    </row>
    <row r="148" spans="1:1" x14ac:dyDescent="0.25">
      <c r="A148" s="116"/>
    </row>
    <row r="149" spans="1:1" x14ac:dyDescent="0.25">
      <c r="A149" s="116"/>
    </row>
    <row r="150" spans="1:1" x14ac:dyDescent="0.25">
      <c r="A150" s="116"/>
    </row>
    <row r="151" spans="1:1" x14ac:dyDescent="0.25">
      <c r="A151" s="116"/>
    </row>
    <row r="152" spans="1:1" x14ac:dyDescent="0.25">
      <c r="A152" s="116"/>
    </row>
    <row r="153" spans="1:1" x14ac:dyDescent="0.25">
      <c r="A153" s="116"/>
    </row>
    <row r="154" spans="1:1" x14ac:dyDescent="0.25">
      <c r="A154" s="116"/>
    </row>
    <row r="155" spans="1:1" x14ac:dyDescent="0.25">
      <c r="A155" s="116"/>
    </row>
    <row r="156" spans="1:1" x14ac:dyDescent="0.25">
      <c r="A156" s="116"/>
    </row>
    <row r="157" spans="1:1" x14ac:dyDescent="0.25">
      <c r="A157" s="116"/>
    </row>
    <row r="158" spans="1:1" x14ac:dyDescent="0.25">
      <c r="A158" s="116"/>
    </row>
    <row r="159" spans="1:1" x14ac:dyDescent="0.25">
      <c r="A159" s="116"/>
    </row>
    <row r="160" spans="1:1" x14ac:dyDescent="0.25">
      <c r="A160" s="116"/>
    </row>
    <row r="161" spans="1:1" x14ac:dyDescent="0.25">
      <c r="A161" s="116"/>
    </row>
    <row r="162" spans="1:1" x14ac:dyDescent="0.25">
      <c r="A162" s="116"/>
    </row>
    <row r="163" spans="1:1" x14ac:dyDescent="0.25">
      <c r="A163" s="116"/>
    </row>
    <row r="164" spans="1:1" x14ac:dyDescent="0.25">
      <c r="A164" s="116"/>
    </row>
    <row r="165" spans="1:1" x14ac:dyDescent="0.25">
      <c r="A165" s="116"/>
    </row>
    <row r="166" spans="1:1" x14ac:dyDescent="0.25">
      <c r="A166" s="116"/>
    </row>
    <row r="167" spans="1:1" x14ac:dyDescent="0.25">
      <c r="A167" s="116"/>
    </row>
    <row r="168" spans="1:1" x14ac:dyDescent="0.25">
      <c r="A168" s="116"/>
    </row>
    <row r="169" spans="1:1" x14ac:dyDescent="0.25">
      <c r="A169" s="116"/>
    </row>
    <row r="170" spans="1:1" x14ac:dyDescent="0.25">
      <c r="A170" s="116"/>
    </row>
    <row r="171" spans="1:1" x14ac:dyDescent="0.25">
      <c r="A171" s="116"/>
    </row>
    <row r="172" spans="1:1" x14ac:dyDescent="0.25">
      <c r="A172" s="116"/>
    </row>
    <row r="173" spans="1:1" x14ac:dyDescent="0.25">
      <c r="A173" s="116"/>
    </row>
    <row r="174" spans="1:1" x14ac:dyDescent="0.25">
      <c r="A174" s="116"/>
    </row>
    <row r="175" spans="1:1" x14ac:dyDescent="0.25">
      <c r="A175" s="116"/>
    </row>
    <row r="176" spans="1:1" x14ac:dyDescent="0.25">
      <c r="A176" s="116"/>
    </row>
    <row r="177" spans="1:1" x14ac:dyDescent="0.25">
      <c r="A177" s="116"/>
    </row>
    <row r="178" spans="1:1" x14ac:dyDescent="0.25">
      <c r="A178" s="116"/>
    </row>
    <row r="179" spans="1:1" x14ac:dyDescent="0.25">
      <c r="A179" s="116"/>
    </row>
    <row r="180" spans="1:1" x14ac:dyDescent="0.25">
      <c r="A180" s="116"/>
    </row>
    <row r="181" spans="1:1" x14ac:dyDescent="0.25">
      <c r="A181" s="116"/>
    </row>
    <row r="182" spans="1:1" x14ac:dyDescent="0.25">
      <c r="A182" s="116"/>
    </row>
    <row r="183" spans="1:1" x14ac:dyDescent="0.25">
      <c r="A183" s="116"/>
    </row>
    <row r="184" spans="1:1" x14ac:dyDescent="0.25">
      <c r="A184" s="116"/>
    </row>
    <row r="185" spans="1:1" x14ac:dyDescent="0.25">
      <c r="A185" s="116"/>
    </row>
    <row r="186" spans="1:1" x14ac:dyDescent="0.25">
      <c r="A186" s="116"/>
    </row>
    <row r="187" spans="1:1" x14ac:dyDescent="0.25">
      <c r="A187" s="116"/>
    </row>
    <row r="188" spans="1:1" x14ac:dyDescent="0.25">
      <c r="A188" s="116"/>
    </row>
    <row r="189" spans="1:1" x14ac:dyDescent="0.25">
      <c r="A189" s="116"/>
    </row>
    <row r="190" spans="1:1" x14ac:dyDescent="0.25">
      <c r="A190" s="116"/>
    </row>
    <row r="191" spans="1:1" x14ac:dyDescent="0.25">
      <c r="A191" s="116"/>
    </row>
    <row r="192" spans="1:1" x14ac:dyDescent="0.25">
      <c r="A192" s="116"/>
    </row>
    <row r="193" spans="1:1" x14ac:dyDescent="0.25">
      <c r="A193" s="116"/>
    </row>
    <row r="194" spans="1:1" x14ac:dyDescent="0.25">
      <c r="A194" s="116"/>
    </row>
    <row r="195" spans="1:1" x14ac:dyDescent="0.25">
      <c r="A195" s="116"/>
    </row>
    <row r="196" spans="1:1" x14ac:dyDescent="0.25">
      <c r="A196" s="116"/>
    </row>
    <row r="197" spans="1:1" x14ac:dyDescent="0.25">
      <c r="A197" s="116"/>
    </row>
    <row r="198" spans="1:1" x14ac:dyDescent="0.25">
      <c r="A198" s="116"/>
    </row>
    <row r="199" spans="1:1" x14ac:dyDescent="0.25">
      <c r="A199" s="116"/>
    </row>
    <row r="200" spans="1:1" x14ac:dyDescent="0.25">
      <c r="A200" s="116"/>
    </row>
    <row r="201" spans="1:1" x14ac:dyDescent="0.25">
      <c r="A201" s="116"/>
    </row>
    <row r="202" spans="1:1" x14ac:dyDescent="0.25">
      <c r="A202" s="116"/>
    </row>
    <row r="203" spans="1:1" x14ac:dyDescent="0.25">
      <c r="A203" s="116"/>
    </row>
    <row r="204" spans="1:1" x14ac:dyDescent="0.25">
      <c r="A204" s="116"/>
    </row>
    <row r="205" spans="1:1" x14ac:dyDescent="0.25">
      <c r="A205" s="116"/>
    </row>
    <row r="206" spans="1:1" x14ac:dyDescent="0.25">
      <c r="A206" s="116"/>
    </row>
    <row r="207" spans="1:1" x14ac:dyDescent="0.25">
      <c r="A207" s="116"/>
    </row>
    <row r="208" spans="1:1" x14ac:dyDescent="0.25">
      <c r="A208" s="116"/>
    </row>
    <row r="209" spans="1:1" x14ac:dyDescent="0.25">
      <c r="A209" s="116"/>
    </row>
    <row r="210" spans="1:1" x14ac:dyDescent="0.25">
      <c r="A210" s="116"/>
    </row>
    <row r="211" spans="1:1" x14ac:dyDescent="0.25">
      <c r="A211" s="116"/>
    </row>
    <row r="212" spans="1:1" x14ac:dyDescent="0.25">
      <c r="A212" s="116"/>
    </row>
    <row r="213" spans="1:1" x14ac:dyDescent="0.25">
      <c r="A213" s="116"/>
    </row>
    <row r="214" spans="1:1" x14ac:dyDescent="0.25">
      <c r="A214" s="116"/>
    </row>
    <row r="215" spans="1:1" x14ac:dyDescent="0.25">
      <c r="A215" s="116"/>
    </row>
    <row r="216" spans="1:1" x14ac:dyDescent="0.25">
      <c r="A216" s="116"/>
    </row>
    <row r="217" spans="1:1" x14ac:dyDescent="0.25">
      <c r="A217" s="116"/>
    </row>
    <row r="218" spans="1:1" x14ac:dyDescent="0.25">
      <c r="A218" s="116"/>
    </row>
    <row r="219" spans="1:1" x14ac:dyDescent="0.25">
      <c r="A219" s="116"/>
    </row>
    <row r="220" spans="1:1" x14ac:dyDescent="0.25">
      <c r="A220" s="116"/>
    </row>
    <row r="221" spans="1:1" x14ac:dyDescent="0.25">
      <c r="A221" s="116"/>
    </row>
    <row r="222" spans="1:1" x14ac:dyDescent="0.25">
      <c r="A222" s="116"/>
    </row>
    <row r="223" spans="1:1" x14ac:dyDescent="0.25">
      <c r="A223" s="116"/>
    </row>
    <row r="224" spans="1:1" x14ac:dyDescent="0.25">
      <c r="A224" s="116"/>
    </row>
    <row r="225" spans="1:1" x14ac:dyDescent="0.25">
      <c r="A225" s="116"/>
    </row>
    <row r="226" spans="1:1" x14ac:dyDescent="0.25">
      <c r="A226" s="116"/>
    </row>
    <row r="227" spans="1:1" x14ac:dyDescent="0.25">
      <c r="A227" s="116"/>
    </row>
    <row r="228" spans="1:1" x14ac:dyDescent="0.25">
      <c r="A228" s="116"/>
    </row>
    <row r="229" spans="1:1" x14ac:dyDescent="0.25">
      <c r="A229" s="116"/>
    </row>
    <row r="230" spans="1:1" x14ac:dyDescent="0.25">
      <c r="A230" s="116"/>
    </row>
    <row r="231" spans="1:1" x14ac:dyDescent="0.25">
      <c r="A231" s="116"/>
    </row>
    <row r="232" spans="1:1" x14ac:dyDescent="0.25">
      <c r="A232" s="116"/>
    </row>
    <row r="233" spans="1:1" x14ac:dyDescent="0.25">
      <c r="A233" s="116"/>
    </row>
    <row r="234" spans="1:1" x14ac:dyDescent="0.25">
      <c r="A234" s="116"/>
    </row>
    <row r="235" spans="1:1" x14ac:dyDescent="0.25">
      <c r="A235" s="116"/>
    </row>
    <row r="236" spans="1:1" x14ac:dyDescent="0.25">
      <c r="A236" s="116"/>
    </row>
    <row r="237" spans="1:1" x14ac:dyDescent="0.25">
      <c r="A237" s="116"/>
    </row>
    <row r="238" spans="1:1" x14ac:dyDescent="0.25">
      <c r="A238" s="116"/>
    </row>
    <row r="239" spans="1:1" x14ac:dyDescent="0.25">
      <c r="A239" s="116"/>
    </row>
    <row r="240" spans="1:1" x14ac:dyDescent="0.25">
      <c r="A240" s="116"/>
    </row>
    <row r="241" spans="1:1" x14ac:dyDescent="0.25">
      <c r="A241" s="116"/>
    </row>
    <row r="242" spans="1:1" x14ac:dyDescent="0.25">
      <c r="A242" s="116"/>
    </row>
    <row r="243" spans="1:1" x14ac:dyDescent="0.25">
      <c r="A243" s="116"/>
    </row>
    <row r="244" spans="1:1" x14ac:dyDescent="0.25">
      <c r="A244" s="116"/>
    </row>
    <row r="245" spans="1:1" x14ac:dyDescent="0.25">
      <c r="A245" s="116"/>
    </row>
    <row r="246" spans="1:1" x14ac:dyDescent="0.25">
      <c r="A246" s="116"/>
    </row>
    <row r="247" spans="1:1" x14ac:dyDescent="0.25">
      <c r="A247" s="116"/>
    </row>
    <row r="248" spans="1:1" x14ac:dyDescent="0.25">
      <c r="A248" s="116"/>
    </row>
    <row r="249" spans="1:1" x14ac:dyDescent="0.25">
      <c r="A249" s="116"/>
    </row>
    <row r="250" spans="1:1" x14ac:dyDescent="0.25">
      <c r="A250" s="116"/>
    </row>
    <row r="251" spans="1:1" x14ac:dyDescent="0.25">
      <c r="A251" s="116"/>
    </row>
    <row r="252" spans="1:1" x14ac:dyDescent="0.25">
      <c r="A252" s="116"/>
    </row>
    <row r="253" spans="1:1" x14ac:dyDescent="0.25">
      <c r="A253" s="116"/>
    </row>
    <row r="254" spans="1:1" x14ac:dyDescent="0.25">
      <c r="A254" s="116"/>
    </row>
    <row r="255" spans="1:1" x14ac:dyDescent="0.25">
      <c r="A255" s="116"/>
    </row>
    <row r="256" spans="1:1" x14ac:dyDescent="0.25">
      <c r="A256" s="116"/>
    </row>
    <row r="257" spans="1:1" x14ac:dyDescent="0.25">
      <c r="A257" s="116"/>
    </row>
    <row r="258" spans="1:1" x14ac:dyDescent="0.25">
      <c r="A258" s="116"/>
    </row>
    <row r="259" spans="1:1" x14ac:dyDescent="0.25">
      <c r="A259" s="116"/>
    </row>
    <row r="260" spans="1:1" x14ac:dyDescent="0.25">
      <c r="A260" s="116"/>
    </row>
    <row r="261" spans="1:1" x14ac:dyDescent="0.25">
      <c r="A261" s="116"/>
    </row>
    <row r="262" spans="1:1" x14ac:dyDescent="0.25">
      <c r="A262" s="116"/>
    </row>
    <row r="263" spans="1:1" x14ac:dyDescent="0.25">
      <c r="A263" s="116"/>
    </row>
    <row r="264" spans="1:1" x14ac:dyDescent="0.25">
      <c r="A264" s="116"/>
    </row>
    <row r="265" spans="1:1" x14ac:dyDescent="0.25">
      <c r="A265" s="116"/>
    </row>
    <row r="266" spans="1:1" x14ac:dyDescent="0.25">
      <c r="A266" s="116"/>
    </row>
    <row r="267" spans="1:1" x14ac:dyDescent="0.25">
      <c r="A267" s="116"/>
    </row>
    <row r="268" spans="1:1" x14ac:dyDescent="0.25">
      <c r="A268" s="116"/>
    </row>
    <row r="269" spans="1:1" x14ac:dyDescent="0.25">
      <c r="A269" s="116"/>
    </row>
    <row r="270" spans="1:1" x14ac:dyDescent="0.25">
      <c r="A270" s="116"/>
    </row>
    <row r="271" spans="1:1" x14ac:dyDescent="0.25">
      <c r="A271" s="116"/>
    </row>
    <row r="272" spans="1:1" x14ac:dyDescent="0.25">
      <c r="A272" s="116"/>
    </row>
    <row r="273" spans="1:1" x14ac:dyDescent="0.25">
      <c r="A273" s="116"/>
    </row>
    <row r="274" spans="1:1" x14ac:dyDescent="0.25">
      <c r="A274" s="116"/>
    </row>
    <row r="275" spans="1:1" x14ac:dyDescent="0.25">
      <c r="A275" s="116"/>
    </row>
    <row r="276" spans="1:1" x14ac:dyDescent="0.25">
      <c r="A276" s="116"/>
    </row>
    <row r="277" spans="1:1" x14ac:dyDescent="0.25">
      <c r="A277" s="116"/>
    </row>
    <row r="278" spans="1:1" x14ac:dyDescent="0.25">
      <c r="A278" s="116"/>
    </row>
    <row r="279" spans="1:1" x14ac:dyDescent="0.25">
      <c r="A279" s="116"/>
    </row>
    <row r="280" spans="1:1" x14ac:dyDescent="0.25">
      <c r="A280" s="116"/>
    </row>
    <row r="281" spans="1:1" x14ac:dyDescent="0.25">
      <c r="A281" s="116"/>
    </row>
    <row r="282" spans="1:1" x14ac:dyDescent="0.25">
      <c r="A282" s="116"/>
    </row>
    <row r="283" spans="1:1" x14ac:dyDescent="0.25">
      <c r="A283" s="116"/>
    </row>
    <row r="284" spans="1:1" x14ac:dyDescent="0.25">
      <c r="A284" s="116"/>
    </row>
    <row r="285" spans="1:1" x14ac:dyDescent="0.25">
      <c r="A285" s="116"/>
    </row>
    <row r="286" spans="1:1" x14ac:dyDescent="0.25">
      <c r="A286" s="116"/>
    </row>
    <row r="287" spans="1:1" x14ac:dyDescent="0.25">
      <c r="A287" s="116"/>
    </row>
    <row r="288" spans="1:1" x14ac:dyDescent="0.25">
      <c r="A288" s="116"/>
    </row>
    <row r="289" spans="1:1" x14ac:dyDescent="0.25">
      <c r="A289" s="116"/>
    </row>
    <row r="290" spans="1:1" x14ac:dyDescent="0.25">
      <c r="A290" s="116"/>
    </row>
    <row r="291" spans="1:1" x14ac:dyDescent="0.25">
      <c r="A291" s="116"/>
    </row>
    <row r="292" spans="1:1" x14ac:dyDescent="0.25">
      <c r="A292" s="116"/>
    </row>
    <row r="293" spans="1:1" x14ac:dyDescent="0.25">
      <c r="A293" s="116"/>
    </row>
    <row r="294" spans="1:1" x14ac:dyDescent="0.25">
      <c r="A294" s="116"/>
    </row>
    <row r="295" spans="1:1" x14ac:dyDescent="0.25">
      <c r="A295" s="116"/>
    </row>
    <row r="296" spans="1:1" x14ac:dyDescent="0.25">
      <c r="A296" s="116"/>
    </row>
    <row r="297" spans="1:1" x14ac:dyDescent="0.25">
      <c r="A297" s="116"/>
    </row>
  </sheetData>
  <pageMargins left="0.70866141732283472" right="0.51181102362204722" top="0.55118110236220474" bottom="0.55118110236220474" header="0.31496062992125984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F0529-6007-4ABB-950C-7D822DF7E4BF}">
  <sheetPr codeName="Sheet7">
    <pageSetUpPr fitToPage="1"/>
  </sheetPr>
  <dimension ref="A1:BZ289"/>
  <sheetViews>
    <sheetView showGridLines="0" zoomScale="70" zoomScaleNormal="70" workbookViewId="0">
      <selection activeCell="F50" sqref="F50"/>
    </sheetView>
  </sheetViews>
  <sheetFormatPr defaultColWidth="8" defaultRowHeight="15" x14ac:dyDescent="0.25"/>
  <cols>
    <col min="1" max="1" width="2.375" style="115" customWidth="1"/>
    <col min="2" max="2" width="11.625" style="114" customWidth="1"/>
    <col min="3" max="3" width="24.125" style="114" customWidth="1"/>
    <col min="4" max="4" width="20.75" style="114" customWidth="1"/>
    <col min="5" max="5" width="21.125" style="114" customWidth="1"/>
    <col min="6" max="7" width="22.75" style="114" customWidth="1"/>
    <col min="8" max="8" width="24.875" style="114" customWidth="1"/>
    <col min="9" max="9" width="18.625" style="114" customWidth="1"/>
    <col min="10" max="10" width="17.75" style="114" bestFit="1" customWidth="1"/>
    <col min="11" max="16384" width="8" style="114"/>
  </cols>
  <sheetData>
    <row r="1" spans="1:78" s="1" customFormat="1" ht="18.75" x14ac:dyDescent="0.3">
      <c r="A1" s="249" t="str">
        <f>'T3 Distribution_Depn'!A1</f>
        <v>Powercor REFCLs</v>
      </c>
      <c r="B1" s="249"/>
      <c r="C1" s="249"/>
      <c r="D1" s="249"/>
      <c r="E1" s="249"/>
      <c r="F1" s="249"/>
      <c r="G1" s="250"/>
      <c r="H1" s="250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4"/>
      <c r="BS1" s="114"/>
      <c r="BT1" s="114"/>
      <c r="BU1" s="114"/>
      <c r="BV1" s="114"/>
      <c r="BW1" s="114"/>
      <c r="BX1" s="114"/>
      <c r="BY1" s="114"/>
      <c r="BZ1" s="114"/>
    </row>
    <row r="2" spans="1:78" s="1" customFormat="1" ht="15.75" x14ac:dyDescent="0.25">
      <c r="A2" s="252" t="s">
        <v>97</v>
      </c>
      <c r="B2" s="252"/>
      <c r="C2" s="252"/>
      <c r="D2" s="252"/>
      <c r="E2" s="252"/>
      <c r="F2" s="252"/>
      <c r="G2" s="253"/>
      <c r="H2" s="253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4"/>
      <c r="BP2" s="114"/>
      <c r="BQ2" s="114"/>
      <c r="BR2" s="114"/>
      <c r="BS2" s="114"/>
      <c r="BT2" s="114"/>
      <c r="BU2" s="114"/>
      <c r="BV2" s="114"/>
      <c r="BW2" s="114"/>
      <c r="BX2" s="114"/>
      <c r="BY2" s="114"/>
      <c r="BZ2" s="114"/>
    </row>
    <row r="3" spans="1:78" ht="18.75" x14ac:dyDescent="0.3">
      <c r="A3" s="297"/>
      <c r="B3" s="298"/>
      <c r="C3" s="298"/>
      <c r="D3" s="299"/>
      <c r="E3" s="299"/>
      <c r="F3" s="299"/>
      <c r="G3" s="299"/>
      <c r="H3" s="299"/>
      <c r="I3" s="300"/>
      <c r="J3" s="300"/>
      <c r="R3" s="145"/>
      <c r="X3" s="145"/>
      <c r="Y3" s="145"/>
      <c r="Z3" s="145"/>
      <c r="AA3" s="145"/>
      <c r="AB3" s="145"/>
    </row>
    <row r="4" spans="1:78" x14ac:dyDescent="0.25">
      <c r="A4" s="116"/>
      <c r="B4" s="116"/>
      <c r="C4" s="116"/>
      <c r="D4" s="144"/>
    </row>
    <row r="5" spans="1:78" x14ac:dyDescent="0.25">
      <c r="A5" s="116"/>
      <c r="B5" s="114" t="s">
        <v>96</v>
      </c>
      <c r="D5" s="143">
        <v>51</v>
      </c>
    </row>
    <row r="6" spans="1:78" x14ac:dyDescent="0.25">
      <c r="A6" s="116"/>
      <c r="B6" s="114" t="s">
        <v>95</v>
      </c>
      <c r="D6" s="286">
        <v>19.138231197771585</v>
      </c>
    </row>
    <row r="7" spans="1:78" x14ac:dyDescent="0.25">
      <c r="A7" s="116"/>
      <c r="B7" s="114" t="s">
        <v>94</v>
      </c>
      <c r="D7" s="142">
        <f>D5-D6</f>
        <v>31.861768802228415</v>
      </c>
      <c r="G7" s="141"/>
      <c r="H7" s="137"/>
    </row>
    <row r="8" spans="1:78" x14ac:dyDescent="0.25">
      <c r="A8" s="116"/>
      <c r="F8" s="135"/>
      <c r="G8" s="137"/>
      <c r="H8" s="137"/>
    </row>
    <row r="9" spans="1:78" x14ac:dyDescent="0.25">
      <c r="A9" s="116"/>
      <c r="B9" s="140"/>
      <c r="C9" s="140"/>
      <c r="D9" s="139" t="s">
        <v>93</v>
      </c>
      <c r="E9" s="138" t="s">
        <v>92</v>
      </c>
      <c r="F9" s="135"/>
      <c r="G9" s="137"/>
      <c r="H9" s="137"/>
    </row>
    <row r="10" spans="1:78" x14ac:dyDescent="0.25">
      <c r="A10" s="116"/>
      <c r="B10" s="114" t="s">
        <v>91</v>
      </c>
      <c r="D10" s="199">
        <f>[3]Tot_cost!$AU$18/SUM([3]ART_volumes!$K$18,[3]CRO_volumes!$K$18,[3]HTN_volumes!$K$18,[3]KRT_volumes!$K$18,[3]MBN_volumes!$K$18,[3]STL_volumes!$K$18,[3]TRG_volumes!$K$18)</f>
        <v>2475.6768968077099</v>
      </c>
      <c r="E10" s="199">
        <f>[3]Tot_cost!$AU$19/SUM([3]ART_volumes!$K$19,[3]CRO_volumes!$K$19,[3]HTN_volumes!$K$19,[3]KRT_volumes!$K$19,[3]MBN_volumes!$K$19,[3]STL_volumes!$K$19,[3]TRG_volumes!$K$19)</f>
        <v>2620.5666086549813</v>
      </c>
      <c r="F10" s="135"/>
      <c r="G10" s="137"/>
      <c r="H10" s="137"/>
    </row>
    <row r="11" spans="1:78" x14ac:dyDescent="0.25">
      <c r="A11" s="116"/>
      <c r="D11" s="136"/>
      <c r="F11" s="135"/>
    </row>
    <row r="12" spans="1:78" x14ac:dyDescent="0.25">
      <c r="A12" s="116"/>
    </row>
    <row r="13" spans="1:78" x14ac:dyDescent="0.25">
      <c r="A13" s="116"/>
    </row>
    <row r="14" spans="1:78" x14ac:dyDescent="0.25">
      <c r="A14" s="116"/>
      <c r="B14" s="133"/>
      <c r="C14" s="133"/>
      <c r="D14" s="133" t="s">
        <v>90</v>
      </c>
      <c r="E14" s="134"/>
      <c r="F14" s="133" t="s">
        <v>89</v>
      </c>
      <c r="G14" s="132"/>
      <c r="H14" s="127" t="s">
        <v>88</v>
      </c>
    </row>
    <row r="15" spans="1:78" ht="30" x14ac:dyDescent="0.25">
      <c r="A15" s="116"/>
      <c r="B15" s="131" t="s">
        <v>87</v>
      </c>
      <c r="C15" s="131" t="s">
        <v>86</v>
      </c>
      <c r="D15" s="130" t="s">
        <v>70</v>
      </c>
      <c r="E15" s="130" t="s">
        <v>69</v>
      </c>
      <c r="F15" s="129" t="s">
        <v>85</v>
      </c>
      <c r="G15" s="128" t="s">
        <v>84</v>
      </c>
      <c r="H15" s="127" t="s">
        <v>83</v>
      </c>
    </row>
    <row r="16" spans="1:78" x14ac:dyDescent="0.25">
      <c r="A16" s="116"/>
      <c r="B16" s="125">
        <v>3</v>
      </c>
      <c r="C16" s="123" t="s">
        <v>41</v>
      </c>
      <c r="D16" s="122">
        <v>406</v>
      </c>
      <c r="E16" s="122">
        <v>347</v>
      </c>
      <c r="F16" s="121">
        <f t="shared" ref="F16:G23" si="0">D16*D$10/$D$5*$D$7</f>
        <v>627942.24775554612</v>
      </c>
      <c r="G16" s="121">
        <f t="shared" si="0"/>
        <v>568099.46928008366</v>
      </c>
      <c r="H16" s="121">
        <f t="shared" ref="H16:H23" si="1">SUM(F16:G16)</f>
        <v>1196041.7170356298</v>
      </c>
      <c r="J16" s="126"/>
    </row>
    <row r="17" spans="1:8" x14ac:dyDescent="0.25">
      <c r="A17" s="116"/>
      <c r="B17" s="125">
        <v>3</v>
      </c>
      <c r="C17" s="123" t="s">
        <v>36</v>
      </c>
      <c r="D17" s="122">
        <v>184</v>
      </c>
      <c r="E17" s="122">
        <v>249</v>
      </c>
      <c r="F17" s="121">
        <f t="shared" si="0"/>
        <v>284584.66400743963</v>
      </c>
      <c r="G17" s="121">
        <f t="shared" si="0"/>
        <v>407656.39150069404</v>
      </c>
      <c r="H17" s="121">
        <f t="shared" si="1"/>
        <v>692241.05550813372</v>
      </c>
    </row>
    <row r="18" spans="1:8" x14ac:dyDescent="0.25">
      <c r="A18" s="116"/>
      <c r="B18" s="125">
        <v>3</v>
      </c>
      <c r="C18" s="123" t="s">
        <v>35</v>
      </c>
      <c r="D18" s="122">
        <v>556</v>
      </c>
      <c r="E18" s="122">
        <v>517</v>
      </c>
      <c r="F18" s="121">
        <f t="shared" si="0"/>
        <v>859940.61515291547</v>
      </c>
      <c r="G18" s="121">
        <f t="shared" si="0"/>
        <v>846419.09399943298</v>
      </c>
      <c r="H18" s="121">
        <f t="shared" si="1"/>
        <v>1706359.7091523483</v>
      </c>
    </row>
    <row r="19" spans="1:8" x14ac:dyDescent="0.25">
      <c r="A19" s="116"/>
      <c r="B19" s="125">
        <v>3</v>
      </c>
      <c r="C19" s="123" t="s">
        <v>38</v>
      </c>
      <c r="D19" s="122">
        <v>341</v>
      </c>
      <c r="E19" s="122">
        <v>553</v>
      </c>
      <c r="F19" s="121">
        <f t="shared" si="0"/>
        <v>527409.62188335287</v>
      </c>
      <c r="G19" s="121">
        <f t="shared" si="0"/>
        <v>905357.36746941297</v>
      </c>
      <c r="H19" s="121">
        <f t="shared" si="1"/>
        <v>1432766.989352766</v>
      </c>
    </row>
    <row r="20" spans="1:8" x14ac:dyDescent="0.25">
      <c r="A20" s="116"/>
      <c r="B20" s="125">
        <v>3</v>
      </c>
      <c r="C20" s="123" t="s">
        <v>39</v>
      </c>
      <c r="D20" s="122">
        <v>369</v>
      </c>
      <c r="E20" s="122">
        <v>265</v>
      </c>
      <c r="F20" s="121">
        <f t="shared" si="0"/>
        <v>570715.98379752843</v>
      </c>
      <c r="G20" s="121">
        <f t="shared" si="0"/>
        <v>433851.17970957397</v>
      </c>
      <c r="H20" s="121">
        <f t="shared" si="1"/>
        <v>1004567.1635071024</v>
      </c>
    </row>
    <row r="21" spans="1:8" x14ac:dyDescent="0.25">
      <c r="A21" s="116"/>
      <c r="B21" s="125">
        <v>3</v>
      </c>
      <c r="C21" s="123" t="s">
        <v>40</v>
      </c>
      <c r="D21" s="122">
        <v>92</v>
      </c>
      <c r="E21" s="122">
        <v>889</v>
      </c>
      <c r="F21" s="121">
        <f t="shared" si="0"/>
        <v>142292.33200371981</v>
      </c>
      <c r="G21" s="121">
        <f t="shared" si="0"/>
        <v>1455447.9198558915</v>
      </c>
      <c r="H21" s="121">
        <f t="shared" si="1"/>
        <v>1597740.2518596114</v>
      </c>
    </row>
    <row r="22" spans="1:8" x14ac:dyDescent="0.25">
      <c r="A22" s="116"/>
      <c r="B22" s="125">
        <v>3</v>
      </c>
      <c r="C22" s="123" t="s">
        <v>37</v>
      </c>
      <c r="D22" s="122">
        <v>148</v>
      </c>
      <c r="E22" s="122">
        <v>1040</v>
      </c>
      <c r="F22" s="121">
        <f t="shared" si="0"/>
        <v>228905.055832071</v>
      </c>
      <c r="G22" s="121">
        <f t="shared" si="0"/>
        <v>1702661.233577196</v>
      </c>
      <c r="H22" s="121">
        <f t="shared" si="1"/>
        <v>1931566.289409267</v>
      </c>
    </row>
    <row r="23" spans="1:8" x14ac:dyDescent="0.25">
      <c r="A23" s="116"/>
      <c r="B23" s="124">
        <v>4</v>
      </c>
      <c r="C23" s="123" t="s">
        <v>33</v>
      </c>
      <c r="D23" s="122">
        <v>611</v>
      </c>
      <c r="E23" s="122">
        <v>998</v>
      </c>
      <c r="F23" s="121">
        <f t="shared" si="0"/>
        <v>945006.68319861742</v>
      </c>
      <c r="G23" s="121">
        <f t="shared" si="0"/>
        <v>1633899.9145288861</v>
      </c>
      <c r="H23" s="121">
        <f t="shared" si="1"/>
        <v>2578906.5977275036</v>
      </c>
    </row>
    <row r="24" spans="1:8" x14ac:dyDescent="0.25">
      <c r="A24" s="116"/>
      <c r="F24" s="121"/>
      <c r="G24" s="121"/>
      <c r="H24" s="121"/>
    </row>
    <row r="25" spans="1:8" x14ac:dyDescent="0.25">
      <c r="A25" s="116"/>
      <c r="B25" s="120" t="s">
        <v>82</v>
      </c>
      <c r="C25" s="120"/>
      <c r="D25" s="119">
        <f>SUM(D16:D23)</f>
        <v>2707</v>
      </c>
      <c r="E25" s="119">
        <f>SUM(E16:E23)</f>
        <v>4858</v>
      </c>
      <c r="F25" s="118">
        <f>SUM(F16:F23)</f>
        <v>4186797.2036311901</v>
      </c>
      <c r="G25" s="118">
        <f>SUM(G16:G23)</f>
        <v>7953392.5699211713</v>
      </c>
      <c r="H25" s="118">
        <f>SUM(H16:H23)</f>
        <v>12140189.773552362</v>
      </c>
    </row>
    <row r="26" spans="1:8" x14ac:dyDescent="0.25">
      <c r="A26" s="116"/>
    </row>
    <row r="27" spans="1:8" x14ac:dyDescent="0.25">
      <c r="A27" s="116"/>
    </row>
    <row r="28" spans="1:8" x14ac:dyDescent="0.25">
      <c r="A28" s="116"/>
    </row>
    <row r="29" spans="1:8" x14ac:dyDescent="0.25">
      <c r="A29" s="116"/>
    </row>
    <row r="30" spans="1:8" x14ac:dyDescent="0.25">
      <c r="A30" s="116"/>
      <c r="F30" s="117"/>
    </row>
    <row r="31" spans="1:8" x14ac:dyDescent="0.25">
      <c r="A31" s="116"/>
      <c r="F31" s="117"/>
    </row>
    <row r="32" spans="1:8" x14ac:dyDescent="0.25">
      <c r="A32" s="116"/>
      <c r="F32" s="117"/>
    </row>
    <row r="33" spans="1:1" x14ac:dyDescent="0.25">
      <c r="A33" s="116"/>
    </row>
    <row r="34" spans="1:1" x14ac:dyDescent="0.25">
      <c r="A34" s="116"/>
    </row>
    <row r="35" spans="1:1" x14ac:dyDescent="0.25">
      <c r="A35" s="116"/>
    </row>
    <row r="36" spans="1:1" x14ac:dyDescent="0.25">
      <c r="A36" s="116"/>
    </row>
    <row r="37" spans="1:1" x14ac:dyDescent="0.25">
      <c r="A37" s="116"/>
    </row>
    <row r="38" spans="1:1" x14ac:dyDescent="0.25">
      <c r="A38" s="116"/>
    </row>
    <row r="39" spans="1:1" x14ac:dyDescent="0.25">
      <c r="A39" s="116"/>
    </row>
    <row r="40" spans="1:1" x14ac:dyDescent="0.25">
      <c r="A40" s="116"/>
    </row>
    <row r="41" spans="1:1" x14ac:dyDescent="0.25">
      <c r="A41" s="116"/>
    </row>
    <row r="42" spans="1:1" x14ac:dyDescent="0.25">
      <c r="A42" s="116"/>
    </row>
    <row r="43" spans="1:1" x14ac:dyDescent="0.25">
      <c r="A43" s="116"/>
    </row>
    <row r="44" spans="1:1" x14ac:dyDescent="0.25">
      <c r="A44" s="116"/>
    </row>
    <row r="45" spans="1:1" x14ac:dyDescent="0.25">
      <c r="A45" s="116"/>
    </row>
    <row r="46" spans="1:1" x14ac:dyDescent="0.25">
      <c r="A46" s="116"/>
    </row>
    <row r="47" spans="1:1" x14ac:dyDescent="0.25">
      <c r="A47" s="116"/>
    </row>
    <row r="48" spans="1:1" x14ac:dyDescent="0.25">
      <c r="A48" s="116"/>
    </row>
    <row r="49" spans="1:1" x14ac:dyDescent="0.25">
      <c r="A49" s="116"/>
    </row>
    <row r="50" spans="1:1" x14ac:dyDescent="0.25">
      <c r="A50" s="116"/>
    </row>
    <row r="51" spans="1:1" x14ac:dyDescent="0.25">
      <c r="A51" s="116"/>
    </row>
    <row r="52" spans="1:1" x14ac:dyDescent="0.25">
      <c r="A52" s="116"/>
    </row>
    <row r="53" spans="1:1" x14ac:dyDescent="0.25">
      <c r="A53" s="116"/>
    </row>
    <row r="54" spans="1:1" x14ac:dyDescent="0.25">
      <c r="A54" s="116"/>
    </row>
    <row r="55" spans="1:1" x14ac:dyDescent="0.25">
      <c r="A55" s="116"/>
    </row>
    <row r="56" spans="1:1" x14ac:dyDescent="0.25">
      <c r="A56" s="116"/>
    </row>
    <row r="57" spans="1:1" x14ac:dyDescent="0.25">
      <c r="A57" s="116"/>
    </row>
    <row r="58" spans="1:1" x14ac:dyDescent="0.25">
      <c r="A58" s="116"/>
    </row>
    <row r="59" spans="1:1" x14ac:dyDescent="0.25">
      <c r="A59" s="116"/>
    </row>
    <row r="60" spans="1:1" x14ac:dyDescent="0.25">
      <c r="A60" s="116"/>
    </row>
    <row r="61" spans="1:1" x14ac:dyDescent="0.25">
      <c r="A61" s="116"/>
    </row>
    <row r="62" spans="1:1" x14ac:dyDescent="0.25">
      <c r="A62" s="116"/>
    </row>
    <row r="63" spans="1:1" x14ac:dyDescent="0.25">
      <c r="A63" s="116"/>
    </row>
    <row r="64" spans="1:1" x14ac:dyDescent="0.25">
      <c r="A64" s="116"/>
    </row>
    <row r="65" spans="1:1" x14ac:dyDescent="0.25">
      <c r="A65" s="116"/>
    </row>
    <row r="66" spans="1:1" x14ac:dyDescent="0.25">
      <c r="A66" s="116"/>
    </row>
    <row r="67" spans="1:1" x14ac:dyDescent="0.25">
      <c r="A67" s="116"/>
    </row>
    <row r="68" spans="1:1" x14ac:dyDescent="0.25">
      <c r="A68" s="116"/>
    </row>
    <row r="69" spans="1:1" x14ac:dyDescent="0.25">
      <c r="A69" s="116"/>
    </row>
    <row r="70" spans="1:1" x14ac:dyDescent="0.25">
      <c r="A70" s="116"/>
    </row>
    <row r="71" spans="1:1" x14ac:dyDescent="0.25">
      <c r="A71" s="116"/>
    </row>
    <row r="72" spans="1:1" x14ac:dyDescent="0.25">
      <c r="A72" s="116"/>
    </row>
    <row r="73" spans="1:1" x14ac:dyDescent="0.25">
      <c r="A73" s="116"/>
    </row>
    <row r="74" spans="1:1" x14ac:dyDescent="0.25">
      <c r="A74" s="116"/>
    </row>
    <row r="75" spans="1:1" x14ac:dyDescent="0.25">
      <c r="A75" s="116"/>
    </row>
    <row r="76" spans="1:1" x14ac:dyDescent="0.25">
      <c r="A76" s="116"/>
    </row>
    <row r="77" spans="1:1" x14ac:dyDescent="0.25">
      <c r="A77" s="116"/>
    </row>
    <row r="78" spans="1:1" x14ac:dyDescent="0.25">
      <c r="A78" s="116"/>
    </row>
    <row r="79" spans="1:1" x14ac:dyDescent="0.25">
      <c r="A79" s="116"/>
    </row>
    <row r="80" spans="1:1" x14ac:dyDescent="0.25">
      <c r="A80" s="116"/>
    </row>
    <row r="81" spans="1:1" x14ac:dyDescent="0.25">
      <c r="A81" s="116"/>
    </row>
    <row r="82" spans="1:1" x14ac:dyDescent="0.25">
      <c r="A82" s="116"/>
    </row>
    <row r="83" spans="1:1" x14ac:dyDescent="0.25">
      <c r="A83" s="116"/>
    </row>
    <row r="84" spans="1:1" x14ac:dyDescent="0.25">
      <c r="A84" s="116"/>
    </row>
    <row r="85" spans="1:1" x14ac:dyDescent="0.25">
      <c r="A85" s="116"/>
    </row>
    <row r="86" spans="1:1" x14ac:dyDescent="0.25">
      <c r="A86" s="116"/>
    </row>
    <row r="87" spans="1:1" x14ac:dyDescent="0.25">
      <c r="A87" s="116"/>
    </row>
    <row r="88" spans="1:1" x14ac:dyDescent="0.25">
      <c r="A88" s="116"/>
    </row>
    <row r="89" spans="1:1" x14ac:dyDescent="0.25">
      <c r="A89" s="116"/>
    </row>
    <row r="90" spans="1:1" x14ac:dyDescent="0.25">
      <c r="A90" s="116"/>
    </row>
    <row r="91" spans="1:1" x14ac:dyDescent="0.25">
      <c r="A91" s="116"/>
    </row>
    <row r="92" spans="1:1" x14ac:dyDescent="0.25">
      <c r="A92" s="116"/>
    </row>
    <row r="93" spans="1:1" x14ac:dyDescent="0.25">
      <c r="A93" s="116"/>
    </row>
    <row r="94" spans="1:1" x14ac:dyDescent="0.25">
      <c r="A94" s="116"/>
    </row>
    <row r="95" spans="1:1" x14ac:dyDescent="0.25">
      <c r="A95" s="116"/>
    </row>
    <row r="96" spans="1:1" x14ac:dyDescent="0.25">
      <c r="A96" s="116"/>
    </row>
    <row r="97" spans="1:1" x14ac:dyDescent="0.25">
      <c r="A97" s="116"/>
    </row>
    <row r="98" spans="1:1" x14ac:dyDescent="0.25">
      <c r="A98" s="116"/>
    </row>
    <row r="99" spans="1:1" x14ac:dyDescent="0.25">
      <c r="A99" s="116"/>
    </row>
    <row r="100" spans="1:1" x14ac:dyDescent="0.25">
      <c r="A100" s="116"/>
    </row>
    <row r="101" spans="1:1" x14ac:dyDescent="0.25">
      <c r="A101" s="116"/>
    </row>
    <row r="102" spans="1:1" x14ac:dyDescent="0.25">
      <c r="A102" s="116"/>
    </row>
    <row r="103" spans="1:1" x14ac:dyDescent="0.25">
      <c r="A103" s="116"/>
    </row>
    <row r="104" spans="1:1" x14ac:dyDescent="0.25">
      <c r="A104" s="116"/>
    </row>
    <row r="105" spans="1:1" x14ac:dyDescent="0.25">
      <c r="A105" s="116"/>
    </row>
    <row r="106" spans="1:1" x14ac:dyDescent="0.25">
      <c r="A106" s="116"/>
    </row>
    <row r="107" spans="1:1" x14ac:dyDescent="0.25">
      <c r="A107" s="116"/>
    </row>
    <row r="108" spans="1:1" x14ac:dyDescent="0.25">
      <c r="A108" s="116"/>
    </row>
    <row r="109" spans="1:1" x14ac:dyDescent="0.25">
      <c r="A109" s="116"/>
    </row>
    <row r="110" spans="1:1" x14ac:dyDescent="0.25">
      <c r="A110" s="116"/>
    </row>
    <row r="111" spans="1:1" x14ac:dyDescent="0.25">
      <c r="A111" s="116"/>
    </row>
    <row r="112" spans="1:1" x14ac:dyDescent="0.25">
      <c r="A112" s="116"/>
    </row>
    <row r="113" spans="1:1" x14ac:dyDescent="0.25">
      <c r="A113" s="116"/>
    </row>
    <row r="114" spans="1:1" x14ac:dyDescent="0.25">
      <c r="A114" s="116"/>
    </row>
    <row r="115" spans="1:1" x14ac:dyDescent="0.25">
      <c r="A115" s="116"/>
    </row>
    <row r="116" spans="1:1" x14ac:dyDescent="0.25">
      <c r="A116" s="116"/>
    </row>
    <row r="117" spans="1:1" x14ac:dyDescent="0.25">
      <c r="A117" s="116"/>
    </row>
    <row r="118" spans="1:1" x14ac:dyDescent="0.25">
      <c r="A118" s="116"/>
    </row>
    <row r="119" spans="1:1" x14ac:dyDescent="0.25">
      <c r="A119" s="116"/>
    </row>
    <row r="120" spans="1:1" x14ac:dyDescent="0.25">
      <c r="A120" s="116"/>
    </row>
    <row r="121" spans="1:1" x14ac:dyDescent="0.25">
      <c r="A121" s="116"/>
    </row>
    <row r="122" spans="1:1" x14ac:dyDescent="0.25">
      <c r="A122" s="116"/>
    </row>
    <row r="123" spans="1:1" x14ac:dyDescent="0.25">
      <c r="A123" s="116"/>
    </row>
    <row r="124" spans="1:1" x14ac:dyDescent="0.25">
      <c r="A124" s="116"/>
    </row>
    <row r="125" spans="1:1" x14ac:dyDescent="0.25">
      <c r="A125" s="116"/>
    </row>
    <row r="126" spans="1:1" x14ac:dyDescent="0.25">
      <c r="A126" s="116"/>
    </row>
    <row r="127" spans="1:1" x14ac:dyDescent="0.25">
      <c r="A127" s="116"/>
    </row>
    <row r="128" spans="1:1" x14ac:dyDescent="0.25">
      <c r="A128" s="116"/>
    </row>
    <row r="129" spans="1:1" x14ac:dyDescent="0.25">
      <c r="A129" s="116"/>
    </row>
    <row r="130" spans="1:1" x14ac:dyDescent="0.25">
      <c r="A130" s="116"/>
    </row>
    <row r="131" spans="1:1" x14ac:dyDescent="0.25">
      <c r="A131" s="116"/>
    </row>
    <row r="132" spans="1:1" x14ac:dyDescent="0.25">
      <c r="A132" s="116"/>
    </row>
    <row r="133" spans="1:1" x14ac:dyDescent="0.25">
      <c r="A133" s="116"/>
    </row>
    <row r="134" spans="1:1" x14ac:dyDescent="0.25">
      <c r="A134" s="116"/>
    </row>
    <row r="135" spans="1:1" x14ac:dyDescent="0.25">
      <c r="A135" s="116"/>
    </row>
    <row r="136" spans="1:1" x14ac:dyDescent="0.25">
      <c r="A136" s="116"/>
    </row>
    <row r="137" spans="1:1" x14ac:dyDescent="0.25">
      <c r="A137" s="116"/>
    </row>
    <row r="138" spans="1:1" x14ac:dyDescent="0.25">
      <c r="A138" s="116"/>
    </row>
    <row r="139" spans="1:1" x14ac:dyDescent="0.25">
      <c r="A139" s="116"/>
    </row>
    <row r="140" spans="1:1" x14ac:dyDescent="0.25">
      <c r="A140" s="116"/>
    </row>
    <row r="141" spans="1:1" x14ac:dyDescent="0.25">
      <c r="A141" s="116"/>
    </row>
    <row r="142" spans="1:1" x14ac:dyDescent="0.25">
      <c r="A142" s="116"/>
    </row>
    <row r="143" spans="1:1" x14ac:dyDescent="0.25">
      <c r="A143" s="116"/>
    </row>
    <row r="144" spans="1:1" x14ac:dyDescent="0.25">
      <c r="A144" s="116"/>
    </row>
    <row r="145" spans="1:1" x14ac:dyDescent="0.25">
      <c r="A145" s="116"/>
    </row>
    <row r="146" spans="1:1" x14ac:dyDescent="0.25">
      <c r="A146" s="116"/>
    </row>
    <row r="147" spans="1:1" x14ac:dyDescent="0.25">
      <c r="A147" s="116"/>
    </row>
    <row r="148" spans="1:1" x14ac:dyDescent="0.25">
      <c r="A148" s="116"/>
    </row>
    <row r="149" spans="1:1" x14ac:dyDescent="0.25">
      <c r="A149" s="116"/>
    </row>
    <row r="150" spans="1:1" x14ac:dyDescent="0.25">
      <c r="A150" s="116"/>
    </row>
    <row r="151" spans="1:1" x14ac:dyDescent="0.25">
      <c r="A151" s="116"/>
    </row>
    <row r="152" spans="1:1" x14ac:dyDescent="0.25">
      <c r="A152" s="116"/>
    </row>
    <row r="153" spans="1:1" x14ac:dyDescent="0.25">
      <c r="A153" s="116"/>
    </row>
    <row r="154" spans="1:1" x14ac:dyDescent="0.25">
      <c r="A154" s="116"/>
    </row>
    <row r="155" spans="1:1" x14ac:dyDescent="0.25">
      <c r="A155" s="116"/>
    </row>
    <row r="156" spans="1:1" x14ac:dyDescent="0.25">
      <c r="A156" s="116"/>
    </row>
    <row r="157" spans="1:1" x14ac:dyDescent="0.25">
      <c r="A157" s="116"/>
    </row>
    <row r="158" spans="1:1" x14ac:dyDescent="0.25">
      <c r="A158" s="116"/>
    </row>
    <row r="159" spans="1:1" x14ac:dyDescent="0.25">
      <c r="A159" s="116"/>
    </row>
    <row r="160" spans="1:1" x14ac:dyDescent="0.25">
      <c r="A160" s="116"/>
    </row>
    <row r="161" spans="1:1" x14ac:dyDescent="0.25">
      <c r="A161" s="116"/>
    </row>
    <row r="162" spans="1:1" x14ac:dyDescent="0.25">
      <c r="A162" s="116"/>
    </row>
    <row r="163" spans="1:1" x14ac:dyDescent="0.25">
      <c r="A163" s="116"/>
    </row>
    <row r="164" spans="1:1" x14ac:dyDescent="0.25">
      <c r="A164" s="116"/>
    </row>
    <row r="165" spans="1:1" x14ac:dyDescent="0.25">
      <c r="A165" s="116"/>
    </row>
    <row r="166" spans="1:1" x14ac:dyDescent="0.25">
      <c r="A166" s="116"/>
    </row>
    <row r="167" spans="1:1" x14ac:dyDescent="0.25">
      <c r="A167" s="116"/>
    </row>
    <row r="168" spans="1:1" x14ac:dyDescent="0.25">
      <c r="A168" s="116"/>
    </row>
    <row r="169" spans="1:1" x14ac:dyDescent="0.25">
      <c r="A169" s="116"/>
    </row>
    <row r="170" spans="1:1" x14ac:dyDescent="0.25">
      <c r="A170" s="116"/>
    </row>
    <row r="171" spans="1:1" x14ac:dyDescent="0.25">
      <c r="A171" s="116"/>
    </row>
    <row r="172" spans="1:1" x14ac:dyDescent="0.25">
      <c r="A172" s="116"/>
    </row>
    <row r="173" spans="1:1" x14ac:dyDescent="0.25">
      <c r="A173" s="116"/>
    </row>
    <row r="174" spans="1:1" x14ac:dyDescent="0.25">
      <c r="A174" s="116"/>
    </row>
    <row r="175" spans="1:1" x14ac:dyDescent="0.25">
      <c r="A175" s="116"/>
    </row>
    <row r="176" spans="1:1" x14ac:dyDescent="0.25">
      <c r="A176" s="116"/>
    </row>
    <row r="177" spans="1:1" x14ac:dyDescent="0.25">
      <c r="A177" s="116"/>
    </row>
    <row r="178" spans="1:1" x14ac:dyDescent="0.25">
      <c r="A178" s="116"/>
    </row>
    <row r="179" spans="1:1" x14ac:dyDescent="0.25">
      <c r="A179" s="116"/>
    </row>
    <row r="180" spans="1:1" x14ac:dyDescent="0.25">
      <c r="A180" s="116"/>
    </row>
    <row r="181" spans="1:1" x14ac:dyDescent="0.25">
      <c r="A181" s="116"/>
    </row>
    <row r="182" spans="1:1" x14ac:dyDescent="0.25">
      <c r="A182" s="116"/>
    </row>
    <row r="183" spans="1:1" x14ac:dyDescent="0.25">
      <c r="A183" s="116"/>
    </row>
    <row r="184" spans="1:1" x14ac:dyDescent="0.25">
      <c r="A184" s="116"/>
    </row>
    <row r="185" spans="1:1" x14ac:dyDescent="0.25">
      <c r="A185" s="116"/>
    </row>
    <row r="186" spans="1:1" x14ac:dyDescent="0.25">
      <c r="A186" s="116"/>
    </row>
    <row r="187" spans="1:1" x14ac:dyDescent="0.25">
      <c r="A187" s="116"/>
    </row>
    <row r="188" spans="1:1" x14ac:dyDescent="0.25">
      <c r="A188" s="116"/>
    </row>
    <row r="189" spans="1:1" x14ac:dyDescent="0.25">
      <c r="A189" s="116"/>
    </row>
    <row r="190" spans="1:1" x14ac:dyDescent="0.25">
      <c r="A190" s="116"/>
    </row>
    <row r="191" spans="1:1" x14ac:dyDescent="0.25">
      <c r="A191" s="116"/>
    </row>
    <row r="192" spans="1:1" x14ac:dyDescent="0.25">
      <c r="A192" s="116"/>
    </row>
    <row r="193" spans="1:1" x14ac:dyDescent="0.25">
      <c r="A193" s="116"/>
    </row>
    <row r="194" spans="1:1" x14ac:dyDescent="0.25">
      <c r="A194" s="116"/>
    </row>
    <row r="195" spans="1:1" x14ac:dyDescent="0.25">
      <c r="A195" s="116"/>
    </row>
    <row r="196" spans="1:1" x14ac:dyDescent="0.25">
      <c r="A196" s="116"/>
    </row>
    <row r="197" spans="1:1" x14ac:dyDescent="0.25">
      <c r="A197" s="116"/>
    </row>
    <row r="198" spans="1:1" x14ac:dyDescent="0.25">
      <c r="A198" s="116"/>
    </row>
    <row r="199" spans="1:1" x14ac:dyDescent="0.25">
      <c r="A199" s="116"/>
    </row>
    <row r="200" spans="1:1" x14ac:dyDescent="0.25">
      <c r="A200" s="116"/>
    </row>
    <row r="201" spans="1:1" x14ac:dyDescent="0.25">
      <c r="A201" s="116"/>
    </row>
    <row r="202" spans="1:1" x14ac:dyDescent="0.25">
      <c r="A202" s="116"/>
    </row>
    <row r="203" spans="1:1" x14ac:dyDescent="0.25">
      <c r="A203" s="116"/>
    </row>
    <row r="204" spans="1:1" x14ac:dyDescent="0.25">
      <c r="A204" s="116"/>
    </row>
    <row r="205" spans="1:1" x14ac:dyDescent="0.25">
      <c r="A205" s="116"/>
    </row>
    <row r="206" spans="1:1" x14ac:dyDescent="0.25">
      <c r="A206" s="116"/>
    </row>
    <row r="207" spans="1:1" x14ac:dyDescent="0.25">
      <c r="A207" s="116"/>
    </row>
    <row r="208" spans="1:1" x14ac:dyDescent="0.25">
      <c r="A208" s="116"/>
    </row>
    <row r="209" spans="1:1" x14ac:dyDescent="0.25">
      <c r="A209" s="116"/>
    </row>
    <row r="210" spans="1:1" x14ac:dyDescent="0.25">
      <c r="A210" s="116"/>
    </row>
    <row r="211" spans="1:1" x14ac:dyDescent="0.25">
      <c r="A211" s="116"/>
    </row>
    <row r="212" spans="1:1" x14ac:dyDescent="0.25">
      <c r="A212" s="116"/>
    </row>
    <row r="213" spans="1:1" x14ac:dyDescent="0.25">
      <c r="A213" s="116"/>
    </row>
    <row r="214" spans="1:1" x14ac:dyDescent="0.25">
      <c r="A214" s="116"/>
    </row>
    <row r="215" spans="1:1" x14ac:dyDescent="0.25">
      <c r="A215" s="116"/>
    </row>
    <row r="216" spans="1:1" x14ac:dyDescent="0.25">
      <c r="A216" s="116"/>
    </row>
    <row r="217" spans="1:1" x14ac:dyDescent="0.25">
      <c r="A217" s="116"/>
    </row>
    <row r="218" spans="1:1" x14ac:dyDescent="0.25">
      <c r="A218" s="116"/>
    </row>
    <row r="219" spans="1:1" x14ac:dyDescent="0.25">
      <c r="A219" s="116"/>
    </row>
    <row r="220" spans="1:1" x14ac:dyDescent="0.25">
      <c r="A220" s="116"/>
    </row>
    <row r="221" spans="1:1" x14ac:dyDescent="0.25">
      <c r="A221" s="116"/>
    </row>
    <row r="222" spans="1:1" x14ac:dyDescent="0.25">
      <c r="A222" s="116"/>
    </row>
    <row r="223" spans="1:1" x14ac:dyDescent="0.25">
      <c r="A223" s="116"/>
    </row>
    <row r="224" spans="1:1" x14ac:dyDescent="0.25">
      <c r="A224" s="116"/>
    </row>
    <row r="225" spans="1:1" x14ac:dyDescent="0.25">
      <c r="A225" s="116"/>
    </row>
    <row r="226" spans="1:1" x14ac:dyDescent="0.25">
      <c r="A226" s="116"/>
    </row>
    <row r="227" spans="1:1" x14ac:dyDescent="0.25">
      <c r="A227" s="116"/>
    </row>
    <row r="228" spans="1:1" x14ac:dyDescent="0.25">
      <c r="A228" s="116"/>
    </row>
    <row r="229" spans="1:1" x14ac:dyDescent="0.25">
      <c r="A229" s="116"/>
    </row>
    <row r="230" spans="1:1" x14ac:dyDescent="0.25">
      <c r="A230" s="116"/>
    </row>
    <row r="231" spans="1:1" x14ac:dyDescent="0.25">
      <c r="A231" s="116"/>
    </row>
    <row r="232" spans="1:1" x14ac:dyDescent="0.25">
      <c r="A232" s="116"/>
    </row>
    <row r="233" spans="1:1" x14ac:dyDescent="0.25">
      <c r="A233" s="116"/>
    </row>
    <row r="234" spans="1:1" x14ac:dyDescent="0.25">
      <c r="A234" s="116"/>
    </row>
    <row r="235" spans="1:1" x14ac:dyDescent="0.25">
      <c r="A235" s="116"/>
    </row>
    <row r="236" spans="1:1" x14ac:dyDescent="0.25">
      <c r="A236" s="116"/>
    </row>
    <row r="237" spans="1:1" x14ac:dyDescent="0.25">
      <c r="A237" s="116"/>
    </row>
    <row r="238" spans="1:1" x14ac:dyDescent="0.25">
      <c r="A238" s="116"/>
    </row>
    <row r="239" spans="1:1" x14ac:dyDescent="0.25">
      <c r="A239" s="116"/>
    </row>
    <row r="240" spans="1:1" x14ac:dyDescent="0.25">
      <c r="A240" s="116"/>
    </row>
    <row r="241" spans="1:1" x14ac:dyDescent="0.25">
      <c r="A241" s="116"/>
    </row>
    <row r="242" spans="1:1" x14ac:dyDescent="0.25">
      <c r="A242" s="116"/>
    </row>
    <row r="243" spans="1:1" x14ac:dyDescent="0.25">
      <c r="A243" s="116"/>
    </row>
    <row r="244" spans="1:1" x14ac:dyDescent="0.25">
      <c r="A244" s="116"/>
    </row>
    <row r="245" spans="1:1" x14ac:dyDescent="0.25">
      <c r="A245" s="116"/>
    </row>
    <row r="246" spans="1:1" x14ac:dyDescent="0.25">
      <c r="A246" s="116"/>
    </row>
    <row r="247" spans="1:1" x14ac:dyDescent="0.25">
      <c r="A247" s="116"/>
    </row>
    <row r="248" spans="1:1" x14ac:dyDescent="0.25">
      <c r="A248" s="116"/>
    </row>
    <row r="249" spans="1:1" x14ac:dyDescent="0.25">
      <c r="A249" s="116"/>
    </row>
    <row r="250" spans="1:1" x14ac:dyDescent="0.25">
      <c r="A250" s="116"/>
    </row>
    <row r="251" spans="1:1" x14ac:dyDescent="0.25">
      <c r="A251" s="116"/>
    </row>
    <row r="252" spans="1:1" x14ac:dyDescent="0.25">
      <c r="A252" s="116"/>
    </row>
    <row r="253" spans="1:1" x14ac:dyDescent="0.25">
      <c r="A253" s="116"/>
    </row>
    <row r="254" spans="1:1" x14ac:dyDescent="0.25">
      <c r="A254" s="116"/>
    </row>
    <row r="255" spans="1:1" x14ac:dyDescent="0.25">
      <c r="A255" s="116"/>
    </row>
    <row r="256" spans="1:1" x14ac:dyDescent="0.25">
      <c r="A256" s="116"/>
    </row>
    <row r="257" spans="1:1" x14ac:dyDescent="0.25">
      <c r="A257" s="116"/>
    </row>
    <row r="258" spans="1:1" x14ac:dyDescent="0.25">
      <c r="A258" s="116"/>
    </row>
    <row r="259" spans="1:1" x14ac:dyDescent="0.25">
      <c r="A259" s="116"/>
    </row>
    <row r="260" spans="1:1" x14ac:dyDescent="0.25">
      <c r="A260" s="116"/>
    </row>
    <row r="261" spans="1:1" x14ac:dyDescent="0.25">
      <c r="A261" s="116"/>
    </row>
    <row r="262" spans="1:1" x14ac:dyDescent="0.25">
      <c r="A262" s="116"/>
    </row>
    <row r="263" spans="1:1" x14ac:dyDescent="0.25">
      <c r="A263" s="116"/>
    </row>
    <row r="264" spans="1:1" x14ac:dyDescent="0.25">
      <c r="A264" s="116"/>
    </row>
    <row r="265" spans="1:1" x14ac:dyDescent="0.25">
      <c r="A265" s="116"/>
    </row>
    <row r="266" spans="1:1" x14ac:dyDescent="0.25">
      <c r="A266" s="116"/>
    </row>
    <row r="267" spans="1:1" x14ac:dyDescent="0.25">
      <c r="A267" s="116"/>
    </row>
    <row r="268" spans="1:1" x14ac:dyDescent="0.25">
      <c r="A268" s="116"/>
    </row>
    <row r="269" spans="1:1" x14ac:dyDescent="0.25">
      <c r="A269" s="116"/>
    </row>
    <row r="270" spans="1:1" x14ac:dyDescent="0.25">
      <c r="A270" s="116"/>
    </row>
    <row r="271" spans="1:1" x14ac:dyDescent="0.25">
      <c r="A271" s="116"/>
    </row>
    <row r="272" spans="1:1" x14ac:dyDescent="0.25">
      <c r="A272" s="116"/>
    </row>
    <row r="273" spans="1:1" x14ac:dyDescent="0.25">
      <c r="A273" s="116"/>
    </row>
    <row r="274" spans="1:1" x14ac:dyDescent="0.25">
      <c r="A274" s="116"/>
    </row>
    <row r="275" spans="1:1" x14ac:dyDescent="0.25">
      <c r="A275" s="116"/>
    </row>
    <row r="276" spans="1:1" x14ac:dyDescent="0.25">
      <c r="A276" s="116"/>
    </row>
    <row r="277" spans="1:1" x14ac:dyDescent="0.25">
      <c r="A277" s="116"/>
    </row>
    <row r="278" spans="1:1" x14ac:dyDescent="0.25">
      <c r="A278" s="116"/>
    </row>
    <row r="279" spans="1:1" x14ac:dyDescent="0.25">
      <c r="A279" s="116"/>
    </row>
    <row r="280" spans="1:1" x14ac:dyDescent="0.25">
      <c r="A280" s="116"/>
    </row>
    <row r="281" spans="1:1" x14ac:dyDescent="0.25">
      <c r="A281" s="116"/>
    </row>
    <row r="282" spans="1:1" x14ac:dyDescent="0.25">
      <c r="A282" s="116"/>
    </row>
    <row r="283" spans="1:1" x14ac:dyDescent="0.25">
      <c r="A283" s="116"/>
    </row>
    <row r="284" spans="1:1" x14ac:dyDescent="0.25">
      <c r="A284" s="116"/>
    </row>
    <row r="285" spans="1:1" x14ac:dyDescent="0.25">
      <c r="A285" s="116"/>
    </row>
    <row r="286" spans="1:1" x14ac:dyDescent="0.25">
      <c r="A286" s="116"/>
    </row>
    <row r="287" spans="1:1" x14ac:dyDescent="0.25">
      <c r="A287" s="116"/>
    </row>
    <row r="288" spans="1:1" x14ac:dyDescent="0.25">
      <c r="A288" s="116"/>
    </row>
    <row r="289" spans="1:1" x14ac:dyDescent="0.25">
      <c r="A289" s="116"/>
    </row>
  </sheetData>
  <pageMargins left="0.70866141732283472" right="0.51181102362204722" top="0.55118110236220474" bottom="0.55118110236220474" header="0.31496062992125984" footer="0.31496062992125984"/>
  <pageSetup paperSize="9" scale="8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5966B-CE63-447C-A9D7-ECD32DA196DD}">
  <sheetPr codeName="Sheet4"/>
  <dimension ref="A1:BF14"/>
  <sheetViews>
    <sheetView showGridLines="0" zoomScale="85" zoomScaleNormal="85" workbookViewId="0">
      <selection activeCell="J47" sqref="J47"/>
    </sheetView>
  </sheetViews>
  <sheetFormatPr defaultRowHeight="12.75" x14ac:dyDescent="0.2"/>
  <cols>
    <col min="1" max="1" width="9" style="272"/>
    <col min="2" max="2" width="17" style="272" customWidth="1"/>
    <col min="3" max="3" width="11.25" style="272" customWidth="1"/>
    <col min="4" max="16" width="9" style="272"/>
    <col min="17" max="17" width="21" style="272" customWidth="1"/>
    <col min="18" max="16384" width="9" style="272"/>
  </cols>
  <sheetData>
    <row r="1" spans="1:58" s="1" customFormat="1" ht="18.75" x14ac:dyDescent="0.3">
      <c r="A1" s="249" t="str">
        <f>Output!A1</f>
        <v>PAL Accelerated depreciation</v>
      </c>
      <c r="B1" s="249"/>
      <c r="C1" s="249"/>
      <c r="D1" s="249"/>
      <c r="E1" s="249"/>
      <c r="F1" s="249"/>
      <c r="G1" s="250"/>
      <c r="H1" s="250"/>
      <c r="I1" s="250"/>
      <c r="J1" s="250"/>
      <c r="K1" s="250"/>
      <c r="L1" s="250"/>
      <c r="M1" s="249"/>
      <c r="N1" s="249"/>
      <c r="O1" s="249"/>
      <c r="P1" s="249"/>
      <c r="Q1" s="249"/>
      <c r="R1" s="249"/>
      <c r="S1" s="249"/>
      <c r="T1" s="249"/>
      <c r="U1" s="251"/>
      <c r="V1" s="251"/>
      <c r="W1" s="251"/>
      <c r="X1" s="251"/>
      <c r="Y1" s="251"/>
      <c r="Z1" s="251"/>
      <c r="AA1" s="251"/>
      <c r="AB1" s="251"/>
      <c r="AC1" s="251"/>
      <c r="AD1" s="251"/>
      <c r="AE1" s="251"/>
      <c r="AF1" s="251"/>
      <c r="AG1" s="251"/>
      <c r="AH1" s="251"/>
      <c r="AI1" s="251"/>
      <c r="AJ1" s="251"/>
      <c r="AK1" s="251"/>
      <c r="AL1" s="251"/>
      <c r="AM1" s="251"/>
      <c r="AN1" s="251"/>
      <c r="AO1" s="251"/>
      <c r="AP1" s="251"/>
      <c r="AQ1" s="251"/>
      <c r="AR1" s="251"/>
      <c r="AS1" s="251"/>
      <c r="AT1" s="251"/>
      <c r="AU1" s="251"/>
      <c r="AV1" s="251"/>
      <c r="AW1" s="251"/>
      <c r="AX1" s="251"/>
      <c r="AY1" s="251"/>
      <c r="AZ1" s="251"/>
      <c r="BA1" s="251"/>
      <c r="BB1" s="251"/>
      <c r="BC1" s="251"/>
      <c r="BD1" s="251"/>
      <c r="BE1" s="251"/>
      <c r="BF1" s="251"/>
    </row>
    <row r="2" spans="1:58" s="1" customFormat="1" ht="15.75" x14ac:dyDescent="0.25">
      <c r="A2" s="252" t="s">
        <v>199</v>
      </c>
      <c r="B2" s="252"/>
      <c r="C2" s="252"/>
      <c r="D2" s="252"/>
      <c r="E2" s="252"/>
      <c r="F2" s="252"/>
      <c r="G2" s="253"/>
      <c r="H2" s="253"/>
      <c r="I2" s="253"/>
      <c r="J2" s="253"/>
      <c r="K2" s="253"/>
      <c r="L2" s="253"/>
      <c r="M2" s="252"/>
      <c r="N2" s="252"/>
      <c r="O2" s="252"/>
      <c r="P2" s="252"/>
      <c r="Q2" s="252"/>
      <c r="R2" s="252"/>
      <c r="S2" s="252"/>
      <c r="T2" s="252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  <c r="AH2" s="251"/>
      <c r="AI2" s="251"/>
      <c r="AJ2" s="251"/>
      <c r="AK2" s="251"/>
      <c r="AL2" s="251"/>
      <c r="AM2" s="251"/>
      <c r="AN2" s="251"/>
      <c r="AO2" s="251"/>
      <c r="AP2" s="251"/>
      <c r="AQ2" s="251"/>
      <c r="AR2" s="251"/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F2" s="251"/>
    </row>
    <row r="6" spans="1:58" x14ac:dyDescent="0.2">
      <c r="C6" s="273"/>
      <c r="D6" s="273"/>
      <c r="E6" s="273"/>
      <c r="F6" s="273"/>
      <c r="G6" s="274" t="s">
        <v>26</v>
      </c>
      <c r="H6" s="274"/>
      <c r="I6" s="274"/>
      <c r="J6" s="274"/>
      <c r="K6" s="274"/>
      <c r="L6" s="274"/>
      <c r="M6" s="274"/>
      <c r="N6" s="274"/>
      <c r="O6" s="275"/>
      <c r="P6" s="275"/>
      <c r="Q6" s="275"/>
    </row>
    <row r="7" spans="1:58" x14ac:dyDescent="0.2">
      <c r="B7" s="276"/>
      <c r="C7" s="276" t="s">
        <v>27</v>
      </c>
      <c r="D7" s="276" t="s">
        <v>197</v>
      </c>
      <c r="E7" s="276"/>
      <c r="F7" s="276"/>
      <c r="G7" s="276">
        <v>2019</v>
      </c>
      <c r="H7" s="276">
        <v>2020</v>
      </c>
      <c r="I7" s="276">
        <v>2021</v>
      </c>
      <c r="J7" s="276">
        <v>2022</v>
      </c>
      <c r="K7" s="276">
        <v>2023</v>
      </c>
      <c r="L7" s="276">
        <v>2024</v>
      </c>
      <c r="M7" s="276">
        <v>2025</v>
      </c>
      <c r="N7" s="276">
        <v>2026</v>
      </c>
      <c r="O7" s="275"/>
      <c r="P7" s="275"/>
      <c r="Q7" s="275"/>
    </row>
    <row r="8" spans="1:58" x14ac:dyDescent="0.2">
      <c r="B8" s="278" t="s">
        <v>28</v>
      </c>
      <c r="C8" s="279">
        <v>84620</v>
      </c>
      <c r="D8" s="279" t="s">
        <v>194</v>
      </c>
      <c r="E8" s="280"/>
      <c r="F8" s="279"/>
      <c r="G8" s="281">
        <v>25.5</v>
      </c>
      <c r="H8" s="281">
        <v>25.5</v>
      </c>
      <c r="I8" s="281">
        <v>25.5</v>
      </c>
      <c r="J8" s="281">
        <v>25.5</v>
      </c>
      <c r="K8" s="281">
        <v>25.5</v>
      </c>
      <c r="L8" s="281">
        <v>25.5</v>
      </c>
      <c r="M8" s="281">
        <v>25.5</v>
      </c>
      <c r="N8" s="281">
        <v>25.5</v>
      </c>
    </row>
    <row r="9" spans="1:58" x14ac:dyDescent="0.2">
      <c r="B9" s="278" t="s">
        <v>29</v>
      </c>
      <c r="C9" s="282">
        <v>425000</v>
      </c>
      <c r="D9" s="282" t="s">
        <v>193</v>
      </c>
      <c r="E9" s="280"/>
      <c r="F9" s="282"/>
      <c r="G9" s="281">
        <v>0</v>
      </c>
      <c r="H9" s="281">
        <v>0</v>
      </c>
      <c r="I9" s="281">
        <v>1.92</v>
      </c>
      <c r="J9" s="281">
        <v>1.92</v>
      </c>
      <c r="K9" s="281">
        <v>1.92</v>
      </c>
      <c r="L9" s="281">
        <v>1.92</v>
      </c>
      <c r="M9" s="281">
        <v>1.92</v>
      </c>
      <c r="N9" s="281">
        <v>1.92</v>
      </c>
    </row>
    <row r="10" spans="1:58" x14ac:dyDescent="0.2">
      <c r="B10" s="278" t="s">
        <v>195</v>
      </c>
      <c r="C10" s="283">
        <v>66148.565726341141</v>
      </c>
      <c r="D10" s="278" t="s">
        <v>194</v>
      </c>
      <c r="E10" s="280"/>
      <c r="F10" s="278"/>
      <c r="G10" s="278"/>
      <c r="H10" s="278"/>
      <c r="I10" s="278"/>
      <c r="J10" s="283">
        <v>128</v>
      </c>
      <c r="K10" s="283">
        <v>128</v>
      </c>
      <c r="L10" s="283">
        <v>133</v>
      </c>
      <c r="M10" s="283">
        <v>124</v>
      </c>
      <c r="N10" s="283">
        <v>125</v>
      </c>
    </row>
    <row r="11" spans="1:58" x14ac:dyDescent="0.2">
      <c r="B11" s="284" t="s">
        <v>196</v>
      </c>
      <c r="C11" s="285">
        <v>3591.4324024343018</v>
      </c>
      <c r="D11" s="284" t="s">
        <v>194</v>
      </c>
      <c r="E11" s="280"/>
      <c r="F11" s="284"/>
      <c r="G11" s="284"/>
      <c r="H11" s="284"/>
      <c r="I11" s="284"/>
      <c r="J11" s="285">
        <v>1030</v>
      </c>
      <c r="K11" s="285">
        <v>1030</v>
      </c>
      <c r="L11" s="285">
        <v>0</v>
      </c>
      <c r="M11" s="285">
        <v>0</v>
      </c>
      <c r="N11" s="285">
        <v>0</v>
      </c>
    </row>
    <row r="12" spans="1:58" x14ac:dyDescent="0.2">
      <c r="B12" s="277"/>
      <c r="C12" s="277"/>
      <c r="D12" s="277"/>
      <c r="E12" s="273"/>
      <c r="F12" s="277"/>
      <c r="G12" s="277"/>
      <c r="H12" s="277"/>
      <c r="I12" s="277"/>
      <c r="J12" s="277"/>
      <c r="K12" s="277"/>
      <c r="L12" s="277"/>
      <c r="M12" s="277"/>
      <c r="N12" s="277"/>
    </row>
    <row r="13" spans="1:58" x14ac:dyDescent="0.2">
      <c r="E13" s="273"/>
    </row>
    <row r="14" spans="1:58" x14ac:dyDescent="0.2">
      <c r="E14" s="273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4DACB-47D7-49FA-AC2B-87FE7079024A}">
  <sheetPr codeName="Sheet9">
    <pageSetUpPr fitToPage="1"/>
  </sheetPr>
  <dimension ref="A1:BZ316"/>
  <sheetViews>
    <sheetView showGridLines="0" zoomScale="55" zoomScaleNormal="55" workbookViewId="0"/>
  </sheetViews>
  <sheetFormatPr defaultColWidth="8" defaultRowHeight="15" x14ac:dyDescent="0.25"/>
  <cols>
    <col min="1" max="1" width="2.375" style="115" customWidth="1"/>
    <col min="2" max="2" width="17" style="114" customWidth="1"/>
    <col min="3" max="3" width="20.5" style="114" customWidth="1"/>
    <col min="4" max="4" width="18.25" style="114" customWidth="1"/>
    <col min="5" max="7" width="21.25" style="114" customWidth="1"/>
    <col min="8" max="8" width="25.5" style="114" customWidth="1"/>
    <col min="9" max="12" width="21.25" style="114" customWidth="1"/>
    <col min="13" max="16384" width="8" style="114"/>
  </cols>
  <sheetData>
    <row r="1" spans="1:78" s="1" customFormat="1" ht="18.75" x14ac:dyDescent="0.3">
      <c r="A1" s="249" t="str">
        <f>'T3 Distribution_Depn'!A1</f>
        <v>Powercor REFCLs</v>
      </c>
      <c r="B1" s="249"/>
      <c r="C1" s="249"/>
      <c r="D1" s="249"/>
      <c r="E1" s="249"/>
      <c r="F1" s="249"/>
      <c r="G1" s="250"/>
      <c r="H1" s="250"/>
      <c r="I1" s="250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4"/>
      <c r="BS1" s="114"/>
      <c r="BT1" s="114"/>
      <c r="BU1" s="114"/>
      <c r="BV1" s="114"/>
      <c r="BW1" s="114"/>
      <c r="BX1" s="114"/>
      <c r="BY1" s="114"/>
      <c r="BZ1" s="114"/>
    </row>
    <row r="2" spans="1:78" s="1" customFormat="1" ht="15.75" x14ac:dyDescent="0.25">
      <c r="A2" s="252" t="s">
        <v>113</v>
      </c>
      <c r="B2" s="252"/>
      <c r="C2" s="252"/>
      <c r="D2" s="252"/>
      <c r="E2" s="252"/>
      <c r="F2" s="252"/>
      <c r="G2" s="253"/>
      <c r="H2" s="253"/>
      <c r="I2" s="253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4"/>
      <c r="BP2" s="114"/>
      <c r="BQ2" s="114"/>
      <c r="BR2" s="114"/>
      <c r="BS2" s="114"/>
      <c r="BT2" s="114"/>
      <c r="BU2" s="114"/>
      <c r="BV2" s="114"/>
      <c r="BW2" s="114"/>
      <c r="BX2" s="114"/>
      <c r="BY2" s="114"/>
      <c r="BZ2" s="114"/>
    </row>
    <row r="3" spans="1:78" s="300" customFormat="1" ht="18.75" x14ac:dyDescent="0.3">
      <c r="A3" s="297"/>
      <c r="B3" s="298"/>
      <c r="C3" s="298"/>
      <c r="D3" s="299"/>
      <c r="E3" s="299"/>
      <c r="F3" s="299"/>
      <c r="G3" s="299"/>
      <c r="H3" s="299"/>
      <c r="I3" s="299"/>
      <c r="J3" s="299"/>
      <c r="K3" s="299"/>
      <c r="L3" s="299"/>
      <c r="V3" s="123"/>
      <c r="W3" s="301"/>
      <c r="X3" s="302"/>
      <c r="Y3" s="123"/>
      <c r="Z3" s="123"/>
      <c r="AA3" s="123"/>
      <c r="AB3" s="123"/>
      <c r="AC3" s="123"/>
      <c r="AD3" s="123"/>
      <c r="AE3" s="123"/>
      <c r="AF3" s="123"/>
    </row>
    <row r="4" spans="1:78" x14ac:dyDescent="0.25">
      <c r="A4" s="116"/>
    </row>
    <row r="5" spans="1:78" ht="15" customHeight="1" x14ac:dyDescent="0.25">
      <c r="A5" s="116"/>
      <c r="B5" s="145" t="s">
        <v>112</v>
      </c>
      <c r="C5" s="145"/>
      <c r="D5" s="169">
        <v>2019</v>
      </c>
      <c r="E5" s="163" t="s">
        <v>20</v>
      </c>
      <c r="F5" s="163"/>
      <c r="G5" s="163"/>
      <c r="H5" s="152"/>
      <c r="I5" s="117"/>
    </row>
    <row r="6" spans="1:78" x14ac:dyDescent="0.25">
      <c r="A6" s="116"/>
      <c r="B6" s="114" t="s">
        <v>96</v>
      </c>
      <c r="D6" s="143">
        <v>51</v>
      </c>
      <c r="E6" s="163" t="s">
        <v>111</v>
      </c>
      <c r="F6" s="163"/>
      <c r="G6" s="163"/>
      <c r="H6" s="168"/>
      <c r="I6" s="149"/>
    </row>
    <row r="7" spans="1:78" x14ac:dyDescent="0.25">
      <c r="A7" s="116"/>
      <c r="B7" s="145" t="s">
        <v>110</v>
      </c>
      <c r="D7" s="167">
        <f>SUM(REFCL_Data!O22:O23)</f>
        <v>45386</v>
      </c>
      <c r="E7" s="163" t="s">
        <v>109</v>
      </c>
      <c r="F7" s="163"/>
      <c r="G7" s="163"/>
      <c r="H7" s="165"/>
      <c r="I7" s="149"/>
    </row>
    <row r="8" spans="1:78" x14ac:dyDescent="0.25">
      <c r="A8" s="116"/>
      <c r="B8" s="145" t="s">
        <v>108</v>
      </c>
      <c r="C8" s="145"/>
      <c r="D8" s="166">
        <f>REFCL_Data!H23</f>
        <v>424.8995610865141</v>
      </c>
      <c r="E8" s="163" t="s">
        <v>107</v>
      </c>
      <c r="F8" s="163"/>
      <c r="G8" s="163"/>
      <c r="H8" s="165"/>
      <c r="I8" s="149"/>
    </row>
    <row r="9" spans="1:78" x14ac:dyDescent="0.25">
      <c r="A9" s="116"/>
      <c r="B9" s="145" t="s">
        <v>106</v>
      </c>
      <c r="C9" s="145"/>
      <c r="D9" s="164">
        <v>0.04</v>
      </c>
      <c r="E9" s="163" t="s">
        <v>104</v>
      </c>
      <c r="F9" s="163"/>
      <c r="G9" s="163"/>
      <c r="H9" s="165"/>
      <c r="I9" s="165"/>
    </row>
    <row r="10" spans="1:78" x14ac:dyDescent="0.25">
      <c r="A10" s="116"/>
      <c r="B10" s="145" t="s">
        <v>105</v>
      </c>
      <c r="C10" s="145"/>
      <c r="D10" s="164">
        <f>((D7-(D9*SUM(C15:C64)))/SUM(C15:C33))</f>
        <v>0.37419426690400048</v>
      </c>
      <c r="E10" s="163" t="s">
        <v>104</v>
      </c>
      <c r="F10" s="163"/>
      <c r="G10" s="163"/>
    </row>
    <row r="11" spans="1:78" x14ac:dyDescent="0.25">
      <c r="A11" s="116"/>
      <c r="K11" s="117"/>
    </row>
    <row r="12" spans="1:78" x14ac:dyDescent="0.25">
      <c r="A12" s="116"/>
    </row>
    <row r="13" spans="1:78" x14ac:dyDescent="0.25">
      <c r="A13" s="116"/>
      <c r="B13" s="162" t="s">
        <v>103</v>
      </c>
      <c r="C13" s="161"/>
      <c r="I13" s="160"/>
    </row>
    <row r="14" spans="1:78" s="156" customFormat="1" ht="32.25" customHeight="1" x14ac:dyDescent="0.2">
      <c r="A14" s="159"/>
      <c r="B14" s="158" t="s">
        <v>102</v>
      </c>
      <c r="C14" s="157" t="s">
        <v>101</v>
      </c>
      <c r="D14" s="288" t="s">
        <v>12</v>
      </c>
      <c r="E14" s="157" t="s">
        <v>200</v>
      </c>
      <c r="F14" s="157" t="s">
        <v>99</v>
      </c>
      <c r="G14" s="157" t="s">
        <v>98</v>
      </c>
      <c r="H14" s="157" t="s">
        <v>201</v>
      </c>
      <c r="I14" s="157" t="s">
        <v>202</v>
      </c>
    </row>
    <row r="15" spans="1:78" ht="15" customHeight="1" x14ac:dyDescent="0.25">
      <c r="A15" s="116"/>
      <c r="B15" s="287">
        <v>1970</v>
      </c>
      <c r="C15" s="255">
        <f>INDEX(UG_cable_data!$D$36:$BE$36, MATCH(B15, UG_cable_data!$D$6:$BE$6,0))</f>
        <v>60.940734336395003</v>
      </c>
      <c r="D15" s="289">
        <f t="shared" ref="D15:D46" si="0">$D$6-($D$5-$B15)</f>
        <v>2</v>
      </c>
      <c r="E15" s="292">
        <f t="shared" ref="E15:E46" si="1">C15*$D$8/$D$6*D15</f>
        <v>1015.4388734048665</v>
      </c>
      <c r="F15" s="154">
        <f t="shared" ref="F15:F46" si="2">C15*$D$10</f>
        <v>22.80367340959878</v>
      </c>
      <c r="G15" s="154">
        <f t="shared" ref="G15:G46" si="3">C15*$D$9</f>
        <v>2.4376293734558003</v>
      </c>
      <c r="H15" s="292">
        <f>F15*$D$7/$D$6</f>
        <v>20293.480811138241</v>
      </c>
      <c r="I15" s="292">
        <f t="shared" ref="I15:I46" si="4">0.04*E15</f>
        <v>40.617554936194658</v>
      </c>
    </row>
    <row r="16" spans="1:78" ht="15" customHeight="1" x14ac:dyDescent="0.25">
      <c r="A16" s="116"/>
      <c r="B16" s="287">
        <f t="shared" ref="B16:B47" si="5">B15+1</f>
        <v>1971</v>
      </c>
      <c r="C16" s="255">
        <f>INDEX(UG_cable_data!$D$36:$BE$36, MATCH(B16, UG_cable_data!$D$6:$BE$6,0))</f>
        <v>572.32447264640007</v>
      </c>
      <c r="D16" s="289">
        <f t="shared" si="0"/>
        <v>3</v>
      </c>
      <c r="E16" s="292">
        <f t="shared" si="1"/>
        <v>14304.730425089769</v>
      </c>
      <c r="F16" s="154">
        <f t="shared" si="2"/>
        <v>214.16053647313836</v>
      </c>
      <c r="G16" s="154">
        <f t="shared" si="3"/>
        <v>22.892978905856005</v>
      </c>
      <c r="H16" s="292">
        <f t="shared" ref="H16:H33" si="6">$D$10*E16</f>
        <v>5352.7481146758173</v>
      </c>
      <c r="I16" s="292">
        <f t="shared" si="4"/>
        <v>572.18921700359078</v>
      </c>
    </row>
    <row r="17" spans="1:9" ht="15" customHeight="1" x14ac:dyDescent="0.25">
      <c r="A17" s="116"/>
      <c r="B17" s="287">
        <f t="shared" si="5"/>
        <v>1972</v>
      </c>
      <c r="C17" s="255">
        <f>INDEX(UG_cable_data!$D$36:$BE$36, MATCH(B17, UG_cable_data!$D$6:$BE$6,0))</f>
        <v>602</v>
      </c>
      <c r="D17" s="289">
        <f t="shared" si="0"/>
        <v>4</v>
      </c>
      <c r="E17" s="292">
        <f t="shared" si="1"/>
        <v>20061.924374437764</v>
      </c>
      <c r="F17" s="154">
        <f t="shared" si="2"/>
        <v>225.26494867620829</v>
      </c>
      <c r="G17" s="154">
        <f t="shared" si="3"/>
        <v>24.080000000000002</v>
      </c>
      <c r="H17" s="292">
        <f t="shared" si="6"/>
        <v>7507.0570839762377</v>
      </c>
      <c r="I17" s="292">
        <f t="shared" si="4"/>
        <v>802.47697497751051</v>
      </c>
    </row>
    <row r="18" spans="1:9" ht="15" customHeight="1" x14ac:dyDescent="0.25">
      <c r="A18" s="116"/>
      <c r="B18" s="287">
        <f t="shared" si="5"/>
        <v>1973</v>
      </c>
      <c r="C18" s="255">
        <f>INDEX(UG_cable_data!$D$36:$BE$36, MATCH(B18, UG_cable_data!$D$6:$BE$6,0))</f>
        <v>59.522262576000003</v>
      </c>
      <c r="D18" s="289">
        <f t="shared" si="0"/>
        <v>5</v>
      </c>
      <c r="E18" s="292">
        <f t="shared" si="1"/>
        <v>2479.5081611194751</v>
      </c>
      <c r="F18" s="154">
        <f t="shared" si="2"/>
        <v>22.272889409093743</v>
      </c>
      <c r="G18" s="154">
        <f t="shared" si="3"/>
        <v>2.3808905030400003</v>
      </c>
      <c r="H18" s="292">
        <f t="shared" si="6"/>
        <v>927.81773863258832</v>
      </c>
      <c r="I18" s="292">
        <f t="shared" si="4"/>
        <v>99.180326444778999</v>
      </c>
    </row>
    <row r="19" spans="1:9" ht="15" customHeight="1" x14ac:dyDescent="0.25">
      <c r="A19" s="116"/>
      <c r="B19" s="287">
        <f t="shared" si="5"/>
        <v>1974</v>
      </c>
      <c r="C19" s="255">
        <f>INDEX(UG_cable_data!$D$36:$BE$36, MATCH(B19, UG_cable_data!$D$6:$BE$6,0))</f>
        <v>663.19024278651</v>
      </c>
      <c r="D19" s="289">
        <f t="shared" si="0"/>
        <v>6</v>
      </c>
      <c r="E19" s="292">
        <f t="shared" si="1"/>
        <v>33151.675656099622</v>
      </c>
      <c r="F19" s="154">
        <f t="shared" si="2"/>
        <v>248.1619867173842</v>
      </c>
      <c r="G19" s="154">
        <f t="shared" si="3"/>
        <v>26.5276097114604</v>
      </c>
      <c r="H19" s="292">
        <f t="shared" si="6"/>
        <v>12405.166968773397</v>
      </c>
      <c r="I19" s="292">
        <f t="shared" si="4"/>
        <v>1326.0670262439849</v>
      </c>
    </row>
    <row r="20" spans="1:9" ht="15" customHeight="1" x14ac:dyDescent="0.25">
      <c r="A20" s="116"/>
      <c r="B20" s="287">
        <f t="shared" si="5"/>
        <v>1975</v>
      </c>
      <c r="C20" s="255">
        <f>INDEX(UG_cable_data!$D$36:$BE$36, MATCH(B20, UG_cable_data!$D$6:$BE$6,0))</f>
        <v>604.82157758599999</v>
      </c>
      <c r="D20" s="289">
        <f t="shared" si="0"/>
        <v>7</v>
      </c>
      <c r="E20" s="292">
        <f t="shared" si="1"/>
        <v>35272.920783600217</v>
      </c>
      <c r="F20" s="154">
        <f t="shared" si="2"/>
        <v>226.32076683251432</v>
      </c>
      <c r="G20" s="154">
        <f t="shared" si="3"/>
        <v>24.192863103440001</v>
      </c>
      <c r="H20" s="292">
        <f t="shared" si="6"/>
        <v>13198.924734182165</v>
      </c>
      <c r="I20" s="292">
        <f t="shared" si="4"/>
        <v>1410.9168313440086</v>
      </c>
    </row>
    <row r="21" spans="1:9" ht="15" customHeight="1" x14ac:dyDescent="0.25">
      <c r="A21" s="116"/>
      <c r="B21" s="287">
        <f t="shared" si="5"/>
        <v>1976</v>
      </c>
      <c r="C21" s="255">
        <f>INDEX(UG_cable_data!$D$36:$BE$36, MATCH(B21, UG_cable_data!$D$6:$BE$6,0))</f>
        <v>1268.2177399092002</v>
      </c>
      <c r="D21" s="289">
        <f t="shared" si="0"/>
        <v>8</v>
      </c>
      <c r="E21" s="292">
        <f t="shared" si="1"/>
        <v>84527.868399929415</v>
      </c>
      <c r="F21" s="154">
        <f t="shared" si="2"/>
        <v>474.55980745997152</v>
      </c>
      <c r="G21" s="154">
        <f t="shared" si="3"/>
        <v>50.728709596368006</v>
      </c>
      <c r="H21" s="292">
        <f t="shared" si="6"/>
        <v>31629.843748869414</v>
      </c>
      <c r="I21" s="292">
        <f t="shared" si="4"/>
        <v>3381.1147359971765</v>
      </c>
    </row>
    <row r="22" spans="1:9" ht="15" customHeight="1" x14ac:dyDescent="0.25">
      <c r="A22" s="116"/>
      <c r="B22" s="287">
        <f t="shared" si="5"/>
        <v>1977</v>
      </c>
      <c r="C22" s="255">
        <f>INDEX(UG_cable_data!$D$36:$BE$36, MATCH(B22, UG_cable_data!$D$6:$BE$6,0))</f>
        <v>607.97290384670009</v>
      </c>
      <c r="D22" s="289">
        <f t="shared" si="0"/>
        <v>9</v>
      </c>
      <c r="E22" s="292">
        <f t="shared" si="1"/>
        <v>45587.191764168761</v>
      </c>
      <c r="F22" s="154">
        <f t="shared" si="2"/>
        <v>227.49997505241231</v>
      </c>
      <c r="G22" s="154">
        <f t="shared" si="3"/>
        <v>24.318916153868003</v>
      </c>
      <c r="H22" s="292">
        <f t="shared" si="6"/>
        <v>17058.465802405219</v>
      </c>
      <c r="I22" s="292">
        <f t="shared" si="4"/>
        <v>1823.4876705667505</v>
      </c>
    </row>
    <row r="23" spans="1:9" ht="15" customHeight="1" x14ac:dyDescent="0.25">
      <c r="A23" s="116"/>
      <c r="B23" s="287">
        <f t="shared" si="5"/>
        <v>1978</v>
      </c>
      <c r="C23" s="255">
        <f>INDEX(UG_cable_data!$D$36:$BE$36, MATCH(B23, UG_cable_data!$D$6:$BE$6,0))</f>
        <v>1269.2736570518</v>
      </c>
      <c r="D23" s="289">
        <f t="shared" si="0"/>
        <v>10</v>
      </c>
      <c r="E23" s="292">
        <f t="shared" si="1"/>
        <v>105747.80779999695</v>
      </c>
      <c r="F23" s="154">
        <f t="shared" si="2"/>
        <v>474.95492560105805</v>
      </c>
      <c r="G23" s="154">
        <f t="shared" si="3"/>
        <v>50.770946282072003</v>
      </c>
      <c r="H23" s="292">
        <f t="shared" si="6"/>
        <v>39570.223416425004</v>
      </c>
      <c r="I23" s="292">
        <f t="shared" si="4"/>
        <v>4229.9123119998785</v>
      </c>
    </row>
    <row r="24" spans="1:9" ht="15" customHeight="1" x14ac:dyDescent="0.25">
      <c r="A24" s="116"/>
      <c r="B24" s="287">
        <f t="shared" si="5"/>
        <v>1979</v>
      </c>
      <c r="C24" s="255">
        <f>INDEX(UG_cable_data!$D$36:$BE$36, MATCH(B24, UG_cable_data!$D$6:$BE$6,0))</f>
        <v>3782.3721493284002</v>
      </c>
      <c r="D24" s="289">
        <f t="shared" si="0"/>
        <v>11</v>
      </c>
      <c r="E24" s="292">
        <f t="shared" si="1"/>
        <v>346635.50837785128</v>
      </c>
      <c r="F24" s="154">
        <f t="shared" si="2"/>
        <v>1415.3419735760494</v>
      </c>
      <c r="G24" s="154">
        <f t="shared" si="3"/>
        <v>151.29488597313602</v>
      </c>
      <c r="H24" s="292">
        <f t="shared" si="6"/>
        <v>129709.01994034558</v>
      </c>
      <c r="I24" s="292">
        <f t="shared" si="4"/>
        <v>13865.420335114051</v>
      </c>
    </row>
    <row r="25" spans="1:9" ht="15" customHeight="1" x14ac:dyDescent="0.25">
      <c r="A25" s="116"/>
      <c r="B25" s="287">
        <f t="shared" si="5"/>
        <v>1980</v>
      </c>
      <c r="C25" s="255">
        <f>INDEX(UG_cable_data!$D$36:$BE$36, MATCH(B25, UG_cable_data!$D$6:$BE$6,0))</f>
        <v>2047.3529729006</v>
      </c>
      <c r="D25" s="289">
        <f t="shared" si="0"/>
        <v>12</v>
      </c>
      <c r="E25" s="292">
        <f t="shared" si="1"/>
        <v>204686.91284109053</v>
      </c>
      <c r="F25" s="154">
        <f t="shared" si="2"/>
        <v>766.10774478826602</v>
      </c>
      <c r="G25" s="154">
        <f t="shared" si="3"/>
        <v>81.894118916023999</v>
      </c>
      <c r="H25" s="292">
        <f t="shared" si="6"/>
        <v>76592.669295414918</v>
      </c>
      <c r="I25" s="292">
        <f t="shared" si="4"/>
        <v>8187.4765136436208</v>
      </c>
    </row>
    <row r="26" spans="1:9" ht="15" customHeight="1" x14ac:dyDescent="0.25">
      <c r="A26" s="116"/>
      <c r="B26" s="287">
        <f t="shared" si="5"/>
        <v>1981</v>
      </c>
      <c r="C26" s="255">
        <f>INDEX(UG_cable_data!$D$36:$BE$36, MATCH(B26, UG_cable_data!$D$6:$BE$6,0))</f>
        <v>3795.2160628451002</v>
      </c>
      <c r="D26" s="289">
        <f t="shared" si="0"/>
        <v>13</v>
      </c>
      <c r="E26" s="292">
        <f t="shared" si="1"/>
        <v>411051.24139819265</v>
      </c>
      <c r="F26" s="154">
        <f t="shared" si="2"/>
        <v>1420.1480923786094</v>
      </c>
      <c r="G26" s="154">
        <f t="shared" si="3"/>
        <v>151.80864251380402</v>
      </c>
      <c r="H26" s="292">
        <f t="shared" si="6"/>
        <v>153813.01793497603</v>
      </c>
      <c r="I26" s="292">
        <f t="shared" si="4"/>
        <v>16442.049655927705</v>
      </c>
    </row>
    <row r="27" spans="1:9" ht="15" customHeight="1" x14ac:dyDescent="0.25">
      <c r="A27" s="116"/>
      <c r="B27" s="287">
        <f t="shared" si="5"/>
        <v>1982</v>
      </c>
      <c r="C27" s="255">
        <f>INDEX(UG_cable_data!$D$36:$BE$36, MATCH(B27, UG_cable_data!$D$6:$BE$6,0))</f>
        <v>2006.5135508187</v>
      </c>
      <c r="D27" s="289">
        <f t="shared" si="0"/>
        <v>14</v>
      </c>
      <c r="E27" s="292">
        <f t="shared" si="1"/>
        <v>234037.92507447294</v>
      </c>
      <c r="F27" s="154">
        <f t="shared" si="2"/>
        <v>750.8258671815463</v>
      </c>
      <c r="G27" s="154">
        <f t="shared" si="3"/>
        <v>80.260542032748006</v>
      </c>
      <c r="H27" s="292">
        <f t="shared" si="6"/>
        <v>87575.649800975792</v>
      </c>
      <c r="I27" s="292">
        <f t="shared" si="4"/>
        <v>9361.5170029789169</v>
      </c>
    </row>
    <row r="28" spans="1:9" ht="15" customHeight="1" x14ac:dyDescent="0.25">
      <c r="A28" s="116"/>
      <c r="B28" s="287">
        <f t="shared" si="5"/>
        <v>1983</v>
      </c>
      <c r="C28" s="255">
        <f>INDEX(UG_cable_data!$D$36:$BE$36, MATCH(B28, UG_cable_data!$D$6:$BE$6,0))</f>
        <v>2065.4364898130912</v>
      </c>
      <c r="D28" s="289">
        <f t="shared" si="0"/>
        <v>15</v>
      </c>
      <c r="E28" s="292">
        <f t="shared" si="1"/>
        <v>258118.54646283903</v>
      </c>
      <c r="F28" s="154">
        <f t="shared" si="2"/>
        <v>772.87449314238165</v>
      </c>
      <c r="G28" s="154">
        <f t="shared" si="3"/>
        <v>82.617459592523645</v>
      </c>
      <c r="H28" s="292">
        <f t="shared" si="6"/>
        <v>96586.480267988241</v>
      </c>
      <c r="I28" s="292">
        <f t="shared" si="4"/>
        <v>10324.741858513562</v>
      </c>
    </row>
    <row r="29" spans="1:9" ht="15" customHeight="1" x14ac:dyDescent="0.25">
      <c r="A29" s="116"/>
      <c r="B29" s="287">
        <f t="shared" si="5"/>
        <v>1984</v>
      </c>
      <c r="C29" s="255">
        <f>INDEX(UG_cable_data!$D$36:$BE$36, MATCH(B29, UG_cable_data!$D$6:$BE$6,0))</f>
        <v>744.63807470184497</v>
      </c>
      <c r="D29" s="289">
        <f t="shared" si="0"/>
        <v>16</v>
      </c>
      <c r="E29" s="292">
        <f t="shared" si="1"/>
        <v>99261.612896979073</v>
      </c>
      <c r="F29" s="154">
        <f t="shared" si="2"/>
        <v>278.63929847186324</v>
      </c>
      <c r="G29" s="154">
        <f t="shared" si="3"/>
        <v>29.785522988073801</v>
      </c>
      <c r="H29" s="292">
        <f t="shared" si="6"/>
        <v>37143.126469693765</v>
      </c>
      <c r="I29" s="292">
        <f t="shared" si="4"/>
        <v>3970.4645158791632</v>
      </c>
    </row>
    <row r="30" spans="1:9" ht="15" customHeight="1" x14ac:dyDescent="0.25">
      <c r="A30" s="116"/>
      <c r="B30" s="287">
        <f t="shared" si="5"/>
        <v>1985</v>
      </c>
      <c r="C30" s="255">
        <f>INDEX(UG_cable_data!$D$36:$BE$36, MATCH(B30, UG_cable_data!$D$6:$BE$6,0))</f>
        <v>4965.9189932122008</v>
      </c>
      <c r="D30" s="289">
        <f t="shared" si="0"/>
        <v>17</v>
      </c>
      <c r="E30" s="292">
        <f t="shared" si="1"/>
        <v>703338.93353568262</v>
      </c>
      <c r="F30" s="154">
        <f t="shared" si="2"/>
        <v>1858.2184171696915</v>
      </c>
      <c r="G30" s="154">
        <f t="shared" si="3"/>
        <v>198.63675972848804</v>
      </c>
      <c r="H30" s="292">
        <f t="shared" si="6"/>
        <v>263185.39661942626</v>
      </c>
      <c r="I30" s="292">
        <f t="shared" si="4"/>
        <v>28133.557341427306</v>
      </c>
    </row>
    <row r="31" spans="1:9" ht="15" customHeight="1" x14ac:dyDescent="0.25">
      <c r="A31" s="116"/>
      <c r="B31" s="287">
        <f t="shared" si="5"/>
        <v>1986</v>
      </c>
      <c r="C31" s="255">
        <f>INDEX(UG_cable_data!$D$36:$BE$36, MATCH(B31, UG_cable_data!$D$6:$BE$6,0))</f>
        <v>3319.8302416177003</v>
      </c>
      <c r="D31" s="289">
        <f t="shared" si="0"/>
        <v>18</v>
      </c>
      <c r="E31" s="292">
        <f t="shared" si="1"/>
        <v>497856.85148650478</v>
      </c>
      <c r="F31" s="154">
        <f t="shared" si="2"/>
        <v>1242.261443507866</v>
      </c>
      <c r="G31" s="154">
        <f t="shared" si="3"/>
        <v>132.793209664708</v>
      </c>
      <c r="H31" s="292">
        <f t="shared" si="6"/>
        <v>186295.17956512648</v>
      </c>
      <c r="I31" s="292">
        <f t="shared" si="4"/>
        <v>19914.274059460193</v>
      </c>
    </row>
    <row r="32" spans="1:9" ht="15" customHeight="1" x14ac:dyDescent="0.25">
      <c r="A32" s="116"/>
      <c r="B32" s="287">
        <f t="shared" si="5"/>
        <v>1987</v>
      </c>
      <c r="C32" s="255">
        <f>INDEX(UG_cable_data!$D$36:$BE$36, MATCH(B32, UG_cable_data!$D$6:$BE$6,0))</f>
        <v>6179.569702403699</v>
      </c>
      <c r="D32" s="289">
        <f t="shared" si="0"/>
        <v>19</v>
      </c>
      <c r="E32" s="292">
        <f t="shared" si="1"/>
        <v>978200.63982043508</v>
      </c>
      <c r="F32" s="154">
        <f t="shared" si="2"/>
        <v>2312.3595545731246</v>
      </c>
      <c r="G32" s="154">
        <f t="shared" si="3"/>
        <v>247.18278809614796</v>
      </c>
      <c r="H32" s="292">
        <f t="shared" si="6"/>
        <v>366037.07130263193</v>
      </c>
      <c r="I32" s="292">
        <f t="shared" si="4"/>
        <v>39128.025592817401</v>
      </c>
    </row>
    <row r="33" spans="1:9" ht="15" customHeight="1" x14ac:dyDescent="0.25">
      <c r="A33" s="116"/>
      <c r="B33" s="287">
        <f t="shared" si="5"/>
        <v>1988</v>
      </c>
      <c r="C33" s="255">
        <f>INDEX(UG_cable_data!$D$36:$BE$36, MATCH(B33, UG_cable_data!$D$6:$BE$6,0))</f>
        <v>8277.3432158169489</v>
      </c>
      <c r="D33" s="289">
        <f t="shared" si="0"/>
        <v>20</v>
      </c>
      <c r="E33" s="292">
        <f t="shared" si="1"/>
        <v>1379231.1762208068</v>
      </c>
      <c r="F33" s="154">
        <f t="shared" si="2"/>
        <v>3097.334376555425</v>
      </c>
      <c r="G33" s="154">
        <f t="shared" si="3"/>
        <v>331.09372863267794</v>
      </c>
      <c r="H33" s="292">
        <f t="shared" si="6"/>
        <v>516100.39887708711</v>
      </c>
      <c r="I33" s="292">
        <f t="shared" si="4"/>
        <v>55169.247048832272</v>
      </c>
    </row>
    <row r="34" spans="1:9" ht="15" customHeight="1" x14ac:dyDescent="0.25">
      <c r="A34" s="116"/>
      <c r="B34" s="287">
        <f t="shared" si="5"/>
        <v>1989</v>
      </c>
      <c r="C34" s="255">
        <f>INDEX(UG_cable_data!$D$36:$BE$36, MATCH(B34, UG_cable_data!$D$6:$BE$6,0))</f>
        <v>2328.6197301070601</v>
      </c>
      <c r="D34" s="289">
        <f t="shared" si="0"/>
        <v>21</v>
      </c>
      <c r="E34" s="292">
        <f t="shared" si="1"/>
        <v>407412.14757760044</v>
      </c>
      <c r="F34" s="154">
        <f t="shared" si="2"/>
        <v>871.35615280560285</v>
      </c>
      <c r="G34" s="154">
        <f t="shared" si="3"/>
        <v>93.144789204282404</v>
      </c>
      <c r="H34" s="292">
        <v>0</v>
      </c>
      <c r="I34" s="292">
        <f t="shared" si="4"/>
        <v>16296.485903104018</v>
      </c>
    </row>
    <row r="35" spans="1:9" ht="15" customHeight="1" x14ac:dyDescent="0.25">
      <c r="A35" s="116"/>
      <c r="B35" s="287">
        <f t="shared" si="5"/>
        <v>1990</v>
      </c>
      <c r="C35" s="255">
        <f>INDEX(UG_cable_data!$D$36:$BE$36, MATCH(B35, UG_cable_data!$D$6:$BE$6,0))</f>
        <v>6297.712522899199</v>
      </c>
      <c r="D35" s="289">
        <f t="shared" si="0"/>
        <v>22</v>
      </c>
      <c r="E35" s="292">
        <f t="shared" si="1"/>
        <v>1154307.7707889429</v>
      </c>
      <c r="F35" s="154">
        <f t="shared" si="2"/>
        <v>2356.5679206784093</v>
      </c>
      <c r="G35" s="154">
        <f t="shared" si="3"/>
        <v>251.90850091596798</v>
      </c>
      <c r="H35" s="292">
        <v>0</v>
      </c>
      <c r="I35" s="292">
        <f t="shared" si="4"/>
        <v>46172.310831557719</v>
      </c>
    </row>
    <row r="36" spans="1:9" ht="15" customHeight="1" x14ac:dyDescent="0.25">
      <c r="A36" s="116"/>
      <c r="B36" s="287">
        <f t="shared" si="5"/>
        <v>1991</v>
      </c>
      <c r="C36" s="255">
        <f>INDEX(UG_cable_data!$D$36:$BE$36, MATCH(B36, UG_cable_data!$D$6:$BE$6,0))</f>
        <v>8219.5926014678007</v>
      </c>
      <c r="D36" s="289">
        <f t="shared" si="0"/>
        <v>23</v>
      </c>
      <c r="E36" s="292">
        <f t="shared" si="1"/>
        <v>1575049.6007743811</v>
      </c>
      <c r="F36" s="154">
        <f t="shared" si="2"/>
        <v>3075.7244277557897</v>
      </c>
      <c r="G36" s="154">
        <f t="shared" si="3"/>
        <v>328.78370405871203</v>
      </c>
      <c r="H36" s="292">
        <v>0</v>
      </c>
      <c r="I36" s="292">
        <f t="shared" si="4"/>
        <v>63001.984030975247</v>
      </c>
    </row>
    <row r="37" spans="1:9" ht="15" customHeight="1" x14ac:dyDescent="0.25">
      <c r="A37" s="116"/>
      <c r="B37" s="287">
        <f t="shared" si="5"/>
        <v>1992</v>
      </c>
      <c r="C37" s="255">
        <f>INDEX(UG_cable_data!$D$36:$BE$36, MATCH(B37, UG_cable_data!$D$6:$BE$6,0))</f>
        <v>5067.9150626687997</v>
      </c>
      <c r="D37" s="289">
        <f t="shared" si="0"/>
        <v>24</v>
      </c>
      <c r="E37" s="292">
        <f t="shared" si="1"/>
        <v>1013343.4756478618</v>
      </c>
      <c r="F37" s="154">
        <f t="shared" si="2"/>
        <v>1896.3847616070932</v>
      </c>
      <c r="G37" s="154">
        <f t="shared" si="3"/>
        <v>202.716602506752</v>
      </c>
      <c r="H37" s="292">
        <v>0</v>
      </c>
      <c r="I37" s="292">
        <f t="shared" si="4"/>
        <v>40533.739025914474</v>
      </c>
    </row>
    <row r="38" spans="1:9" ht="15" customHeight="1" x14ac:dyDescent="0.25">
      <c r="A38" s="116"/>
      <c r="B38" s="287">
        <f t="shared" si="5"/>
        <v>1993</v>
      </c>
      <c r="C38" s="255">
        <f>INDEX(UG_cable_data!$D$36:$BE$36, MATCH(B38, UG_cable_data!$D$6:$BE$6,0))</f>
        <v>8737.4675634034993</v>
      </c>
      <c r="D38" s="289">
        <f t="shared" si="0"/>
        <v>25</v>
      </c>
      <c r="E38" s="292">
        <f t="shared" si="1"/>
        <v>1819875.5552440197</v>
      </c>
      <c r="F38" s="154">
        <f t="shared" si="2"/>
        <v>3269.5102694852558</v>
      </c>
      <c r="G38" s="154">
        <f t="shared" si="3"/>
        <v>349.49870253614</v>
      </c>
      <c r="H38" s="292">
        <v>0</v>
      </c>
      <c r="I38" s="292">
        <f t="shared" si="4"/>
        <v>72795.022209760791</v>
      </c>
    </row>
    <row r="39" spans="1:9" ht="15" customHeight="1" x14ac:dyDescent="0.25">
      <c r="A39" s="116"/>
      <c r="B39" s="287">
        <f t="shared" si="5"/>
        <v>1994</v>
      </c>
      <c r="C39" s="255">
        <f>INDEX(UG_cable_data!$D$36:$BE$36, MATCH(B39, UG_cable_data!$D$6:$BE$6,0))</f>
        <v>10986.567065137617</v>
      </c>
      <c r="D39" s="289">
        <f t="shared" si="0"/>
        <v>26</v>
      </c>
      <c r="E39" s="292">
        <f t="shared" si="1"/>
        <v>2379860.3062634836</v>
      </c>
      <c r="F39" s="154">
        <f t="shared" si="2"/>
        <v>4111.1104087308067</v>
      </c>
      <c r="G39" s="154">
        <f t="shared" si="3"/>
        <v>439.46268260550465</v>
      </c>
      <c r="H39" s="292">
        <v>0</v>
      </c>
      <c r="I39" s="292">
        <f t="shared" si="4"/>
        <v>95194.412250539346</v>
      </c>
    </row>
    <row r="40" spans="1:9" ht="15" customHeight="1" x14ac:dyDescent="0.25">
      <c r="A40" s="116"/>
      <c r="B40" s="287">
        <f t="shared" si="5"/>
        <v>1995</v>
      </c>
      <c r="C40" s="255">
        <f>INDEX(UG_cable_data!$D$36:$BE$36, MATCH(B40, UG_cable_data!$D$6:$BE$6,0))</f>
        <v>6804.9037350580493</v>
      </c>
      <c r="D40" s="289">
        <f t="shared" si="0"/>
        <v>27</v>
      </c>
      <c r="E40" s="292">
        <f t="shared" si="1"/>
        <v>1530741.4995505477</v>
      </c>
      <c r="F40" s="154">
        <f t="shared" si="2"/>
        <v>2546.3559644923416</v>
      </c>
      <c r="G40" s="154">
        <f t="shared" si="3"/>
        <v>272.19614940232196</v>
      </c>
      <c r="H40" s="292">
        <v>0</v>
      </c>
      <c r="I40" s="292">
        <f t="shared" si="4"/>
        <v>61229.659982021905</v>
      </c>
    </row>
    <row r="41" spans="1:9" ht="15" customHeight="1" x14ac:dyDescent="0.25">
      <c r="A41" s="116"/>
      <c r="B41" s="287">
        <f t="shared" si="5"/>
        <v>1996</v>
      </c>
      <c r="C41" s="255">
        <f>INDEX(UG_cable_data!$D$36:$BE$36, MATCH(B41, UG_cable_data!$D$6:$BE$6,0))</f>
        <v>9367.0305244729007</v>
      </c>
      <c r="D41" s="289">
        <f t="shared" si="0"/>
        <v>28</v>
      </c>
      <c r="E41" s="292">
        <f t="shared" si="1"/>
        <v>2185123.9301747144</v>
      </c>
      <c r="F41" s="154">
        <f t="shared" si="2"/>
        <v>3505.0891201725321</v>
      </c>
      <c r="G41" s="154">
        <f t="shared" si="3"/>
        <v>374.68122097891603</v>
      </c>
      <c r="H41" s="292">
        <v>0</v>
      </c>
      <c r="I41" s="292">
        <f t="shared" si="4"/>
        <v>87404.957206988576</v>
      </c>
    </row>
    <row r="42" spans="1:9" ht="15" customHeight="1" x14ac:dyDescent="0.25">
      <c r="A42" s="116"/>
      <c r="B42" s="287">
        <f t="shared" si="5"/>
        <v>1997</v>
      </c>
      <c r="C42" s="255">
        <f>INDEX(UG_cable_data!$D$36:$BE$36, MATCH(B42, UG_cable_data!$D$6:$BE$6,0))</f>
        <v>14211.900059010302</v>
      </c>
      <c r="D42" s="289">
        <f t="shared" si="0"/>
        <v>29</v>
      </c>
      <c r="E42" s="292">
        <f t="shared" si="1"/>
        <v>3433730.8396291672</v>
      </c>
      <c r="F42" s="154">
        <f t="shared" si="2"/>
        <v>5318.0115238942817</v>
      </c>
      <c r="G42" s="154">
        <f t="shared" si="3"/>
        <v>568.47600236041205</v>
      </c>
      <c r="H42" s="292">
        <v>0</v>
      </c>
      <c r="I42" s="292">
        <f t="shared" si="4"/>
        <v>137349.23358516669</v>
      </c>
    </row>
    <row r="43" spans="1:9" ht="15" customHeight="1" x14ac:dyDescent="0.25">
      <c r="A43" s="116"/>
      <c r="B43" s="287">
        <f t="shared" si="5"/>
        <v>1998</v>
      </c>
      <c r="C43" s="255">
        <f>INDEX(UG_cable_data!$D$36:$BE$36, MATCH(B43, UG_cable_data!$D$6:$BE$6,0))</f>
        <v>21854.640780272701</v>
      </c>
      <c r="D43" s="289">
        <f t="shared" si="0"/>
        <v>30</v>
      </c>
      <c r="E43" s="292">
        <f t="shared" si="1"/>
        <v>5462368.9854360605</v>
      </c>
      <c r="F43" s="154">
        <f t="shared" si="2"/>
        <v>8177.8812852244164</v>
      </c>
      <c r="G43" s="154">
        <f t="shared" si="3"/>
        <v>874.18563121090801</v>
      </c>
      <c r="H43" s="292">
        <v>0</v>
      </c>
      <c r="I43" s="292">
        <f t="shared" si="4"/>
        <v>218494.75941744243</v>
      </c>
    </row>
    <row r="44" spans="1:9" ht="15" customHeight="1" x14ac:dyDescent="0.25">
      <c r="A44" s="116"/>
      <c r="B44" s="287">
        <f t="shared" si="5"/>
        <v>1999</v>
      </c>
      <c r="C44" s="255">
        <f>INDEX(UG_cable_data!$D$36:$BE$36, MATCH(B44, UG_cable_data!$D$6:$BE$6,0))</f>
        <v>31531.606075233969</v>
      </c>
      <c r="D44" s="289">
        <f t="shared" si="0"/>
        <v>31</v>
      </c>
      <c r="E44" s="292">
        <f t="shared" si="1"/>
        <v>8143739.863398294</v>
      </c>
      <c r="F44" s="154">
        <f t="shared" si="2"/>
        <v>11798.946219627904</v>
      </c>
      <c r="G44" s="154">
        <f t="shared" si="3"/>
        <v>1261.2642430093588</v>
      </c>
      <c r="H44" s="292">
        <v>0</v>
      </c>
      <c r="I44" s="292">
        <f t="shared" si="4"/>
        <v>325749.59453593177</v>
      </c>
    </row>
    <row r="45" spans="1:9" ht="15" customHeight="1" x14ac:dyDescent="0.25">
      <c r="A45" s="116"/>
      <c r="B45" s="287">
        <f t="shared" si="5"/>
        <v>2000</v>
      </c>
      <c r="C45" s="255">
        <f>INDEX(UG_cable_data!$D$36:$BE$36, MATCH(B45, UG_cable_data!$D$6:$BE$6,0))</f>
        <v>20127.15678158879</v>
      </c>
      <c r="D45" s="289">
        <f t="shared" si="0"/>
        <v>32</v>
      </c>
      <c r="E45" s="292">
        <f t="shared" si="1"/>
        <v>5365973.3850456672</v>
      </c>
      <c r="F45" s="154">
        <f t="shared" si="2"/>
        <v>7531.4666767484987</v>
      </c>
      <c r="G45" s="154">
        <f t="shared" si="3"/>
        <v>805.08627126355168</v>
      </c>
      <c r="H45" s="292">
        <v>0</v>
      </c>
      <c r="I45" s="292">
        <f t="shared" si="4"/>
        <v>214638.93540182669</v>
      </c>
    </row>
    <row r="46" spans="1:9" ht="15" customHeight="1" x14ac:dyDescent="0.25">
      <c r="A46" s="116"/>
      <c r="B46" s="287">
        <f t="shared" si="5"/>
        <v>2001</v>
      </c>
      <c r="C46" s="255">
        <f>INDEX(UG_cable_data!$D$36:$BE$36, MATCH(B46, UG_cable_data!$D$6:$BE$6,0))</f>
        <v>32731.620616677701</v>
      </c>
      <c r="D46" s="289">
        <f t="shared" si="0"/>
        <v>33</v>
      </c>
      <c r="E46" s="292">
        <f t="shared" si="1"/>
        <v>8999068.4453201853</v>
      </c>
      <c r="F46" s="154">
        <f t="shared" si="2"/>
        <v>12247.984781237581</v>
      </c>
      <c r="G46" s="154">
        <f t="shared" si="3"/>
        <v>1309.2648246671081</v>
      </c>
      <c r="H46" s="292">
        <v>0</v>
      </c>
      <c r="I46" s="292">
        <f t="shared" si="4"/>
        <v>359962.73781280743</v>
      </c>
    </row>
    <row r="47" spans="1:9" ht="15" customHeight="1" x14ac:dyDescent="0.25">
      <c r="A47" s="116"/>
      <c r="B47" s="287">
        <f t="shared" si="5"/>
        <v>2002</v>
      </c>
      <c r="C47" s="255">
        <f>INDEX(UG_cable_data!$D$36:$BE$36, MATCH(B47, UG_cable_data!$D$6:$BE$6,0))</f>
        <v>20738.723319925222</v>
      </c>
      <c r="D47" s="289">
        <f t="shared" ref="D47:D64" si="7">$D$6-($D$5-$B47)</f>
        <v>34</v>
      </c>
      <c r="E47" s="292">
        <f t="shared" ref="E47:E64" si="8">C47*$D$8/$D$6*D47</f>
        <v>5874582.9574205875</v>
      </c>
      <c r="F47" s="154">
        <f t="shared" ref="F47:F64" si="9">C47*$D$10</f>
        <v>7760.3113692243178</v>
      </c>
      <c r="G47" s="154">
        <f t="shared" ref="G47:G64" si="10">C47*$D$9</f>
        <v>829.54893279700889</v>
      </c>
      <c r="H47" s="292">
        <v>0</v>
      </c>
      <c r="I47" s="292">
        <f t="shared" ref="I47:I64" si="11">0.04*E47</f>
        <v>234983.31829682351</v>
      </c>
    </row>
    <row r="48" spans="1:9" ht="15" customHeight="1" x14ac:dyDescent="0.25">
      <c r="A48" s="116"/>
      <c r="B48" s="287">
        <f t="shared" ref="B48:B64" si="12">B47+1</f>
        <v>2003</v>
      </c>
      <c r="C48" s="255">
        <f>INDEX(UG_cable_data!$D$36:$BE$36, MATCH(B48, UG_cable_data!$D$6:$BE$6,0))</f>
        <v>30042.026548713773</v>
      </c>
      <c r="D48" s="289">
        <f t="shared" si="7"/>
        <v>35</v>
      </c>
      <c r="E48" s="292">
        <f t="shared" si="8"/>
        <v>8760186.9865573719</v>
      </c>
      <c r="F48" s="154">
        <f t="shared" si="9"/>
        <v>11241.554100706469</v>
      </c>
      <c r="G48" s="154">
        <f t="shared" si="10"/>
        <v>1201.6810619485509</v>
      </c>
      <c r="H48" s="292">
        <v>0</v>
      </c>
      <c r="I48" s="292">
        <f t="shared" si="11"/>
        <v>350407.4794622949</v>
      </c>
    </row>
    <row r="49" spans="1:9" ht="15" customHeight="1" x14ac:dyDescent="0.25">
      <c r="A49" s="116"/>
      <c r="B49" s="287">
        <f t="shared" si="12"/>
        <v>2004</v>
      </c>
      <c r="C49" s="255">
        <f>INDEX(UG_cable_data!$D$36:$BE$36, MATCH(B49, UG_cable_data!$D$6:$BE$6,0))</f>
        <v>29693.895553358168</v>
      </c>
      <c r="D49" s="289">
        <f t="shared" si="7"/>
        <v>36</v>
      </c>
      <c r="E49" s="292">
        <f t="shared" si="8"/>
        <v>8906063.426520478</v>
      </c>
      <c r="F49" s="154">
        <f t="shared" si="9"/>
        <v>11111.285478112819</v>
      </c>
      <c r="G49" s="154">
        <f t="shared" si="10"/>
        <v>1187.7558221343268</v>
      </c>
      <c r="H49" s="292">
        <v>0</v>
      </c>
      <c r="I49" s="292">
        <f t="shared" si="11"/>
        <v>356242.5370608191</v>
      </c>
    </row>
    <row r="50" spans="1:9" ht="15" customHeight="1" x14ac:dyDescent="0.25">
      <c r="A50" s="116"/>
      <c r="B50" s="287">
        <f t="shared" si="12"/>
        <v>2005</v>
      </c>
      <c r="C50" s="255">
        <f>INDEX(UG_cable_data!$D$36:$BE$36, MATCH(B50, UG_cable_data!$D$6:$BE$6,0))</f>
        <v>29046.997574414101</v>
      </c>
      <c r="D50" s="289">
        <f t="shared" si="7"/>
        <v>37</v>
      </c>
      <c r="E50" s="292">
        <f t="shared" si="8"/>
        <v>8954041.0048869569</v>
      </c>
      <c r="F50" s="154">
        <f t="shared" si="9"/>
        <v>10869.219963120166</v>
      </c>
      <c r="G50" s="154">
        <f t="shared" si="10"/>
        <v>1161.8799029765642</v>
      </c>
      <c r="H50" s="292">
        <v>0</v>
      </c>
      <c r="I50" s="292">
        <f t="shared" si="11"/>
        <v>358161.64019547828</v>
      </c>
    </row>
    <row r="51" spans="1:9" x14ac:dyDescent="0.25">
      <c r="A51" s="116"/>
      <c r="B51" s="287">
        <f t="shared" si="12"/>
        <v>2006</v>
      </c>
      <c r="C51" s="255">
        <f>INDEX(UG_cable_data!$D$36:$BE$36, MATCH(B51, UG_cable_data!$D$6:$BE$6,0))</f>
        <v>32785.74374084908</v>
      </c>
      <c r="D51" s="289">
        <f t="shared" si="7"/>
        <v>38</v>
      </c>
      <c r="E51" s="292">
        <f t="shared" si="8"/>
        <v>10379698.603225581</v>
      </c>
      <c r="F51" s="154">
        <f t="shared" si="9"/>
        <v>12268.237344009443</v>
      </c>
      <c r="G51" s="154">
        <f t="shared" si="10"/>
        <v>1311.4297496339632</v>
      </c>
      <c r="H51" s="292">
        <v>0</v>
      </c>
      <c r="I51" s="292">
        <f t="shared" si="11"/>
        <v>415187.94412902324</v>
      </c>
    </row>
    <row r="52" spans="1:9" x14ac:dyDescent="0.25">
      <c r="A52" s="116"/>
      <c r="B52" s="287">
        <f t="shared" si="12"/>
        <v>2007</v>
      </c>
      <c r="C52" s="255">
        <f>INDEX(UG_cable_data!$D$36:$BE$36, MATCH(B52, UG_cable_data!$D$6:$BE$6,0))</f>
        <v>29654.25381949759</v>
      </c>
      <c r="D52" s="289">
        <f t="shared" si="7"/>
        <v>39</v>
      </c>
      <c r="E52" s="292">
        <f t="shared" si="8"/>
        <v>9635354.8599578775</v>
      </c>
      <c r="F52" s="154">
        <f t="shared" si="9"/>
        <v>11096.451768572057</v>
      </c>
      <c r="G52" s="154">
        <f t="shared" si="10"/>
        <v>1186.1701527799037</v>
      </c>
      <c r="H52" s="292">
        <v>0</v>
      </c>
      <c r="I52" s="292">
        <f t="shared" si="11"/>
        <v>385414.1943983151</v>
      </c>
    </row>
    <row r="53" spans="1:9" x14ac:dyDescent="0.25">
      <c r="A53" s="116"/>
      <c r="B53" s="287">
        <f t="shared" si="12"/>
        <v>2008</v>
      </c>
      <c r="C53" s="255">
        <f>INDEX(UG_cable_data!$D$36:$BE$36, MATCH(B53, UG_cable_data!$D$6:$BE$6,0))</f>
        <v>34821.772701282338</v>
      </c>
      <c r="D53" s="289">
        <f t="shared" si="7"/>
        <v>40</v>
      </c>
      <c r="E53" s="292">
        <f t="shared" si="8"/>
        <v>11604514.460415076</v>
      </c>
      <c r="F53" s="154">
        <f t="shared" si="9"/>
        <v>13030.107708254081</v>
      </c>
      <c r="G53" s="154">
        <f t="shared" si="10"/>
        <v>1392.8709080512936</v>
      </c>
      <c r="H53" s="292">
        <v>0</v>
      </c>
      <c r="I53" s="292">
        <f t="shared" si="11"/>
        <v>464180.57841660309</v>
      </c>
    </row>
    <row r="54" spans="1:9" x14ac:dyDescent="0.25">
      <c r="A54" s="116"/>
      <c r="B54" s="287">
        <f t="shared" si="12"/>
        <v>2009</v>
      </c>
      <c r="C54" s="255">
        <f>INDEX(UG_cable_data!$D$36:$BE$36, MATCH(B54, UG_cable_data!$D$6:$BE$6,0))</f>
        <v>26744.035207718545</v>
      </c>
      <c r="D54" s="289">
        <f t="shared" si="7"/>
        <v>41</v>
      </c>
      <c r="E54" s="292">
        <f t="shared" si="8"/>
        <v>9135385.9152768143</v>
      </c>
      <c r="F54" s="154">
        <f t="shared" si="9"/>
        <v>10007.46464860702</v>
      </c>
      <c r="G54" s="154">
        <f t="shared" si="10"/>
        <v>1069.7614083087419</v>
      </c>
      <c r="H54" s="292">
        <v>0</v>
      </c>
      <c r="I54" s="292">
        <f t="shared" si="11"/>
        <v>365415.43661107257</v>
      </c>
    </row>
    <row r="55" spans="1:9" x14ac:dyDescent="0.25">
      <c r="A55" s="116"/>
      <c r="B55" s="287">
        <f t="shared" si="12"/>
        <v>2010</v>
      </c>
      <c r="C55" s="255">
        <f>INDEX(UG_cable_data!$D$36:$BE$36, MATCH(B55, UG_cable_data!$D$6:$BE$6,0))</f>
        <v>27220.339053182339</v>
      </c>
      <c r="D55" s="289">
        <f t="shared" si="7"/>
        <v>42</v>
      </c>
      <c r="E55" s="292">
        <f t="shared" si="8"/>
        <v>9524867.1546191666</v>
      </c>
      <c r="F55" s="154">
        <f t="shared" si="9"/>
        <v>10185.694816883901</v>
      </c>
      <c r="G55" s="154">
        <f t="shared" si="10"/>
        <v>1088.8135621272936</v>
      </c>
      <c r="H55" s="292">
        <v>0</v>
      </c>
      <c r="I55" s="292">
        <f t="shared" si="11"/>
        <v>380994.68618476664</v>
      </c>
    </row>
    <row r="56" spans="1:9" x14ac:dyDescent="0.25">
      <c r="A56" s="116"/>
      <c r="B56" s="287">
        <f t="shared" si="12"/>
        <v>2011</v>
      </c>
      <c r="C56" s="255">
        <f>INDEX(UG_cable_data!$D$36:$BE$36, MATCH(B56, UG_cable_data!$D$6:$BE$6,0))</f>
        <v>19225.212777078741</v>
      </c>
      <c r="D56" s="289">
        <f t="shared" si="7"/>
        <v>43</v>
      </c>
      <c r="E56" s="292">
        <f t="shared" si="8"/>
        <v>6887406.5145755047</v>
      </c>
      <c r="F56" s="154">
        <f t="shared" si="9"/>
        <v>7193.9644011924029</v>
      </c>
      <c r="G56" s="154">
        <f t="shared" si="10"/>
        <v>769.00851108314964</v>
      </c>
      <c r="H56" s="292">
        <v>0</v>
      </c>
      <c r="I56" s="292">
        <f t="shared" si="11"/>
        <v>275496.26058302016</v>
      </c>
    </row>
    <row r="57" spans="1:9" x14ac:dyDescent="0.25">
      <c r="A57" s="116"/>
      <c r="B57" s="287">
        <f t="shared" si="12"/>
        <v>2012</v>
      </c>
      <c r="C57" s="255">
        <f>INDEX(UG_cable_data!$D$36:$BE$36, MATCH(B57, UG_cable_data!$D$6:$BE$6,0))</f>
        <v>23550.469421006172</v>
      </c>
      <c r="D57" s="289">
        <f t="shared" si="7"/>
        <v>44</v>
      </c>
      <c r="E57" s="292">
        <f t="shared" si="8"/>
        <v>8633131.3979635946</v>
      </c>
      <c r="F57" s="154">
        <f t="shared" si="9"/>
        <v>8812.450640238485</v>
      </c>
      <c r="G57" s="154">
        <f t="shared" si="10"/>
        <v>942.01877684024691</v>
      </c>
      <c r="H57" s="292">
        <v>0</v>
      </c>
      <c r="I57" s="292">
        <f t="shared" si="11"/>
        <v>345325.25591854379</v>
      </c>
    </row>
    <row r="58" spans="1:9" x14ac:dyDescent="0.25">
      <c r="A58" s="116"/>
      <c r="B58" s="287">
        <f t="shared" si="12"/>
        <v>2013</v>
      </c>
      <c r="C58" s="255">
        <f>INDEX(UG_cable_data!$D$36:$BE$36, MATCH(B58, UG_cable_data!$D$6:$BE$6,0))</f>
        <v>32836.777038630316</v>
      </c>
      <c r="D58" s="289">
        <f t="shared" si="7"/>
        <v>45</v>
      </c>
      <c r="E58" s="292">
        <f t="shared" si="8"/>
        <v>12310881.309890952</v>
      </c>
      <c r="F58" s="154">
        <f t="shared" si="9"/>
        <v>12287.333711460387</v>
      </c>
      <c r="G58" s="154">
        <f t="shared" si="10"/>
        <v>1313.4710815452127</v>
      </c>
      <c r="H58" s="292">
        <v>0</v>
      </c>
      <c r="I58" s="292">
        <f t="shared" si="11"/>
        <v>492435.25239563809</v>
      </c>
    </row>
    <row r="59" spans="1:9" x14ac:dyDescent="0.25">
      <c r="A59" s="116"/>
      <c r="B59" s="287">
        <f t="shared" si="12"/>
        <v>2014</v>
      </c>
      <c r="C59" s="255">
        <f>INDEX(UG_cable_data!$D$36:$BE$36, MATCH(B59, UG_cable_data!$D$6:$BE$6,0))</f>
        <v>23080.688768831067</v>
      </c>
      <c r="D59" s="289">
        <f t="shared" si="7"/>
        <v>46</v>
      </c>
      <c r="E59" s="292">
        <f t="shared" si="8"/>
        <v>8845506.4365242105</v>
      </c>
      <c r="F59" s="154">
        <f t="shared" si="9"/>
        <v>8636.6614134921383</v>
      </c>
      <c r="G59" s="154">
        <f t="shared" si="10"/>
        <v>923.22755075324267</v>
      </c>
      <c r="H59" s="292">
        <v>0</v>
      </c>
      <c r="I59" s="292">
        <f t="shared" si="11"/>
        <v>353820.25746096845</v>
      </c>
    </row>
    <row r="60" spans="1:9" x14ac:dyDescent="0.25">
      <c r="A60" s="116"/>
      <c r="B60" s="287">
        <f t="shared" si="12"/>
        <v>2015</v>
      </c>
      <c r="C60" s="255">
        <f>INDEX(UG_cable_data!$D$36:$BE$36, MATCH(B60, UG_cable_data!$D$6:$BE$6,0))</f>
        <v>49912.488820381492</v>
      </c>
      <c r="D60" s="289">
        <f t="shared" si="7"/>
        <v>47</v>
      </c>
      <c r="E60" s="292">
        <f t="shared" si="8"/>
        <v>19544438.153886959</v>
      </c>
      <c r="F60" s="154">
        <f t="shared" si="9"/>
        <v>18676.967163496771</v>
      </c>
      <c r="G60" s="154">
        <f t="shared" si="10"/>
        <v>1996.4995528152597</v>
      </c>
      <c r="H60" s="292">
        <v>0</v>
      </c>
      <c r="I60" s="292">
        <f t="shared" si="11"/>
        <v>781777.52615547832</v>
      </c>
    </row>
    <row r="61" spans="1:9" x14ac:dyDescent="0.25">
      <c r="A61" s="116"/>
      <c r="B61" s="287">
        <f t="shared" si="12"/>
        <v>2016</v>
      </c>
      <c r="C61" s="255">
        <f>INDEX(UG_cable_data!$D$36:$BE$36, MATCH(B61, UG_cable_data!$D$6:$BE$6,0))</f>
        <v>30160.899646602564</v>
      </c>
      <c r="D61" s="289">
        <f t="shared" si="7"/>
        <v>48</v>
      </c>
      <c r="E61" s="292">
        <f t="shared" si="8"/>
        <v>12061508.726414897</v>
      </c>
      <c r="F61" s="154">
        <f t="shared" si="9"/>
        <v>11286.035732425573</v>
      </c>
      <c r="G61" s="154">
        <f t="shared" si="10"/>
        <v>1206.4359858641026</v>
      </c>
      <c r="H61" s="292">
        <v>0</v>
      </c>
      <c r="I61" s="292">
        <f t="shared" si="11"/>
        <v>482460.34905659588</v>
      </c>
    </row>
    <row r="62" spans="1:9" x14ac:dyDescent="0.25">
      <c r="A62" s="116"/>
      <c r="B62" s="287">
        <f t="shared" si="12"/>
        <v>2017</v>
      </c>
      <c r="C62" s="255">
        <f>INDEX(UG_cable_data!$D$36:$BE$36, MATCH(B62, UG_cable_data!$D$6:$BE$6,0))</f>
        <v>49542.599387326591</v>
      </c>
      <c r="D62" s="289">
        <f t="shared" si="7"/>
        <v>49</v>
      </c>
      <c r="E62" s="292">
        <f t="shared" si="8"/>
        <v>20225113.882416539</v>
      </c>
      <c r="F62" s="154">
        <f t="shared" si="9"/>
        <v>18538.556658259258</v>
      </c>
      <c r="G62" s="154">
        <f t="shared" si="10"/>
        <v>1981.7039754930636</v>
      </c>
      <c r="H62" s="292">
        <v>0</v>
      </c>
      <c r="I62" s="292">
        <f t="shared" si="11"/>
        <v>809004.55529666157</v>
      </c>
    </row>
    <row r="63" spans="1:9" x14ac:dyDescent="0.25">
      <c r="A63" s="116"/>
      <c r="B63" s="287">
        <f t="shared" si="12"/>
        <v>2018</v>
      </c>
      <c r="C63" s="255">
        <f>INDEX(UG_cable_data!$D$36:$BE$36, MATCH(B63, UG_cable_data!$D$6:$BE$6,0))</f>
        <v>22420.8318818958</v>
      </c>
      <c r="D63" s="289">
        <f t="shared" si="7"/>
        <v>50</v>
      </c>
      <c r="E63" s="292">
        <f t="shared" si="8"/>
        <v>9339805.5155020058</v>
      </c>
      <c r="F63" s="154">
        <f t="shared" si="9"/>
        <v>8389.7467494238408</v>
      </c>
      <c r="G63" s="154">
        <f t="shared" si="10"/>
        <v>896.83327527583197</v>
      </c>
      <c r="H63" s="292">
        <v>0</v>
      </c>
      <c r="I63" s="292">
        <f t="shared" si="11"/>
        <v>373592.22062008025</v>
      </c>
    </row>
    <row r="64" spans="1:9" x14ac:dyDescent="0.25">
      <c r="A64" s="116"/>
      <c r="B64" s="287">
        <f t="shared" si="12"/>
        <v>2019</v>
      </c>
      <c r="C64" s="255">
        <f>INDEX(UG_cable_data!$D$36:$BE$36, MATCH(B64, UG_cable_data!$D$6:$BE$6,0))</f>
        <v>760.28730270539995</v>
      </c>
      <c r="D64" s="289">
        <f t="shared" si="7"/>
        <v>51</v>
      </c>
      <c r="E64" s="292">
        <f t="shared" si="8"/>
        <v>323045.74121917412</v>
      </c>
      <c r="F64" s="154">
        <f t="shared" si="9"/>
        <v>284.49514987226706</v>
      </c>
      <c r="G64" s="154">
        <f t="shared" si="10"/>
        <v>30.411492108215999</v>
      </c>
      <c r="H64" s="292">
        <v>0</v>
      </c>
      <c r="I64" s="292">
        <f t="shared" si="11"/>
        <v>12921.829648766965</v>
      </c>
    </row>
    <row r="65" spans="1:10" x14ac:dyDescent="0.25">
      <c r="A65" s="116"/>
      <c r="D65" s="121"/>
      <c r="E65" s="121"/>
      <c r="F65" s="121"/>
      <c r="G65" s="121"/>
      <c r="J65" s="149"/>
    </row>
    <row r="66" spans="1:10" x14ac:dyDescent="0.25">
      <c r="A66" s="116"/>
      <c r="B66" s="153" t="s">
        <v>1</v>
      </c>
      <c r="C66" s="153">
        <f>SUM(C15:C64)</f>
        <v>733397.23072559503</v>
      </c>
      <c r="D66" s="290">
        <f>SUMPRODUCT(C15:C64,D15:D64)/C66</f>
        <v>37.620818584122738</v>
      </c>
      <c r="E66" s="118"/>
      <c r="F66" s="118"/>
      <c r="G66" s="118"/>
      <c r="H66" s="293">
        <f>SUM(H15:H64)</f>
        <v>2060981.738492744</v>
      </c>
      <c r="I66" s="293">
        <f>SUM(I15:I64)</f>
        <v>9194827.8906590957</v>
      </c>
      <c r="J66" s="149"/>
    </row>
    <row r="67" spans="1:10" x14ac:dyDescent="0.25">
      <c r="A67" s="116"/>
      <c r="H67" s="150"/>
      <c r="I67" s="150"/>
      <c r="J67" s="149"/>
    </row>
    <row r="68" spans="1:10" x14ac:dyDescent="0.25">
      <c r="A68" s="116"/>
      <c r="E68" s="150"/>
      <c r="F68" s="150"/>
      <c r="G68" s="150"/>
      <c r="J68" s="149"/>
    </row>
    <row r="69" spans="1:10" x14ac:dyDescent="0.25">
      <c r="A69" s="116"/>
      <c r="D69" s="151"/>
      <c r="E69" s="150"/>
      <c r="F69" s="150"/>
      <c r="G69" s="150"/>
      <c r="J69" s="149"/>
    </row>
    <row r="70" spans="1:10" x14ac:dyDescent="0.25">
      <c r="A70" s="116"/>
      <c r="H70" s="117"/>
    </row>
    <row r="71" spans="1:10" x14ac:dyDescent="0.25">
      <c r="A71" s="116"/>
      <c r="J71" s="150"/>
    </row>
    <row r="72" spans="1:10" x14ac:dyDescent="0.25">
      <c r="A72" s="116"/>
      <c r="J72" s="150"/>
    </row>
    <row r="73" spans="1:10" x14ac:dyDescent="0.25">
      <c r="A73" s="116"/>
      <c r="I73" s="150"/>
      <c r="J73" s="150"/>
    </row>
    <row r="74" spans="1:10" x14ac:dyDescent="0.25">
      <c r="A74" s="116"/>
      <c r="I74" s="150"/>
      <c r="J74" s="150"/>
    </row>
    <row r="75" spans="1:10" x14ac:dyDescent="0.25">
      <c r="A75" s="116"/>
    </row>
    <row r="76" spans="1:10" x14ac:dyDescent="0.25">
      <c r="A76" s="116"/>
    </row>
    <row r="77" spans="1:10" x14ac:dyDescent="0.25">
      <c r="A77" s="116"/>
    </row>
    <row r="78" spans="1:10" x14ac:dyDescent="0.25">
      <c r="A78" s="116"/>
    </row>
    <row r="79" spans="1:10" x14ac:dyDescent="0.25">
      <c r="A79" s="116"/>
    </row>
    <row r="80" spans="1:10" x14ac:dyDescent="0.25">
      <c r="A80" s="116"/>
    </row>
    <row r="81" spans="1:1" x14ac:dyDescent="0.25">
      <c r="A81" s="116"/>
    </row>
    <row r="82" spans="1:1" x14ac:dyDescent="0.25">
      <c r="A82" s="116"/>
    </row>
    <row r="83" spans="1:1" x14ac:dyDescent="0.25">
      <c r="A83" s="116"/>
    </row>
    <row r="84" spans="1:1" x14ac:dyDescent="0.25">
      <c r="A84" s="116"/>
    </row>
    <row r="85" spans="1:1" x14ac:dyDescent="0.25">
      <c r="A85" s="116"/>
    </row>
    <row r="86" spans="1:1" x14ac:dyDescent="0.25">
      <c r="A86" s="116"/>
    </row>
    <row r="87" spans="1:1" x14ac:dyDescent="0.25">
      <c r="A87" s="116"/>
    </row>
    <row r="88" spans="1:1" x14ac:dyDescent="0.25">
      <c r="A88" s="116"/>
    </row>
    <row r="89" spans="1:1" x14ac:dyDescent="0.25">
      <c r="A89" s="116"/>
    </row>
    <row r="90" spans="1:1" x14ac:dyDescent="0.25">
      <c r="A90" s="116"/>
    </row>
    <row r="91" spans="1:1" x14ac:dyDescent="0.25">
      <c r="A91" s="116"/>
    </row>
    <row r="92" spans="1:1" x14ac:dyDescent="0.25">
      <c r="A92" s="116"/>
    </row>
    <row r="93" spans="1:1" x14ac:dyDescent="0.25">
      <c r="A93" s="116"/>
    </row>
    <row r="94" spans="1:1" x14ac:dyDescent="0.25">
      <c r="A94" s="116"/>
    </row>
    <row r="95" spans="1:1" x14ac:dyDescent="0.25">
      <c r="A95" s="116"/>
    </row>
    <row r="96" spans="1:1" x14ac:dyDescent="0.25">
      <c r="A96" s="116"/>
    </row>
    <row r="97" spans="1:11" x14ac:dyDescent="0.25">
      <c r="A97" s="116"/>
    </row>
    <row r="98" spans="1:11" x14ac:dyDescent="0.25">
      <c r="A98" s="116"/>
    </row>
    <row r="99" spans="1:11" x14ac:dyDescent="0.25">
      <c r="A99" s="116"/>
    </row>
    <row r="100" spans="1:11" x14ac:dyDescent="0.25">
      <c r="A100" s="116"/>
    </row>
    <row r="101" spans="1:11" x14ac:dyDescent="0.25">
      <c r="A101" s="116"/>
    </row>
    <row r="102" spans="1:11" x14ac:dyDescent="0.25">
      <c r="A102" s="116"/>
    </row>
    <row r="103" spans="1:11" x14ac:dyDescent="0.25">
      <c r="A103" s="116"/>
    </row>
    <row r="104" spans="1:11" x14ac:dyDescent="0.25">
      <c r="A104" s="116"/>
    </row>
    <row r="105" spans="1:11" x14ac:dyDescent="0.25">
      <c r="A105" s="116"/>
    </row>
    <row r="106" spans="1:11" x14ac:dyDescent="0.25">
      <c r="A106" s="116"/>
    </row>
    <row r="107" spans="1:11" x14ac:dyDescent="0.25">
      <c r="A107" s="116"/>
    </row>
    <row r="108" spans="1:11" x14ac:dyDescent="0.25">
      <c r="A108" s="116"/>
    </row>
    <row r="109" spans="1:11" x14ac:dyDescent="0.25">
      <c r="A109" s="116"/>
    </row>
    <row r="110" spans="1:11" x14ac:dyDescent="0.25">
      <c r="A110" s="116"/>
    </row>
    <row r="111" spans="1:11" x14ac:dyDescent="0.25">
      <c r="A111" s="116"/>
      <c r="K111" s="149"/>
    </row>
    <row r="112" spans="1:11" x14ac:dyDescent="0.25">
      <c r="A112" s="116"/>
      <c r="K112" s="149"/>
    </row>
    <row r="113" spans="1:11" x14ac:dyDescent="0.25">
      <c r="A113" s="116"/>
      <c r="K113" s="149"/>
    </row>
    <row r="114" spans="1:11" x14ac:dyDescent="0.25">
      <c r="A114" s="116"/>
      <c r="K114" s="149"/>
    </row>
    <row r="115" spans="1:11" x14ac:dyDescent="0.25">
      <c r="A115" s="116"/>
      <c r="K115" s="149"/>
    </row>
    <row r="116" spans="1:11" x14ac:dyDescent="0.25">
      <c r="A116" s="116"/>
      <c r="K116" s="149"/>
    </row>
    <row r="117" spans="1:11" x14ac:dyDescent="0.25">
      <c r="A117" s="116"/>
      <c r="K117" s="149"/>
    </row>
    <row r="118" spans="1:11" x14ac:dyDescent="0.25">
      <c r="A118" s="116"/>
      <c r="K118" s="149"/>
    </row>
    <row r="119" spans="1:11" x14ac:dyDescent="0.25">
      <c r="A119" s="116"/>
      <c r="K119" s="149"/>
    </row>
    <row r="120" spans="1:11" x14ac:dyDescent="0.25">
      <c r="A120" s="116"/>
      <c r="K120" s="149"/>
    </row>
    <row r="121" spans="1:11" x14ac:dyDescent="0.25">
      <c r="A121" s="116"/>
      <c r="K121" s="149"/>
    </row>
    <row r="122" spans="1:11" x14ac:dyDescent="0.25">
      <c r="A122" s="116"/>
      <c r="K122" s="149"/>
    </row>
    <row r="123" spans="1:11" x14ac:dyDescent="0.25">
      <c r="A123" s="116"/>
      <c r="K123" s="149"/>
    </row>
    <row r="124" spans="1:11" x14ac:dyDescent="0.25">
      <c r="A124" s="116"/>
      <c r="K124" s="149"/>
    </row>
    <row r="125" spans="1:11" x14ac:dyDescent="0.25">
      <c r="A125" s="116"/>
      <c r="K125" s="149"/>
    </row>
    <row r="126" spans="1:11" x14ac:dyDescent="0.25">
      <c r="A126" s="116"/>
      <c r="K126" s="149"/>
    </row>
    <row r="127" spans="1:11" x14ac:dyDescent="0.25">
      <c r="A127" s="116"/>
      <c r="K127" s="149"/>
    </row>
    <row r="128" spans="1:11" x14ac:dyDescent="0.25">
      <c r="A128" s="116"/>
      <c r="K128" s="149"/>
    </row>
    <row r="129" spans="1:11" x14ac:dyDescent="0.25">
      <c r="A129" s="116"/>
      <c r="K129" s="149"/>
    </row>
    <row r="130" spans="1:11" x14ac:dyDescent="0.25">
      <c r="A130" s="116"/>
      <c r="K130" s="149"/>
    </row>
    <row r="131" spans="1:11" x14ac:dyDescent="0.25">
      <c r="A131" s="116"/>
      <c r="K131" s="149"/>
    </row>
    <row r="132" spans="1:11" x14ac:dyDescent="0.25">
      <c r="A132" s="116"/>
      <c r="K132" s="149"/>
    </row>
    <row r="133" spans="1:11" x14ac:dyDescent="0.25">
      <c r="A133" s="116"/>
      <c r="K133" s="149"/>
    </row>
    <row r="134" spans="1:11" x14ac:dyDescent="0.25">
      <c r="A134" s="116"/>
      <c r="K134" s="149"/>
    </row>
    <row r="135" spans="1:11" x14ac:dyDescent="0.25">
      <c r="A135" s="116"/>
      <c r="K135" s="149"/>
    </row>
    <row r="136" spans="1:11" x14ac:dyDescent="0.25">
      <c r="A136" s="116"/>
      <c r="K136" s="149"/>
    </row>
    <row r="137" spans="1:11" x14ac:dyDescent="0.25">
      <c r="A137" s="116"/>
      <c r="K137" s="149"/>
    </row>
    <row r="138" spans="1:11" x14ac:dyDescent="0.25">
      <c r="A138" s="116"/>
      <c r="K138" s="149"/>
    </row>
    <row r="139" spans="1:11" x14ac:dyDescent="0.25">
      <c r="A139" s="116"/>
      <c r="K139" s="149"/>
    </row>
    <row r="140" spans="1:11" x14ac:dyDescent="0.25">
      <c r="A140" s="116"/>
      <c r="K140" s="149"/>
    </row>
    <row r="141" spans="1:11" x14ac:dyDescent="0.25">
      <c r="A141" s="116"/>
      <c r="K141" s="149"/>
    </row>
    <row r="142" spans="1:11" x14ac:dyDescent="0.25">
      <c r="A142" s="116"/>
      <c r="K142" s="149"/>
    </row>
    <row r="143" spans="1:11" x14ac:dyDescent="0.25">
      <c r="A143" s="116"/>
      <c r="K143" s="149"/>
    </row>
    <row r="144" spans="1:11" x14ac:dyDescent="0.25">
      <c r="A144" s="116"/>
      <c r="K144" s="149"/>
    </row>
    <row r="145" spans="1:11" x14ac:dyDescent="0.25">
      <c r="A145" s="116"/>
      <c r="K145" s="149"/>
    </row>
    <row r="146" spans="1:11" x14ac:dyDescent="0.25">
      <c r="A146" s="116"/>
      <c r="K146" s="149"/>
    </row>
    <row r="147" spans="1:11" x14ac:dyDescent="0.25">
      <c r="A147" s="116"/>
      <c r="K147" s="149"/>
    </row>
    <row r="148" spans="1:11" x14ac:dyDescent="0.25">
      <c r="A148" s="116"/>
      <c r="K148" s="149"/>
    </row>
    <row r="149" spans="1:11" x14ac:dyDescent="0.25">
      <c r="A149" s="116"/>
      <c r="K149" s="149"/>
    </row>
    <row r="150" spans="1:11" x14ac:dyDescent="0.25">
      <c r="A150" s="116"/>
      <c r="K150" s="149"/>
    </row>
    <row r="151" spans="1:11" x14ac:dyDescent="0.25">
      <c r="A151" s="116"/>
      <c r="K151" s="149"/>
    </row>
    <row r="152" spans="1:11" x14ac:dyDescent="0.25">
      <c r="A152" s="116"/>
      <c r="K152" s="149"/>
    </row>
    <row r="153" spans="1:11" x14ac:dyDescent="0.25">
      <c r="A153" s="116"/>
      <c r="K153" s="149"/>
    </row>
    <row r="154" spans="1:11" x14ac:dyDescent="0.25">
      <c r="A154" s="116"/>
      <c r="K154" s="149"/>
    </row>
    <row r="155" spans="1:11" x14ac:dyDescent="0.25">
      <c r="A155" s="116"/>
      <c r="K155" s="149"/>
    </row>
    <row r="156" spans="1:11" x14ac:dyDescent="0.25">
      <c r="A156" s="116"/>
      <c r="K156" s="149"/>
    </row>
    <row r="157" spans="1:11" x14ac:dyDescent="0.25">
      <c r="A157" s="116"/>
      <c r="K157" s="149"/>
    </row>
    <row r="158" spans="1:11" x14ac:dyDescent="0.25">
      <c r="A158" s="116"/>
      <c r="K158" s="149"/>
    </row>
    <row r="159" spans="1:11" x14ac:dyDescent="0.25">
      <c r="A159" s="116"/>
      <c r="K159" s="149"/>
    </row>
    <row r="160" spans="1:11" x14ac:dyDescent="0.25">
      <c r="A160" s="116"/>
      <c r="K160" s="149"/>
    </row>
    <row r="161" spans="1:11" x14ac:dyDescent="0.25">
      <c r="A161" s="116"/>
      <c r="K161" s="149"/>
    </row>
    <row r="162" spans="1:11" x14ac:dyDescent="0.25">
      <c r="A162" s="116"/>
      <c r="K162" s="149"/>
    </row>
    <row r="163" spans="1:11" x14ac:dyDescent="0.25">
      <c r="A163" s="116"/>
      <c r="K163" s="149"/>
    </row>
    <row r="164" spans="1:11" x14ac:dyDescent="0.25">
      <c r="A164" s="116"/>
      <c r="K164" s="149"/>
    </row>
    <row r="165" spans="1:11" x14ac:dyDescent="0.25">
      <c r="A165" s="116"/>
      <c r="K165" s="149"/>
    </row>
    <row r="166" spans="1:11" x14ac:dyDescent="0.25">
      <c r="A166" s="116"/>
      <c r="K166" s="149"/>
    </row>
    <row r="167" spans="1:11" x14ac:dyDescent="0.25">
      <c r="A167" s="116"/>
      <c r="K167" s="149"/>
    </row>
    <row r="168" spans="1:11" x14ac:dyDescent="0.25">
      <c r="A168" s="116"/>
      <c r="K168" s="149"/>
    </row>
    <row r="169" spans="1:11" x14ac:dyDescent="0.25">
      <c r="A169" s="116"/>
      <c r="K169" s="149"/>
    </row>
    <row r="170" spans="1:11" x14ac:dyDescent="0.25">
      <c r="A170" s="116"/>
      <c r="K170" s="149"/>
    </row>
    <row r="171" spans="1:11" x14ac:dyDescent="0.25">
      <c r="A171" s="116"/>
      <c r="K171" s="149"/>
    </row>
    <row r="172" spans="1:11" x14ac:dyDescent="0.25">
      <c r="A172" s="116"/>
      <c r="K172" s="149"/>
    </row>
    <row r="173" spans="1:11" x14ac:dyDescent="0.25">
      <c r="A173" s="116"/>
      <c r="K173" s="149"/>
    </row>
    <row r="174" spans="1:11" x14ac:dyDescent="0.25">
      <c r="A174" s="116"/>
      <c r="K174" s="149"/>
    </row>
    <row r="175" spans="1:11" x14ac:dyDescent="0.25">
      <c r="A175" s="116"/>
      <c r="K175" s="149"/>
    </row>
    <row r="176" spans="1:11" x14ac:dyDescent="0.25">
      <c r="A176" s="116"/>
      <c r="K176" s="149"/>
    </row>
    <row r="177" spans="1:11" x14ac:dyDescent="0.25">
      <c r="A177" s="116"/>
      <c r="K177" s="149"/>
    </row>
    <row r="178" spans="1:11" x14ac:dyDescent="0.25">
      <c r="A178" s="116"/>
      <c r="K178" s="149"/>
    </row>
    <row r="179" spans="1:11" x14ac:dyDescent="0.25">
      <c r="A179" s="116"/>
      <c r="K179" s="149"/>
    </row>
    <row r="180" spans="1:11" x14ac:dyDescent="0.25">
      <c r="A180" s="116"/>
      <c r="K180" s="149"/>
    </row>
    <row r="181" spans="1:11" x14ac:dyDescent="0.25">
      <c r="A181" s="116"/>
      <c r="K181" s="149"/>
    </row>
    <row r="182" spans="1:11" x14ac:dyDescent="0.25">
      <c r="A182" s="116"/>
      <c r="K182" s="149"/>
    </row>
    <row r="183" spans="1:11" x14ac:dyDescent="0.25">
      <c r="A183" s="116"/>
      <c r="K183" s="149"/>
    </row>
    <row r="184" spans="1:11" x14ac:dyDescent="0.25">
      <c r="A184" s="116"/>
      <c r="K184" s="149"/>
    </row>
    <row r="185" spans="1:11" x14ac:dyDescent="0.25">
      <c r="A185" s="116"/>
      <c r="K185" s="149"/>
    </row>
    <row r="186" spans="1:11" x14ac:dyDescent="0.25">
      <c r="A186" s="116"/>
      <c r="K186" s="149"/>
    </row>
    <row r="187" spans="1:11" x14ac:dyDescent="0.25">
      <c r="A187" s="116"/>
      <c r="K187" s="149"/>
    </row>
    <row r="188" spans="1:11" x14ac:dyDescent="0.25">
      <c r="A188" s="116"/>
      <c r="K188" s="149"/>
    </row>
    <row r="189" spans="1:11" x14ac:dyDescent="0.25">
      <c r="A189" s="116"/>
      <c r="K189" s="149"/>
    </row>
    <row r="190" spans="1:11" x14ac:dyDescent="0.25">
      <c r="A190" s="116"/>
      <c r="K190" s="149"/>
    </row>
    <row r="191" spans="1:11" x14ac:dyDescent="0.25">
      <c r="A191" s="116"/>
      <c r="K191" s="149"/>
    </row>
    <row r="192" spans="1:11" x14ac:dyDescent="0.25">
      <c r="A192" s="116"/>
      <c r="K192" s="149"/>
    </row>
    <row r="193" spans="1:11" x14ac:dyDescent="0.25">
      <c r="A193" s="116"/>
      <c r="K193" s="149"/>
    </row>
    <row r="194" spans="1:11" x14ac:dyDescent="0.25">
      <c r="A194" s="116"/>
      <c r="K194" s="149"/>
    </row>
    <row r="195" spans="1:11" x14ac:dyDescent="0.25">
      <c r="A195" s="116"/>
      <c r="K195" s="149"/>
    </row>
    <row r="196" spans="1:11" x14ac:dyDescent="0.25">
      <c r="A196" s="116"/>
      <c r="K196" s="149"/>
    </row>
    <row r="197" spans="1:11" x14ac:dyDescent="0.25">
      <c r="A197" s="116"/>
      <c r="K197" s="149"/>
    </row>
    <row r="198" spans="1:11" x14ac:dyDescent="0.25">
      <c r="A198" s="116"/>
      <c r="K198" s="149"/>
    </row>
    <row r="199" spans="1:11" x14ac:dyDescent="0.25">
      <c r="A199" s="116"/>
      <c r="K199" s="149"/>
    </row>
    <row r="200" spans="1:11" x14ac:dyDescent="0.25">
      <c r="A200" s="116"/>
      <c r="K200" s="149"/>
    </row>
    <row r="201" spans="1:11" x14ac:dyDescent="0.25">
      <c r="A201" s="116"/>
      <c r="K201" s="149"/>
    </row>
    <row r="202" spans="1:11" x14ac:dyDescent="0.25">
      <c r="A202" s="116"/>
      <c r="K202" s="149"/>
    </row>
    <row r="203" spans="1:11" x14ac:dyDescent="0.25">
      <c r="A203" s="116"/>
      <c r="K203" s="149"/>
    </row>
    <row r="204" spans="1:11" x14ac:dyDescent="0.25">
      <c r="A204" s="116"/>
      <c r="K204" s="149"/>
    </row>
    <row r="205" spans="1:11" x14ac:dyDescent="0.25">
      <c r="A205" s="116"/>
    </row>
    <row r="206" spans="1:11" x14ac:dyDescent="0.25">
      <c r="A206" s="116"/>
    </row>
    <row r="207" spans="1:11" x14ac:dyDescent="0.25">
      <c r="A207" s="116"/>
    </row>
    <row r="208" spans="1:11" x14ac:dyDescent="0.25">
      <c r="A208" s="116"/>
    </row>
    <row r="209" spans="1:1" x14ac:dyDescent="0.25">
      <c r="A209" s="116"/>
    </row>
    <row r="210" spans="1:1" x14ac:dyDescent="0.25">
      <c r="A210" s="116"/>
    </row>
    <row r="211" spans="1:1" x14ac:dyDescent="0.25">
      <c r="A211" s="116"/>
    </row>
    <row r="212" spans="1:1" x14ac:dyDescent="0.25">
      <c r="A212" s="116"/>
    </row>
    <row r="213" spans="1:1" x14ac:dyDescent="0.25">
      <c r="A213" s="116"/>
    </row>
    <row r="214" spans="1:1" x14ac:dyDescent="0.25">
      <c r="A214" s="116"/>
    </row>
    <row r="215" spans="1:1" x14ac:dyDescent="0.25">
      <c r="A215" s="116"/>
    </row>
    <row r="216" spans="1:1" x14ac:dyDescent="0.25">
      <c r="A216" s="116"/>
    </row>
    <row r="217" spans="1:1" x14ac:dyDescent="0.25">
      <c r="A217" s="116"/>
    </row>
    <row r="218" spans="1:1" x14ac:dyDescent="0.25">
      <c r="A218" s="116"/>
    </row>
    <row r="219" spans="1:1" x14ac:dyDescent="0.25">
      <c r="A219" s="116"/>
    </row>
    <row r="220" spans="1:1" x14ac:dyDescent="0.25">
      <c r="A220" s="116"/>
    </row>
    <row r="221" spans="1:1" x14ac:dyDescent="0.25">
      <c r="A221" s="116"/>
    </row>
    <row r="222" spans="1:1" x14ac:dyDescent="0.25">
      <c r="A222" s="116"/>
    </row>
    <row r="223" spans="1:1" x14ac:dyDescent="0.25">
      <c r="A223" s="116"/>
    </row>
    <row r="224" spans="1:1" x14ac:dyDescent="0.25">
      <c r="A224" s="116"/>
    </row>
    <row r="225" spans="1:1" x14ac:dyDescent="0.25">
      <c r="A225" s="116"/>
    </row>
    <row r="226" spans="1:1" x14ac:dyDescent="0.25">
      <c r="A226" s="116"/>
    </row>
    <row r="227" spans="1:1" x14ac:dyDescent="0.25">
      <c r="A227" s="116"/>
    </row>
    <row r="228" spans="1:1" x14ac:dyDescent="0.25">
      <c r="A228" s="116"/>
    </row>
    <row r="229" spans="1:1" x14ac:dyDescent="0.25">
      <c r="A229" s="116"/>
    </row>
    <row r="230" spans="1:1" x14ac:dyDescent="0.25">
      <c r="A230" s="116"/>
    </row>
    <row r="231" spans="1:1" x14ac:dyDescent="0.25">
      <c r="A231" s="116"/>
    </row>
    <row r="232" spans="1:1" x14ac:dyDescent="0.25">
      <c r="A232" s="116"/>
    </row>
    <row r="233" spans="1:1" x14ac:dyDescent="0.25">
      <c r="A233" s="116"/>
    </row>
    <row r="234" spans="1:1" x14ac:dyDescent="0.25">
      <c r="A234" s="116"/>
    </row>
    <row r="235" spans="1:1" x14ac:dyDescent="0.25">
      <c r="A235" s="116"/>
    </row>
    <row r="236" spans="1:1" x14ac:dyDescent="0.25">
      <c r="A236" s="116"/>
    </row>
    <row r="237" spans="1:1" x14ac:dyDescent="0.25">
      <c r="A237" s="116"/>
    </row>
    <row r="238" spans="1:1" x14ac:dyDescent="0.25">
      <c r="A238" s="116"/>
    </row>
    <row r="239" spans="1:1" x14ac:dyDescent="0.25">
      <c r="A239" s="116"/>
    </row>
    <row r="240" spans="1:1" x14ac:dyDescent="0.25">
      <c r="A240" s="116"/>
    </row>
    <row r="241" spans="1:1" x14ac:dyDescent="0.25">
      <c r="A241" s="116"/>
    </row>
    <row r="242" spans="1:1" x14ac:dyDescent="0.25">
      <c r="A242" s="116"/>
    </row>
    <row r="243" spans="1:1" x14ac:dyDescent="0.25">
      <c r="A243" s="116"/>
    </row>
    <row r="244" spans="1:1" x14ac:dyDescent="0.25">
      <c r="A244" s="116"/>
    </row>
    <row r="245" spans="1:1" x14ac:dyDescent="0.25">
      <c r="A245" s="116"/>
    </row>
    <row r="246" spans="1:1" x14ac:dyDescent="0.25">
      <c r="A246" s="116"/>
    </row>
    <row r="247" spans="1:1" x14ac:dyDescent="0.25">
      <c r="A247" s="116"/>
    </row>
    <row r="248" spans="1:1" x14ac:dyDescent="0.25">
      <c r="A248" s="116"/>
    </row>
    <row r="249" spans="1:1" x14ac:dyDescent="0.25">
      <c r="A249" s="116"/>
    </row>
    <row r="250" spans="1:1" x14ac:dyDescent="0.25">
      <c r="A250" s="116"/>
    </row>
    <row r="251" spans="1:1" x14ac:dyDescent="0.25">
      <c r="A251" s="116"/>
    </row>
    <row r="252" spans="1:1" x14ac:dyDescent="0.25">
      <c r="A252" s="116"/>
    </row>
    <row r="253" spans="1:1" x14ac:dyDescent="0.25">
      <c r="A253" s="116"/>
    </row>
    <row r="254" spans="1:1" x14ac:dyDescent="0.25">
      <c r="A254" s="116"/>
    </row>
    <row r="255" spans="1:1" x14ac:dyDescent="0.25">
      <c r="A255" s="116"/>
    </row>
    <row r="256" spans="1:1" x14ac:dyDescent="0.25">
      <c r="A256" s="116"/>
    </row>
    <row r="257" spans="1:1" x14ac:dyDescent="0.25">
      <c r="A257" s="116"/>
    </row>
    <row r="258" spans="1:1" x14ac:dyDescent="0.25">
      <c r="A258" s="116"/>
    </row>
    <row r="259" spans="1:1" x14ac:dyDescent="0.25">
      <c r="A259" s="116"/>
    </row>
    <row r="260" spans="1:1" x14ac:dyDescent="0.25">
      <c r="A260" s="116"/>
    </row>
    <row r="261" spans="1:1" x14ac:dyDescent="0.25">
      <c r="A261" s="116"/>
    </row>
    <row r="262" spans="1:1" x14ac:dyDescent="0.25">
      <c r="A262" s="116"/>
    </row>
    <row r="263" spans="1:1" x14ac:dyDescent="0.25">
      <c r="A263" s="116"/>
    </row>
    <row r="264" spans="1:1" x14ac:dyDescent="0.25">
      <c r="A264" s="116"/>
    </row>
    <row r="265" spans="1:1" x14ac:dyDescent="0.25">
      <c r="A265" s="116"/>
    </row>
    <row r="266" spans="1:1" x14ac:dyDescent="0.25">
      <c r="A266" s="116"/>
    </row>
    <row r="267" spans="1:1" x14ac:dyDescent="0.25">
      <c r="A267" s="116"/>
    </row>
    <row r="268" spans="1:1" x14ac:dyDescent="0.25">
      <c r="A268" s="116"/>
    </row>
    <row r="269" spans="1:1" x14ac:dyDescent="0.25">
      <c r="A269" s="116"/>
    </row>
    <row r="270" spans="1:1" x14ac:dyDescent="0.25">
      <c r="A270" s="116"/>
    </row>
    <row r="271" spans="1:1" x14ac:dyDescent="0.25">
      <c r="A271" s="116"/>
    </row>
    <row r="272" spans="1:1" x14ac:dyDescent="0.25">
      <c r="A272" s="116"/>
    </row>
    <row r="273" spans="1:1" x14ac:dyDescent="0.25">
      <c r="A273" s="116"/>
    </row>
    <row r="274" spans="1:1" x14ac:dyDescent="0.25">
      <c r="A274" s="116"/>
    </row>
    <row r="275" spans="1:1" x14ac:dyDescent="0.25">
      <c r="A275" s="116"/>
    </row>
    <row r="276" spans="1:1" x14ac:dyDescent="0.25">
      <c r="A276" s="116"/>
    </row>
    <row r="277" spans="1:1" x14ac:dyDescent="0.25">
      <c r="A277" s="116"/>
    </row>
    <row r="278" spans="1:1" x14ac:dyDescent="0.25">
      <c r="A278" s="116"/>
    </row>
    <row r="279" spans="1:1" x14ac:dyDescent="0.25">
      <c r="A279" s="116"/>
    </row>
    <row r="280" spans="1:1" x14ac:dyDescent="0.25">
      <c r="A280" s="116"/>
    </row>
    <row r="281" spans="1:1" x14ac:dyDescent="0.25">
      <c r="A281" s="116"/>
    </row>
    <row r="282" spans="1:1" x14ac:dyDescent="0.25">
      <c r="A282" s="116"/>
    </row>
    <row r="283" spans="1:1" x14ac:dyDescent="0.25">
      <c r="A283" s="116"/>
    </row>
    <row r="284" spans="1:1" x14ac:dyDescent="0.25">
      <c r="A284" s="116"/>
    </row>
    <row r="285" spans="1:1" x14ac:dyDescent="0.25">
      <c r="A285" s="116"/>
    </row>
    <row r="286" spans="1:1" x14ac:dyDescent="0.25">
      <c r="A286" s="116"/>
    </row>
    <row r="287" spans="1:1" x14ac:dyDescent="0.25">
      <c r="A287" s="116"/>
    </row>
    <row r="288" spans="1:1" x14ac:dyDescent="0.25">
      <c r="A288" s="116"/>
    </row>
    <row r="289" spans="1:1" x14ac:dyDescent="0.25">
      <c r="A289" s="116"/>
    </row>
    <row r="290" spans="1:1" x14ac:dyDescent="0.25">
      <c r="A290" s="116"/>
    </row>
    <row r="291" spans="1:1" x14ac:dyDescent="0.25">
      <c r="A291" s="116"/>
    </row>
    <row r="292" spans="1:1" x14ac:dyDescent="0.25">
      <c r="A292" s="116"/>
    </row>
    <row r="293" spans="1:1" x14ac:dyDescent="0.25">
      <c r="A293" s="116"/>
    </row>
    <row r="294" spans="1:1" x14ac:dyDescent="0.25">
      <c r="A294" s="116"/>
    </row>
    <row r="295" spans="1:1" x14ac:dyDescent="0.25">
      <c r="A295" s="116"/>
    </row>
    <row r="296" spans="1:1" x14ac:dyDescent="0.25">
      <c r="A296" s="116"/>
    </row>
    <row r="297" spans="1:1" x14ac:dyDescent="0.25">
      <c r="A297" s="116"/>
    </row>
    <row r="298" spans="1:1" x14ac:dyDescent="0.25">
      <c r="A298" s="116"/>
    </row>
    <row r="299" spans="1:1" x14ac:dyDescent="0.25">
      <c r="A299" s="116"/>
    </row>
    <row r="300" spans="1:1" x14ac:dyDescent="0.25">
      <c r="A300" s="116"/>
    </row>
    <row r="301" spans="1:1" x14ac:dyDescent="0.25">
      <c r="A301" s="116"/>
    </row>
    <row r="302" spans="1:1" x14ac:dyDescent="0.25">
      <c r="A302" s="116"/>
    </row>
    <row r="303" spans="1:1" x14ac:dyDescent="0.25">
      <c r="A303" s="116"/>
    </row>
    <row r="304" spans="1:1" x14ac:dyDescent="0.25">
      <c r="A304" s="116"/>
    </row>
    <row r="305" spans="1:1" x14ac:dyDescent="0.25">
      <c r="A305" s="116"/>
    </row>
    <row r="306" spans="1:1" x14ac:dyDescent="0.25">
      <c r="A306" s="116"/>
    </row>
    <row r="307" spans="1:1" x14ac:dyDescent="0.25">
      <c r="A307" s="116"/>
    </row>
    <row r="308" spans="1:1" x14ac:dyDescent="0.25">
      <c r="A308" s="116"/>
    </row>
    <row r="309" spans="1:1" x14ac:dyDescent="0.25">
      <c r="A309" s="116"/>
    </row>
    <row r="310" spans="1:1" x14ac:dyDescent="0.25">
      <c r="A310" s="116"/>
    </row>
    <row r="311" spans="1:1" x14ac:dyDescent="0.25">
      <c r="A311" s="116"/>
    </row>
    <row r="312" spans="1:1" x14ac:dyDescent="0.25">
      <c r="A312" s="116"/>
    </row>
    <row r="313" spans="1:1" x14ac:dyDescent="0.25">
      <c r="A313" s="116"/>
    </row>
    <row r="314" spans="1:1" x14ac:dyDescent="0.25">
      <c r="A314" s="116"/>
    </row>
    <row r="315" spans="1:1" x14ac:dyDescent="0.25">
      <c r="A315" s="116"/>
    </row>
    <row r="316" spans="1:1" x14ac:dyDescent="0.25">
      <c r="A316" s="116"/>
    </row>
  </sheetData>
  <pageMargins left="0.70866141732283472" right="0.51181102362204722" top="0.55118110236220474" bottom="0.55118110236220474" header="0.31496062992125984" footer="0.31496062992125984"/>
  <pageSetup paperSize="9" scale="8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3833F-3616-4E07-A4B0-43497AB77A97}">
  <sheetPr codeName="Sheet14">
    <pageSetUpPr fitToPage="1"/>
  </sheetPr>
  <dimension ref="A1:BZ295"/>
  <sheetViews>
    <sheetView showGridLines="0" zoomScale="70" zoomScaleNormal="70" workbookViewId="0">
      <selection activeCell="A2" sqref="A2"/>
    </sheetView>
  </sheetViews>
  <sheetFormatPr defaultColWidth="8" defaultRowHeight="15" x14ac:dyDescent="0.25"/>
  <cols>
    <col min="1" max="1" width="2.375" style="115" customWidth="1"/>
    <col min="2" max="9" width="21.25" style="114" customWidth="1"/>
    <col min="10" max="16384" width="8" style="114"/>
  </cols>
  <sheetData>
    <row r="1" spans="1:78" s="1" customFormat="1" ht="18.75" x14ac:dyDescent="0.3">
      <c r="A1" s="249" t="str">
        <f>'T3 Distribution_Depn'!A1</f>
        <v>Powercor REFCLs</v>
      </c>
      <c r="B1" s="249"/>
      <c r="C1" s="249"/>
      <c r="D1" s="249"/>
      <c r="E1" s="249"/>
      <c r="F1" s="249"/>
      <c r="G1" s="250"/>
      <c r="H1" s="250"/>
      <c r="I1" s="250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4"/>
      <c r="BS1" s="114"/>
      <c r="BT1" s="114"/>
      <c r="BU1" s="114"/>
      <c r="BV1" s="114"/>
      <c r="BW1" s="114"/>
      <c r="BX1" s="114"/>
      <c r="BY1" s="114"/>
      <c r="BZ1" s="114"/>
    </row>
    <row r="2" spans="1:78" s="1" customFormat="1" ht="15.75" x14ac:dyDescent="0.25">
      <c r="A2" s="252" t="s">
        <v>207</v>
      </c>
      <c r="B2" s="252"/>
      <c r="C2" s="252"/>
      <c r="D2" s="252"/>
      <c r="E2" s="252"/>
      <c r="F2" s="252"/>
      <c r="G2" s="253"/>
      <c r="H2" s="253"/>
      <c r="I2" s="253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4"/>
      <c r="BP2" s="114"/>
      <c r="BQ2" s="114"/>
      <c r="BR2" s="114"/>
      <c r="BS2" s="114"/>
      <c r="BT2" s="114"/>
      <c r="BU2" s="114"/>
      <c r="BV2" s="114"/>
      <c r="BW2" s="114"/>
      <c r="BX2" s="114"/>
      <c r="BY2" s="114"/>
      <c r="BZ2" s="114"/>
    </row>
    <row r="3" spans="1:78" s="300" customFormat="1" ht="18.75" x14ac:dyDescent="0.3">
      <c r="A3" s="297"/>
      <c r="B3" s="298"/>
      <c r="C3" s="299"/>
      <c r="D3" s="299"/>
      <c r="E3" s="299"/>
      <c r="F3" s="299"/>
      <c r="G3" s="299"/>
      <c r="H3" s="299"/>
      <c r="I3" s="299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</row>
    <row r="4" spans="1:78" x14ac:dyDescent="0.25">
      <c r="A4" s="116"/>
    </row>
    <row r="5" spans="1:78" ht="15" customHeight="1" x14ac:dyDescent="0.25">
      <c r="A5" s="116"/>
      <c r="B5" s="145" t="s">
        <v>112</v>
      </c>
      <c r="D5" s="169">
        <v>2019</v>
      </c>
    </row>
    <row r="6" spans="1:78" x14ac:dyDescent="0.25">
      <c r="A6" s="116"/>
      <c r="B6" s="114" t="s">
        <v>96</v>
      </c>
      <c r="D6" s="143">
        <v>51</v>
      </c>
    </row>
    <row r="7" spans="1:78" x14ac:dyDescent="0.25">
      <c r="A7" s="116"/>
      <c r="B7" s="145" t="s">
        <v>179</v>
      </c>
      <c r="D7" s="166">
        <v>312</v>
      </c>
    </row>
    <row r="8" spans="1:78" x14ac:dyDescent="0.25">
      <c r="A8" s="116"/>
    </row>
    <row r="9" spans="1:78" x14ac:dyDescent="0.25">
      <c r="A9" s="116"/>
    </row>
    <row r="10" spans="1:78" x14ac:dyDescent="0.25">
      <c r="A10" s="116"/>
      <c r="B10" s="162" t="s">
        <v>178</v>
      </c>
      <c r="F10" s="160"/>
    </row>
    <row r="11" spans="1:78" x14ac:dyDescent="0.25">
      <c r="A11" s="116"/>
      <c r="B11" s="194" t="s">
        <v>87</v>
      </c>
      <c r="C11" s="194" t="s">
        <v>86</v>
      </c>
      <c r="D11" s="194" t="s">
        <v>119</v>
      </c>
      <c r="E11" s="177" t="s">
        <v>177</v>
      </c>
      <c r="F11" s="177" t="s">
        <v>118</v>
      </c>
      <c r="G11" s="177" t="s">
        <v>117</v>
      </c>
      <c r="H11" s="177" t="s">
        <v>114</v>
      </c>
      <c r="I11" s="177" t="s">
        <v>100</v>
      </c>
    </row>
    <row r="12" spans="1:78" ht="15" customHeight="1" x14ac:dyDescent="0.25">
      <c r="A12" s="116"/>
      <c r="B12" s="198">
        <v>1</v>
      </c>
      <c r="C12" s="198" t="s">
        <v>55</v>
      </c>
      <c r="D12" s="191"/>
      <c r="E12" s="303">
        <v>254.77</v>
      </c>
      <c r="F12" s="190">
        <v>29952</v>
      </c>
      <c r="G12" s="193">
        <f t="shared" ref="G12:G46" si="0">$D$5-YEAR(F12)</f>
        <v>37</v>
      </c>
      <c r="H12" s="154">
        <f t="shared" ref="H12:H46" si="1">IF(G12=0,0,$D$6-G12)</f>
        <v>14</v>
      </c>
      <c r="I12" s="155">
        <f>E12*$D$7/'T1-T3 old UG cable'!$D$6*H12</f>
        <v>21820.301176470592</v>
      </c>
    </row>
    <row r="13" spans="1:78" x14ac:dyDescent="0.25">
      <c r="A13" s="116"/>
      <c r="B13" s="198">
        <v>1</v>
      </c>
      <c r="C13" s="198" t="s">
        <v>54</v>
      </c>
      <c r="D13" s="191"/>
      <c r="E13" s="303">
        <v>47.56</v>
      </c>
      <c r="F13" s="190">
        <v>29221</v>
      </c>
      <c r="G13" s="193">
        <f t="shared" si="0"/>
        <v>39</v>
      </c>
      <c r="H13" s="154">
        <f t="shared" si="1"/>
        <v>12</v>
      </c>
      <c r="I13" s="155">
        <f>E13*$D$7/'T1-T3 old UG cable'!$D$6*H13</f>
        <v>3491.4635294117652</v>
      </c>
    </row>
    <row r="14" spans="1:78" x14ac:dyDescent="0.25">
      <c r="A14" s="116"/>
      <c r="B14" s="198">
        <v>1</v>
      </c>
      <c r="C14" s="198" t="s">
        <v>54</v>
      </c>
      <c r="D14" s="191"/>
      <c r="E14" s="303">
        <v>141.91999999999999</v>
      </c>
      <c r="F14" s="190">
        <v>29587</v>
      </c>
      <c r="G14" s="193">
        <f t="shared" si="0"/>
        <v>38</v>
      </c>
      <c r="H14" s="154">
        <f t="shared" si="1"/>
        <v>13</v>
      </c>
      <c r="I14" s="155">
        <f>E14*$D$7/'T1-T3 old UG cable'!$D$6*H14</f>
        <v>11286.814117647058</v>
      </c>
    </row>
    <row r="15" spans="1:78" x14ac:dyDescent="0.25">
      <c r="A15" s="116"/>
      <c r="B15" s="198">
        <v>1</v>
      </c>
      <c r="C15" s="198" t="s">
        <v>54</v>
      </c>
      <c r="D15" s="191"/>
      <c r="E15" s="303">
        <v>138.33000000000001</v>
      </c>
      <c r="F15" s="190">
        <v>29952</v>
      </c>
      <c r="G15" s="193">
        <f t="shared" si="0"/>
        <v>37</v>
      </c>
      <c r="H15" s="154">
        <f t="shared" si="1"/>
        <v>14</v>
      </c>
      <c r="I15" s="155">
        <f>E15*$D$7/'T1-T3 old UG cable'!$D$6*H15</f>
        <v>11847.557647058826</v>
      </c>
    </row>
    <row r="16" spans="1:78" x14ac:dyDescent="0.25">
      <c r="A16" s="116"/>
      <c r="B16" s="198">
        <v>1</v>
      </c>
      <c r="C16" s="198" t="s">
        <v>54</v>
      </c>
      <c r="D16" s="191"/>
      <c r="E16" s="303">
        <v>24.97</v>
      </c>
      <c r="F16" s="190">
        <v>31413</v>
      </c>
      <c r="G16" s="193">
        <f t="shared" si="0"/>
        <v>33</v>
      </c>
      <c r="H16" s="154">
        <f t="shared" si="1"/>
        <v>18</v>
      </c>
      <c r="I16" s="155">
        <f>E16*$D$7/'T1-T3 old UG cable'!$D$6*H16</f>
        <v>2749.6376470588234</v>
      </c>
    </row>
    <row r="17" spans="1:10" x14ac:dyDescent="0.25">
      <c r="A17" s="116"/>
      <c r="B17" s="198">
        <v>1</v>
      </c>
      <c r="C17" s="198" t="s">
        <v>54</v>
      </c>
      <c r="D17" s="191"/>
      <c r="E17" s="303">
        <v>34.01</v>
      </c>
      <c r="F17" s="190">
        <v>33239</v>
      </c>
      <c r="G17" s="193">
        <f t="shared" si="0"/>
        <v>28</v>
      </c>
      <c r="H17" s="154">
        <f t="shared" si="1"/>
        <v>23</v>
      </c>
      <c r="I17" s="155">
        <f>E17*$D$7/'T1-T3 old UG cable'!$D$6*H17</f>
        <v>4785.407058823529</v>
      </c>
    </row>
    <row r="18" spans="1:10" x14ac:dyDescent="0.25">
      <c r="A18" s="116"/>
      <c r="B18" s="198">
        <v>1</v>
      </c>
      <c r="C18" s="198" t="s">
        <v>54</v>
      </c>
      <c r="D18" s="191"/>
      <c r="E18" s="303">
        <v>904.45</v>
      </c>
      <c r="F18" s="190">
        <v>36161</v>
      </c>
      <c r="G18" s="193">
        <f t="shared" si="0"/>
        <v>20</v>
      </c>
      <c r="H18" s="154">
        <f t="shared" si="1"/>
        <v>31</v>
      </c>
      <c r="I18" s="155">
        <f>E18*$D$7/'T1-T3 old UG cable'!$D$6*H18</f>
        <v>171526.2823529412</v>
      </c>
    </row>
    <row r="19" spans="1:10" x14ac:dyDescent="0.25">
      <c r="A19" s="116"/>
      <c r="B19" s="198">
        <v>1</v>
      </c>
      <c r="C19" s="198" t="s">
        <v>53</v>
      </c>
      <c r="D19" s="191"/>
      <c r="E19" s="303">
        <v>68.95</v>
      </c>
      <c r="F19" s="190">
        <v>30317</v>
      </c>
      <c r="G19" s="193">
        <f t="shared" si="0"/>
        <v>36</v>
      </c>
      <c r="H19" s="154">
        <f t="shared" si="1"/>
        <v>15</v>
      </c>
      <c r="I19" s="155">
        <f>E19*$D$7/'T1-T3 old UG cable'!$D$6*H19</f>
        <v>6327.1764705882351</v>
      </c>
    </row>
    <row r="20" spans="1:10" x14ac:dyDescent="0.25">
      <c r="A20" s="116"/>
      <c r="B20" s="198">
        <v>1</v>
      </c>
      <c r="C20" s="198" t="s">
        <v>50</v>
      </c>
      <c r="D20" s="191"/>
      <c r="E20" s="303">
        <v>83.66</v>
      </c>
      <c r="F20" s="190">
        <v>28491</v>
      </c>
      <c r="G20" s="193">
        <f t="shared" si="0"/>
        <v>41</v>
      </c>
      <c r="H20" s="154">
        <f t="shared" si="1"/>
        <v>10</v>
      </c>
      <c r="I20" s="155">
        <f>E20*$D$7/'T1-T3 old UG cable'!$D$6*H20</f>
        <v>5118.0235294117647</v>
      </c>
    </row>
    <row r="21" spans="1:10" x14ac:dyDescent="0.25">
      <c r="A21" s="116"/>
      <c r="B21" s="198">
        <v>1</v>
      </c>
      <c r="C21" s="198" t="s">
        <v>52</v>
      </c>
      <c r="D21" s="191"/>
      <c r="E21" s="303">
        <v>76.41</v>
      </c>
      <c r="F21" s="190">
        <v>35796</v>
      </c>
      <c r="G21" s="193">
        <f t="shared" si="0"/>
        <v>21</v>
      </c>
      <c r="H21" s="154">
        <f t="shared" si="1"/>
        <v>30</v>
      </c>
      <c r="I21" s="155">
        <f>E21*$D$7/'T1-T3 old UG cable'!$D$6*H21</f>
        <v>14023.482352941177</v>
      </c>
    </row>
    <row r="22" spans="1:10" x14ac:dyDescent="0.25">
      <c r="A22" s="116"/>
      <c r="B22" s="198">
        <v>2</v>
      </c>
      <c r="C22" s="198" t="s">
        <v>48</v>
      </c>
      <c r="D22" s="191"/>
      <c r="E22" s="303">
        <v>196.84</v>
      </c>
      <c r="F22" s="190">
        <v>25934</v>
      </c>
      <c r="G22" s="193">
        <f t="shared" si="0"/>
        <v>48</v>
      </c>
      <c r="H22" s="154">
        <f t="shared" si="1"/>
        <v>3</v>
      </c>
      <c r="I22" s="155">
        <f>E22*$D$7/'T1-T3 old UG cable'!$D$6*H22</f>
        <v>3612.592941176471</v>
      </c>
    </row>
    <row r="23" spans="1:10" x14ac:dyDescent="0.25">
      <c r="A23" s="116"/>
      <c r="B23" s="198">
        <v>2</v>
      </c>
      <c r="C23" s="198" t="s">
        <v>48</v>
      </c>
      <c r="D23" s="191"/>
      <c r="E23" s="303">
        <v>170.27</v>
      </c>
      <c r="F23" s="190">
        <v>28491</v>
      </c>
      <c r="G23" s="193">
        <f t="shared" si="0"/>
        <v>41</v>
      </c>
      <c r="H23" s="154">
        <f t="shared" si="1"/>
        <v>10</v>
      </c>
      <c r="I23" s="155">
        <f>E23*$D$7/'T1-T3 old UG cable'!$D$6*H23</f>
        <v>10416.517647058825</v>
      </c>
    </row>
    <row r="24" spans="1:10" x14ac:dyDescent="0.25">
      <c r="A24" s="116"/>
      <c r="B24" s="198">
        <v>2</v>
      </c>
      <c r="C24" s="198" t="s">
        <v>48</v>
      </c>
      <c r="D24" s="191"/>
      <c r="E24" s="303">
        <v>95.66</v>
      </c>
      <c r="F24" s="190">
        <v>28856</v>
      </c>
      <c r="G24" s="193">
        <f t="shared" si="0"/>
        <v>40</v>
      </c>
      <c r="H24" s="154">
        <f t="shared" si="1"/>
        <v>11</v>
      </c>
      <c r="I24" s="155">
        <f>E24*$D$7/'T1-T3 old UG cable'!$D$6*H24</f>
        <v>6437.3552941176458</v>
      </c>
    </row>
    <row r="25" spans="1:10" x14ac:dyDescent="0.25">
      <c r="A25" s="116"/>
      <c r="B25" s="198">
        <v>2</v>
      </c>
      <c r="C25" s="198" t="s">
        <v>48</v>
      </c>
      <c r="D25" s="191"/>
      <c r="E25" s="303">
        <v>76</v>
      </c>
      <c r="F25" s="190">
        <v>29221</v>
      </c>
      <c r="G25" s="193">
        <f t="shared" si="0"/>
        <v>39</v>
      </c>
      <c r="H25" s="154">
        <f t="shared" si="1"/>
        <v>12</v>
      </c>
      <c r="I25" s="155">
        <f>E25*$D$7/'T1-T3 old UG cable'!$D$6*H25</f>
        <v>5579.2941176470586</v>
      </c>
    </row>
    <row r="26" spans="1:10" x14ac:dyDescent="0.25">
      <c r="A26" s="116"/>
      <c r="B26" s="198">
        <v>2</v>
      </c>
      <c r="C26" s="198" t="s">
        <v>48</v>
      </c>
      <c r="D26" s="191"/>
      <c r="E26" s="303">
        <v>301.27999999999997</v>
      </c>
      <c r="F26" s="190">
        <v>29587</v>
      </c>
      <c r="G26" s="193">
        <f t="shared" si="0"/>
        <v>38</v>
      </c>
      <c r="H26" s="154">
        <f t="shared" si="1"/>
        <v>13</v>
      </c>
      <c r="I26" s="155">
        <f>E26*$D$7/'T1-T3 old UG cable'!$D$6*H26</f>
        <v>23960.621176470584</v>
      </c>
      <c r="J26" s="152"/>
    </row>
    <row r="27" spans="1:10" x14ac:dyDescent="0.25">
      <c r="A27" s="116"/>
      <c r="B27" s="198">
        <v>2</v>
      </c>
      <c r="C27" s="198" t="s">
        <v>48</v>
      </c>
      <c r="D27" s="191"/>
      <c r="E27" s="303">
        <v>59.63</v>
      </c>
      <c r="F27" s="190">
        <v>29952</v>
      </c>
      <c r="G27" s="193">
        <f t="shared" si="0"/>
        <v>37</v>
      </c>
      <c r="H27" s="154">
        <f t="shared" si="1"/>
        <v>14</v>
      </c>
      <c r="I27" s="155">
        <f>E27*$D$7/'T1-T3 old UG cable'!$D$6*H27</f>
        <v>5107.1341176470587</v>
      </c>
    </row>
    <row r="28" spans="1:10" x14ac:dyDescent="0.25">
      <c r="A28" s="116"/>
      <c r="B28" s="198">
        <v>2</v>
      </c>
      <c r="C28" s="198" t="s">
        <v>48</v>
      </c>
      <c r="D28" s="191"/>
      <c r="E28" s="303">
        <v>67.34</v>
      </c>
      <c r="F28" s="190">
        <v>30317</v>
      </c>
      <c r="G28" s="193">
        <f t="shared" si="0"/>
        <v>36</v>
      </c>
      <c r="H28" s="154">
        <f t="shared" si="1"/>
        <v>15</v>
      </c>
      <c r="I28" s="155">
        <f>E28*$D$7/'T1-T3 old UG cable'!$D$6*H28</f>
        <v>6179.4352941176476</v>
      </c>
    </row>
    <row r="29" spans="1:10" x14ac:dyDescent="0.25">
      <c r="A29" s="116"/>
      <c r="B29" s="198">
        <v>2</v>
      </c>
      <c r="C29" s="198" t="s">
        <v>48</v>
      </c>
      <c r="D29" s="191"/>
      <c r="E29" s="303">
        <v>64.709999999999994</v>
      </c>
      <c r="F29" s="190">
        <v>30682</v>
      </c>
      <c r="G29" s="193">
        <f t="shared" si="0"/>
        <v>35</v>
      </c>
      <c r="H29" s="154">
        <f t="shared" si="1"/>
        <v>16</v>
      </c>
      <c r="I29" s="155">
        <f>E29*$D$7/'T1-T3 old UG cable'!$D$6*H29</f>
        <v>6333.9670588235285</v>
      </c>
    </row>
    <row r="30" spans="1:10" x14ac:dyDescent="0.25">
      <c r="A30" s="116"/>
      <c r="B30" s="198">
        <v>2</v>
      </c>
      <c r="C30" s="198" t="s">
        <v>48</v>
      </c>
      <c r="D30" s="191"/>
      <c r="E30" s="303">
        <v>766.71</v>
      </c>
      <c r="F30" s="190">
        <v>31778</v>
      </c>
      <c r="G30" s="193">
        <f t="shared" si="0"/>
        <v>32</v>
      </c>
      <c r="H30" s="154">
        <f t="shared" si="1"/>
        <v>19</v>
      </c>
      <c r="I30" s="155">
        <f>E30*$D$7/'T1-T3 old UG cable'!$D$6*H30</f>
        <v>89118.762352941179</v>
      </c>
    </row>
    <row r="31" spans="1:10" x14ac:dyDescent="0.25">
      <c r="A31" s="116"/>
      <c r="B31" s="198">
        <v>2</v>
      </c>
      <c r="C31" s="198" t="s">
        <v>48</v>
      </c>
      <c r="D31" s="191"/>
      <c r="E31" s="303">
        <v>360</v>
      </c>
      <c r="F31" s="190">
        <v>32143</v>
      </c>
      <c r="G31" s="193">
        <f t="shared" si="0"/>
        <v>31</v>
      </c>
      <c r="H31" s="154">
        <f t="shared" si="1"/>
        <v>20</v>
      </c>
      <c r="I31" s="155">
        <f>E31*$D$7/'T1-T3 old UG cable'!$D$6*H31</f>
        <v>44047.058823529413</v>
      </c>
    </row>
    <row r="32" spans="1:10" x14ac:dyDescent="0.25">
      <c r="A32" s="116"/>
      <c r="B32" s="198">
        <v>2</v>
      </c>
      <c r="C32" s="198" t="s">
        <v>48</v>
      </c>
      <c r="D32" s="191"/>
      <c r="E32" s="303">
        <v>163.57</v>
      </c>
      <c r="F32" s="190">
        <v>32874</v>
      </c>
      <c r="G32" s="193">
        <f t="shared" si="0"/>
        <v>29</v>
      </c>
      <c r="H32" s="154">
        <f t="shared" si="1"/>
        <v>22</v>
      </c>
      <c r="I32" s="155">
        <f>E32*$D$7/'T1-T3 old UG cable'!$D$6*H32</f>
        <v>22014.597647058821</v>
      </c>
    </row>
    <row r="33" spans="1:9" x14ac:dyDescent="0.25">
      <c r="A33" s="116"/>
      <c r="B33" s="198">
        <v>2</v>
      </c>
      <c r="C33" s="198" t="s">
        <v>48</v>
      </c>
      <c r="D33" s="191"/>
      <c r="E33" s="303">
        <v>75.16</v>
      </c>
      <c r="F33" s="190">
        <v>33604</v>
      </c>
      <c r="G33" s="193">
        <f t="shared" si="0"/>
        <v>27</v>
      </c>
      <c r="H33" s="154">
        <f t="shared" si="1"/>
        <v>24</v>
      </c>
      <c r="I33" s="155">
        <f>E33*$D$7/'T1-T3 old UG cable'!$D$6*H33</f>
        <v>11035.256470588234</v>
      </c>
    </row>
    <row r="34" spans="1:9" x14ac:dyDescent="0.25">
      <c r="A34" s="116"/>
      <c r="B34" s="198">
        <v>2</v>
      </c>
      <c r="C34" s="198" t="s">
        <v>48</v>
      </c>
      <c r="D34" s="191"/>
      <c r="E34" s="303">
        <v>289.89</v>
      </c>
      <c r="F34" s="190">
        <v>35431</v>
      </c>
      <c r="G34" s="193">
        <f t="shared" si="0"/>
        <v>22</v>
      </c>
      <c r="H34" s="154">
        <f t="shared" si="1"/>
        <v>29</v>
      </c>
      <c r="I34" s="155">
        <f>E34*$D$7/'T1-T3 old UG cable'!$D$6*H34</f>
        <v>51429.896470588232</v>
      </c>
    </row>
    <row r="35" spans="1:9" x14ac:dyDescent="0.25">
      <c r="A35" s="116"/>
      <c r="B35" s="198">
        <v>2</v>
      </c>
      <c r="C35" s="198" t="s">
        <v>48</v>
      </c>
      <c r="D35" s="191"/>
      <c r="E35" s="303">
        <v>296.92</v>
      </c>
      <c r="F35" s="190">
        <v>39083</v>
      </c>
      <c r="G35" s="193">
        <f t="shared" si="0"/>
        <v>12</v>
      </c>
      <c r="H35" s="154">
        <f t="shared" si="1"/>
        <v>39</v>
      </c>
      <c r="I35" s="155">
        <f>E35*$D$7/'T1-T3 old UG cable'!$D$6*H35</f>
        <v>70841.618823529425</v>
      </c>
    </row>
    <row r="36" spans="1:9" x14ac:dyDescent="0.25">
      <c r="A36" s="116"/>
      <c r="B36" s="198">
        <v>2</v>
      </c>
      <c r="C36" s="198" t="s">
        <v>48</v>
      </c>
      <c r="D36" s="191"/>
      <c r="E36" s="303">
        <v>222.98</v>
      </c>
      <c r="F36" s="190">
        <v>39814</v>
      </c>
      <c r="G36" s="193">
        <f t="shared" si="0"/>
        <v>10</v>
      </c>
      <c r="H36" s="154">
        <f t="shared" si="1"/>
        <v>41</v>
      </c>
      <c r="I36" s="155">
        <f>E36*$D$7/'T1-T3 old UG cable'!$D$6*H36</f>
        <v>55928.63058823529</v>
      </c>
    </row>
    <row r="37" spans="1:9" x14ac:dyDescent="0.25">
      <c r="A37" s="116"/>
      <c r="B37" s="192">
        <v>3</v>
      </c>
      <c r="C37" s="192" t="s">
        <v>41</v>
      </c>
      <c r="D37" s="191"/>
      <c r="E37" s="303">
        <v>308</v>
      </c>
      <c r="F37" s="190">
        <v>31778.142857142859</v>
      </c>
      <c r="G37" s="193">
        <f t="shared" si="0"/>
        <v>32</v>
      </c>
      <c r="H37" s="154">
        <f t="shared" si="1"/>
        <v>19</v>
      </c>
      <c r="I37" s="155">
        <f>E37*$D$7/'T1-T3 old UG cable'!$D$6*H37</f>
        <v>35800.470588235294</v>
      </c>
    </row>
    <row r="38" spans="1:9" x14ac:dyDescent="0.25">
      <c r="A38" s="116"/>
      <c r="B38" s="192">
        <v>3</v>
      </c>
      <c r="C38" s="192" t="s">
        <v>36</v>
      </c>
      <c r="D38" s="191"/>
      <c r="E38" s="303">
        <v>82</v>
      </c>
      <c r="F38" s="190">
        <v>31778.142857142859</v>
      </c>
      <c r="G38" s="193">
        <f t="shared" si="0"/>
        <v>32</v>
      </c>
      <c r="H38" s="154">
        <f t="shared" si="1"/>
        <v>19</v>
      </c>
      <c r="I38" s="155">
        <f>E38*$D$7/'T1-T3 old UG cable'!$D$6*H38</f>
        <v>9531.2941176470576</v>
      </c>
    </row>
    <row r="39" spans="1:9" x14ac:dyDescent="0.25">
      <c r="A39" s="116"/>
      <c r="B39" s="192">
        <v>3</v>
      </c>
      <c r="C39" s="192" t="s">
        <v>35</v>
      </c>
      <c r="D39" s="191"/>
      <c r="E39" s="303">
        <v>347</v>
      </c>
      <c r="F39" s="190">
        <v>31778.142857142859</v>
      </c>
      <c r="G39" s="193">
        <f t="shared" si="0"/>
        <v>32</v>
      </c>
      <c r="H39" s="154">
        <f t="shared" si="1"/>
        <v>19</v>
      </c>
      <c r="I39" s="155">
        <f>E39*$D$7/'T1-T3 old UG cable'!$D$6*H39</f>
        <v>40333.647058823532</v>
      </c>
    </row>
    <row r="40" spans="1:9" x14ac:dyDescent="0.25">
      <c r="A40" s="116"/>
      <c r="B40" s="192">
        <v>3</v>
      </c>
      <c r="C40" s="192" t="s">
        <v>38</v>
      </c>
      <c r="D40" s="191"/>
      <c r="E40" s="303">
        <v>866</v>
      </c>
      <c r="F40" s="190">
        <v>31778.142857142859</v>
      </c>
      <c r="G40" s="193">
        <f t="shared" si="0"/>
        <v>32</v>
      </c>
      <c r="H40" s="154">
        <f t="shared" si="1"/>
        <v>19</v>
      </c>
      <c r="I40" s="155">
        <f>E40*$D$7/'T1-T3 old UG cable'!$D$6*H40</f>
        <v>100659.76470588235</v>
      </c>
    </row>
    <row r="41" spans="1:9" x14ac:dyDescent="0.25">
      <c r="A41" s="116"/>
      <c r="B41" s="192">
        <v>3</v>
      </c>
      <c r="C41" s="192" t="s">
        <v>39</v>
      </c>
      <c r="D41" s="191"/>
      <c r="E41" s="303">
        <v>655</v>
      </c>
      <c r="F41" s="190">
        <v>31778.142857142859</v>
      </c>
      <c r="G41" s="193">
        <f t="shared" si="0"/>
        <v>32</v>
      </c>
      <c r="H41" s="154">
        <f t="shared" si="1"/>
        <v>19</v>
      </c>
      <c r="I41" s="155">
        <f>E41*$D$7/'T1-T3 old UG cable'!$D$6*H41</f>
        <v>76134.117647058825</v>
      </c>
    </row>
    <row r="42" spans="1:9" x14ac:dyDescent="0.25">
      <c r="A42" s="116"/>
      <c r="B42" s="192">
        <v>3</v>
      </c>
      <c r="C42" s="192" t="s">
        <v>40</v>
      </c>
      <c r="D42" s="191"/>
      <c r="E42" s="303">
        <v>1766</v>
      </c>
      <c r="F42" s="190">
        <v>31778.142857142859</v>
      </c>
      <c r="G42" s="193">
        <f t="shared" si="0"/>
        <v>32</v>
      </c>
      <c r="H42" s="154">
        <f t="shared" si="1"/>
        <v>19</v>
      </c>
      <c r="I42" s="155">
        <f>E42*$D$7/'T1-T3 old UG cable'!$D$6*H42</f>
        <v>205271.5294117647</v>
      </c>
    </row>
    <row r="43" spans="1:9" x14ac:dyDescent="0.25">
      <c r="A43" s="116"/>
      <c r="B43" s="192">
        <v>3</v>
      </c>
      <c r="C43" s="192" t="s">
        <v>37</v>
      </c>
      <c r="D43" s="191"/>
      <c r="E43" s="303">
        <v>3053</v>
      </c>
      <c r="F43" s="190">
        <v>31778.142857142859</v>
      </c>
      <c r="G43" s="193">
        <f t="shared" si="0"/>
        <v>32</v>
      </c>
      <c r="H43" s="154">
        <f t="shared" si="1"/>
        <v>19</v>
      </c>
      <c r="I43" s="155">
        <f>E43*$D$7/'T1-T3 old UG cable'!$D$6*H43</f>
        <v>354866.35294117645</v>
      </c>
    </row>
    <row r="44" spans="1:9" x14ac:dyDescent="0.25">
      <c r="A44" s="116"/>
      <c r="B44" s="192" t="s">
        <v>176</v>
      </c>
      <c r="C44" s="198" t="s">
        <v>56</v>
      </c>
      <c r="D44" s="191"/>
      <c r="E44" s="303">
        <v>63.26</v>
      </c>
      <c r="F44" s="190">
        <v>36892</v>
      </c>
      <c r="G44" s="193">
        <f t="shared" si="0"/>
        <v>18</v>
      </c>
      <c r="H44" s="154">
        <f t="shared" si="1"/>
        <v>33</v>
      </c>
      <c r="I44" s="155">
        <f>E44*$D$7/'T1-T3 old UG cable'!$D$6*H44</f>
        <v>12771.077647058824</v>
      </c>
    </row>
    <row r="45" spans="1:9" x14ac:dyDescent="0.25">
      <c r="A45" s="116"/>
      <c r="B45" s="192" t="s">
        <v>176</v>
      </c>
      <c r="C45" s="192" t="s">
        <v>56</v>
      </c>
      <c r="D45" s="191"/>
      <c r="E45" s="303">
        <v>800</v>
      </c>
      <c r="F45" s="190">
        <v>31048</v>
      </c>
      <c r="G45" s="193">
        <f t="shared" si="0"/>
        <v>34</v>
      </c>
      <c r="H45" s="154">
        <f t="shared" si="1"/>
        <v>17</v>
      </c>
      <c r="I45" s="155">
        <f>E45*$D$7/'T1-T3 old UG cable'!$D$6*H45</f>
        <v>83200</v>
      </c>
    </row>
    <row r="46" spans="1:9" x14ac:dyDescent="0.25">
      <c r="A46" s="116"/>
      <c r="B46" s="192" t="s">
        <v>176</v>
      </c>
      <c r="C46" s="192" t="s">
        <v>57</v>
      </c>
      <c r="D46" s="191"/>
      <c r="E46" s="303">
        <v>3367</v>
      </c>
      <c r="F46" s="190">
        <v>29952</v>
      </c>
      <c r="G46" s="193">
        <f t="shared" si="0"/>
        <v>37</v>
      </c>
      <c r="H46" s="154">
        <f t="shared" si="1"/>
        <v>14</v>
      </c>
      <c r="I46" s="155">
        <f>E46*$D$7/'T1-T3 old UG cable'!$D$6*H46</f>
        <v>288373.64705882355</v>
      </c>
    </row>
    <row r="47" spans="1:9" x14ac:dyDescent="0.25">
      <c r="A47" s="116"/>
      <c r="E47" s="291"/>
      <c r="I47" s="121"/>
    </row>
    <row r="48" spans="1:9" x14ac:dyDescent="0.25">
      <c r="A48" s="116"/>
      <c r="B48" s="120" t="s">
        <v>82</v>
      </c>
      <c r="C48" s="120"/>
      <c r="D48" s="120"/>
      <c r="E48" s="119">
        <f>SUM(E12:E46)</f>
        <v>16289.25</v>
      </c>
      <c r="F48" s="120"/>
      <c r="G48" s="172"/>
      <c r="H48" s="172"/>
      <c r="I48" s="118">
        <f>SUM(I12:I46)</f>
        <v>1871960.7858823529</v>
      </c>
    </row>
    <row r="49" spans="1:7" x14ac:dyDescent="0.25">
      <c r="A49" s="116"/>
      <c r="F49" s="150"/>
    </row>
    <row r="50" spans="1:7" x14ac:dyDescent="0.25">
      <c r="A50" s="116"/>
      <c r="F50" s="150"/>
      <c r="G50" s="150"/>
    </row>
    <row r="51" spans="1:7" x14ac:dyDescent="0.25">
      <c r="A51" s="116"/>
      <c r="F51" s="150"/>
      <c r="G51" s="150"/>
    </row>
    <row r="52" spans="1:7" x14ac:dyDescent="0.25">
      <c r="A52" s="116"/>
      <c r="F52" s="150"/>
      <c r="G52" s="150"/>
    </row>
    <row r="53" spans="1:7" x14ac:dyDescent="0.25">
      <c r="A53" s="116"/>
      <c r="F53" s="150"/>
      <c r="G53" s="150"/>
    </row>
    <row r="54" spans="1:7" x14ac:dyDescent="0.25">
      <c r="A54" s="116"/>
    </row>
    <row r="55" spans="1:7" x14ac:dyDescent="0.25">
      <c r="A55" s="116"/>
    </row>
    <row r="56" spans="1:7" x14ac:dyDescent="0.25">
      <c r="A56" s="116"/>
    </row>
    <row r="57" spans="1:7" x14ac:dyDescent="0.25">
      <c r="A57" s="116"/>
    </row>
    <row r="58" spans="1:7" x14ac:dyDescent="0.25">
      <c r="A58" s="116"/>
    </row>
    <row r="59" spans="1:7" x14ac:dyDescent="0.25">
      <c r="A59" s="116"/>
    </row>
    <row r="60" spans="1:7" x14ac:dyDescent="0.25">
      <c r="A60" s="116"/>
    </row>
    <row r="61" spans="1:7" x14ac:dyDescent="0.25">
      <c r="A61" s="116"/>
    </row>
    <row r="62" spans="1:7" x14ac:dyDescent="0.25">
      <c r="A62" s="116"/>
    </row>
    <row r="63" spans="1:7" x14ac:dyDescent="0.25">
      <c r="A63" s="116"/>
    </row>
    <row r="64" spans="1:7" x14ac:dyDescent="0.25">
      <c r="A64" s="116"/>
    </row>
    <row r="65" spans="1:1" x14ac:dyDescent="0.25">
      <c r="A65" s="116"/>
    </row>
    <row r="66" spans="1:1" x14ac:dyDescent="0.25">
      <c r="A66" s="116"/>
    </row>
    <row r="67" spans="1:1" x14ac:dyDescent="0.25">
      <c r="A67" s="116"/>
    </row>
    <row r="68" spans="1:1" x14ac:dyDescent="0.25">
      <c r="A68" s="116"/>
    </row>
    <row r="69" spans="1:1" x14ac:dyDescent="0.25">
      <c r="A69" s="116"/>
    </row>
    <row r="70" spans="1:1" x14ac:dyDescent="0.25">
      <c r="A70" s="116"/>
    </row>
    <row r="71" spans="1:1" x14ac:dyDescent="0.25">
      <c r="A71" s="116"/>
    </row>
    <row r="72" spans="1:1" x14ac:dyDescent="0.25">
      <c r="A72" s="116"/>
    </row>
    <row r="73" spans="1:1" x14ac:dyDescent="0.25">
      <c r="A73" s="116"/>
    </row>
    <row r="74" spans="1:1" x14ac:dyDescent="0.25">
      <c r="A74" s="116"/>
    </row>
    <row r="75" spans="1:1" x14ac:dyDescent="0.25">
      <c r="A75" s="116"/>
    </row>
    <row r="76" spans="1:1" x14ac:dyDescent="0.25">
      <c r="A76" s="116"/>
    </row>
    <row r="77" spans="1:1" x14ac:dyDescent="0.25">
      <c r="A77" s="116"/>
    </row>
    <row r="78" spans="1:1" x14ac:dyDescent="0.25">
      <c r="A78" s="116"/>
    </row>
    <row r="79" spans="1:1" x14ac:dyDescent="0.25">
      <c r="A79" s="116"/>
    </row>
    <row r="80" spans="1:1" x14ac:dyDescent="0.25">
      <c r="A80" s="116"/>
    </row>
    <row r="81" spans="1:1" x14ac:dyDescent="0.25">
      <c r="A81" s="116"/>
    </row>
    <row r="82" spans="1:1" x14ac:dyDescent="0.25">
      <c r="A82" s="116"/>
    </row>
    <row r="83" spans="1:1" x14ac:dyDescent="0.25">
      <c r="A83" s="116"/>
    </row>
    <row r="84" spans="1:1" x14ac:dyDescent="0.25">
      <c r="A84" s="116"/>
    </row>
    <row r="85" spans="1:1" x14ac:dyDescent="0.25">
      <c r="A85" s="116"/>
    </row>
    <row r="86" spans="1:1" x14ac:dyDescent="0.25">
      <c r="A86" s="116"/>
    </row>
    <row r="87" spans="1:1" x14ac:dyDescent="0.25">
      <c r="A87" s="116"/>
    </row>
    <row r="88" spans="1:1" x14ac:dyDescent="0.25">
      <c r="A88" s="116"/>
    </row>
    <row r="89" spans="1:1" x14ac:dyDescent="0.25">
      <c r="A89" s="116"/>
    </row>
    <row r="90" spans="1:1" x14ac:dyDescent="0.25">
      <c r="A90" s="116"/>
    </row>
    <row r="91" spans="1:1" x14ac:dyDescent="0.25">
      <c r="A91" s="116"/>
    </row>
    <row r="92" spans="1:1" x14ac:dyDescent="0.25">
      <c r="A92" s="116"/>
    </row>
    <row r="93" spans="1:1" x14ac:dyDescent="0.25">
      <c r="A93" s="116"/>
    </row>
    <row r="94" spans="1:1" x14ac:dyDescent="0.25">
      <c r="A94" s="116"/>
    </row>
    <row r="95" spans="1:1" x14ac:dyDescent="0.25">
      <c r="A95" s="116"/>
    </row>
    <row r="96" spans="1:1" x14ac:dyDescent="0.25">
      <c r="A96" s="116"/>
    </row>
    <row r="97" spans="1:1" x14ac:dyDescent="0.25">
      <c r="A97" s="116"/>
    </row>
    <row r="98" spans="1:1" x14ac:dyDescent="0.25">
      <c r="A98" s="116"/>
    </row>
    <row r="99" spans="1:1" x14ac:dyDescent="0.25">
      <c r="A99" s="116"/>
    </row>
    <row r="100" spans="1:1" x14ac:dyDescent="0.25">
      <c r="A100" s="116"/>
    </row>
    <row r="101" spans="1:1" x14ac:dyDescent="0.25">
      <c r="A101" s="116"/>
    </row>
    <row r="102" spans="1:1" x14ac:dyDescent="0.25">
      <c r="A102" s="116"/>
    </row>
    <row r="103" spans="1:1" x14ac:dyDescent="0.25">
      <c r="A103" s="116"/>
    </row>
    <row r="104" spans="1:1" x14ac:dyDescent="0.25">
      <c r="A104" s="116"/>
    </row>
    <row r="105" spans="1:1" x14ac:dyDescent="0.25">
      <c r="A105" s="116"/>
    </row>
    <row r="106" spans="1:1" x14ac:dyDescent="0.25">
      <c r="A106" s="116"/>
    </row>
    <row r="107" spans="1:1" x14ac:dyDescent="0.25">
      <c r="A107" s="116"/>
    </row>
    <row r="108" spans="1:1" x14ac:dyDescent="0.25">
      <c r="A108" s="116"/>
    </row>
    <row r="109" spans="1:1" x14ac:dyDescent="0.25">
      <c r="A109" s="116"/>
    </row>
    <row r="110" spans="1:1" x14ac:dyDescent="0.25">
      <c r="A110" s="116"/>
    </row>
    <row r="111" spans="1:1" x14ac:dyDescent="0.25">
      <c r="A111" s="116"/>
    </row>
    <row r="112" spans="1:1" x14ac:dyDescent="0.25">
      <c r="A112" s="116"/>
    </row>
    <row r="113" spans="1:1" x14ac:dyDescent="0.25">
      <c r="A113" s="116"/>
    </row>
    <row r="114" spans="1:1" x14ac:dyDescent="0.25">
      <c r="A114" s="116"/>
    </row>
    <row r="115" spans="1:1" x14ac:dyDescent="0.25">
      <c r="A115" s="116"/>
    </row>
    <row r="116" spans="1:1" x14ac:dyDescent="0.25">
      <c r="A116" s="116"/>
    </row>
    <row r="117" spans="1:1" x14ac:dyDescent="0.25">
      <c r="A117" s="116"/>
    </row>
    <row r="118" spans="1:1" x14ac:dyDescent="0.25">
      <c r="A118" s="116"/>
    </row>
    <row r="119" spans="1:1" x14ac:dyDescent="0.25">
      <c r="A119" s="116"/>
    </row>
    <row r="120" spans="1:1" x14ac:dyDescent="0.25">
      <c r="A120" s="116"/>
    </row>
    <row r="121" spans="1:1" x14ac:dyDescent="0.25">
      <c r="A121" s="116"/>
    </row>
    <row r="122" spans="1:1" x14ac:dyDescent="0.25">
      <c r="A122" s="116"/>
    </row>
    <row r="123" spans="1:1" x14ac:dyDescent="0.25">
      <c r="A123" s="116"/>
    </row>
    <row r="124" spans="1:1" x14ac:dyDescent="0.25">
      <c r="A124" s="116"/>
    </row>
    <row r="125" spans="1:1" x14ac:dyDescent="0.25">
      <c r="A125" s="116"/>
    </row>
    <row r="126" spans="1:1" x14ac:dyDescent="0.25">
      <c r="A126" s="116"/>
    </row>
    <row r="127" spans="1:1" x14ac:dyDescent="0.25">
      <c r="A127" s="116"/>
    </row>
    <row r="128" spans="1:1" x14ac:dyDescent="0.25">
      <c r="A128" s="116"/>
    </row>
    <row r="129" spans="1:1" x14ac:dyDescent="0.25">
      <c r="A129" s="116"/>
    </row>
    <row r="130" spans="1:1" x14ac:dyDescent="0.25">
      <c r="A130" s="116"/>
    </row>
    <row r="131" spans="1:1" x14ac:dyDescent="0.25">
      <c r="A131" s="116"/>
    </row>
    <row r="132" spans="1:1" x14ac:dyDescent="0.25">
      <c r="A132" s="116"/>
    </row>
    <row r="133" spans="1:1" x14ac:dyDescent="0.25">
      <c r="A133" s="116"/>
    </row>
    <row r="134" spans="1:1" x14ac:dyDescent="0.25">
      <c r="A134" s="116"/>
    </row>
    <row r="135" spans="1:1" x14ac:dyDescent="0.25">
      <c r="A135" s="116"/>
    </row>
    <row r="136" spans="1:1" x14ac:dyDescent="0.25">
      <c r="A136" s="116"/>
    </row>
    <row r="137" spans="1:1" x14ac:dyDescent="0.25">
      <c r="A137" s="116"/>
    </row>
    <row r="138" spans="1:1" x14ac:dyDescent="0.25">
      <c r="A138" s="116"/>
    </row>
    <row r="139" spans="1:1" x14ac:dyDescent="0.25">
      <c r="A139" s="116"/>
    </row>
    <row r="140" spans="1:1" x14ac:dyDescent="0.25">
      <c r="A140" s="116"/>
    </row>
    <row r="141" spans="1:1" x14ac:dyDescent="0.25">
      <c r="A141" s="116"/>
    </row>
    <row r="142" spans="1:1" x14ac:dyDescent="0.25">
      <c r="A142" s="116"/>
    </row>
    <row r="143" spans="1:1" x14ac:dyDescent="0.25">
      <c r="A143" s="116"/>
    </row>
    <row r="144" spans="1:1" x14ac:dyDescent="0.25">
      <c r="A144" s="116"/>
    </row>
    <row r="145" spans="1:1" x14ac:dyDescent="0.25">
      <c r="A145" s="116"/>
    </row>
    <row r="146" spans="1:1" x14ac:dyDescent="0.25">
      <c r="A146" s="116"/>
    </row>
    <row r="147" spans="1:1" x14ac:dyDescent="0.25">
      <c r="A147" s="116"/>
    </row>
    <row r="148" spans="1:1" x14ac:dyDescent="0.25">
      <c r="A148" s="116"/>
    </row>
    <row r="149" spans="1:1" x14ac:dyDescent="0.25">
      <c r="A149" s="116"/>
    </row>
    <row r="150" spans="1:1" x14ac:dyDescent="0.25">
      <c r="A150" s="116"/>
    </row>
    <row r="151" spans="1:1" x14ac:dyDescent="0.25">
      <c r="A151" s="116"/>
    </row>
    <row r="152" spans="1:1" x14ac:dyDescent="0.25">
      <c r="A152" s="116"/>
    </row>
    <row r="153" spans="1:1" x14ac:dyDescent="0.25">
      <c r="A153" s="116"/>
    </row>
    <row r="154" spans="1:1" x14ac:dyDescent="0.25">
      <c r="A154" s="116"/>
    </row>
    <row r="155" spans="1:1" x14ac:dyDescent="0.25">
      <c r="A155" s="116"/>
    </row>
    <row r="156" spans="1:1" x14ac:dyDescent="0.25">
      <c r="A156" s="116"/>
    </row>
    <row r="157" spans="1:1" x14ac:dyDescent="0.25">
      <c r="A157" s="116"/>
    </row>
    <row r="158" spans="1:1" x14ac:dyDescent="0.25">
      <c r="A158" s="116"/>
    </row>
    <row r="159" spans="1:1" x14ac:dyDescent="0.25">
      <c r="A159" s="116"/>
    </row>
    <row r="160" spans="1:1" x14ac:dyDescent="0.25">
      <c r="A160" s="116"/>
    </row>
    <row r="161" spans="1:1" x14ac:dyDescent="0.25">
      <c r="A161" s="116"/>
    </row>
    <row r="162" spans="1:1" x14ac:dyDescent="0.25">
      <c r="A162" s="116"/>
    </row>
    <row r="163" spans="1:1" x14ac:dyDescent="0.25">
      <c r="A163" s="116"/>
    </row>
    <row r="164" spans="1:1" x14ac:dyDescent="0.25">
      <c r="A164" s="116"/>
    </row>
    <row r="165" spans="1:1" x14ac:dyDescent="0.25">
      <c r="A165" s="116"/>
    </row>
    <row r="166" spans="1:1" x14ac:dyDescent="0.25">
      <c r="A166" s="116"/>
    </row>
    <row r="167" spans="1:1" x14ac:dyDescent="0.25">
      <c r="A167" s="116"/>
    </row>
    <row r="168" spans="1:1" x14ac:dyDescent="0.25">
      <c r="A168" s="116"/>
    </row>
    <row r="169" spans="1:1" x14ac:dyDescent="0.25">
      <c r="A169" s="116"/>
    </row>
    <row r="170" spans="1:1" x14ac:dyDescent="0.25">
      <c r="A170" s="116"/>
    </row>
    <row r="171" spans="1:1" x14ac:dyDescent="0.25">
      <c r="A171" s="116"/>
    </row>
    <row r="172" spans="1:1" x14ac:dyDescent="0.25">
      <c r="A172" s="116"/>
    </row>
    <row r="173" spans="1:1" x14ac:dyDescent="0.25">
      <c r="A173" s="116"/>
    </row>
    <row r="174" spans="1:1" x14ac:dyDescent="0.25">
      <c r="A174" s="116"/>
    </row>
    <row r="175" spans="1:1" x14ac:dyDescent="0.25">
      <c r="A175" s="116"/>
    </row>
    <row r="176" spans="1:1" x14ac:dyDescent="0.25">
      <c r="A176" s="116"/>
    </row>
    <row r="177" spans="1:1" x14ac:dyDescent="0.25">
      <c r="A177" s="116"/>
    </row>
    <row r="178" spans="1:1" x14ac:dyDescent="0.25">
      <c r="A178" s="116"/>
    </row>
    <row r="179" spans="1:1" x14ac:dyDescent="0.25">
      <c r="A179" s="116"/>
    </row>
    <row r="180" spans="1:1" x14ac:dyDescent="0.25">
      <c r="A180" s="116"/>
    </row>
    <row r="181" spans="1:1" x14ac:dyDescent="0.25">
      <c r="A181" s="116"/>
    </row>
    <row r="182" spans="1:1" x14ac:dyDescent="0.25">
      <c r="A182" s="116"/>
    </row>
    <row r="183" spans="1:1" x14ac:dyDescent="0.25">
      <c r="A183" s="116"/>
    </row>
    <row r="184" spans="1:1" x14ac:dyDescent="0.25">
      <c r="A184" s="116"/>
    </row>
    <row r="185" spans="1:1" x14ac:dyDescent="0.25">
      <c r="A185" s="116"/>
    </row>
    <row r="186" spans="1:1" x14ac:dyDescent="0.25">
      <c r="A186" s="116"/>
    </row>
    <row r="187" spans="1:1" x14ac:dyDescent="0.25">
      <c r="A187" s="116"/>
    </row>
    <row r="188" spans="1:1" x14ac:dyDescent="0.25">
      <c r="A188" s="116"/>
    </row>
    <row r="189" spans="1:1" x14ac:dyDescent="0.25">
      <c r="A189" s="116"/>
    </row>
    <row r="190" spans="1:1" x14ac:dyDescent="0.25">
      <c r="A190" s="116"/>
    </row>
    <row r="191" spans="1:1" x14ac:dyDescent="0.25">
      <c r="A191" s="116"/>
    </row>
    <row r="192" spans="1:1" x14ac:dyDescent="0.25">
      <c r="A192" s="116"/>
    </row>
    <row r="193" spans="1:1" x14ac:dyDescent="0.25">
      <c r="A193" s="116"/>
    </row>
    <row r="194" spans="1:1" x14ac:dyDescent="0.25">
      <c r="A194" s="116"/>
    </row>
    <row r="195" spans="1:1" x14ac:dyDescent="0.25">
      <c r="A195" s="116"/>
    </row>
    <row r="196" spans="1:1" x14ac:dyDescent="0.25">
      <c r="A196" s="116"/>
    </row>
    <row r="197" spans="1:1" x14ac:dyDescent="0.25">
      <c r="A197" s="116"/>
    </row>
    <row r="198" spans="1:1" x14ac:dyDescent="0.25">
      <c r="A198" s="116"/>
    </row>
    <row r="199" spans="1:1" x14ac:dyDescent="0.25">
      <c r="A199" s="116"/>
    </row>
    <row r="200" spans="1:1" x14ac:dyDescent="0.25">
      <c r="A200" s="116"/>
    </row>
    <row r="201" spans="1:1" x14ac:dyDescent="0.25">
      <c r="A201" s="116"/>
    </row>
    <row r="202" spans="1:1" x14ac:dyDescent="0.25">
      <c r="A202" s="116"/>
    </row>
    <row r="203" spans="1:1" x14ac:dyDescent="0.25">
      <c r="A203" s="116"/>
    </row>
    <row r="204" spans="1:1" x14ac:dyDescent="0.25">
      <c r="A204" s="116"/>
    </row>
    <row r="205" spans="1:1" x14ac:dyDescent="0.25">
      <c r="A205" s="116"/>
    </row>
    <row r="206" spans="1:1" x14ac:dyDescent="0.25">
      <c r="A206" s="116"/>
    </row>
    <row r="207" spans="1:1" x14ac:dyDescent="0.25">
      <c r="A207" s="116"/>
    </row>
    <row r="208" spans="1:1" x14ac:dyDescent="0.25">
      <c r="A208" s="116"/>
    </row>
    <row r="209" spans="1:1" x14ac:dyDescent="0.25">
      <c r="A209" s="116"/>
    </row>
    <row r="210" spans="1:1" x14ac:dyDescent="0.25">
      <c r="A210" s="116"/>
    </row>
    <row r="211" spans="1:1" x14ac:dyDescent="0.25">
      <c r="A211" s="116"/>
    </row>
    <row r="212" spans="1:1" x14ac:dyDescent="0.25">
      <c r="A212" s="116"/>
    </row>
    <row r="213" spans="1:1" x14ac:dyDescent="0.25">
      <c r="A213" s="116"/>
    </row>
    <row r="214" spans="1:1" x14ac:dyDescent="0.25">
      <c r="A214" s="116"/>
    </row>
    <row r="215" spans="1:1" x14ac:dyDescent="0.25">
      <c r="A215" s="116"/>
    </row>
    <row r="216" spans="1:1" x14ac:dyDescent="0.25">
      <c r="A216" s="116"/>
    </row>
    <row r="217" spans="1:1" x14ac:dyDescent="0.25">
      <c r="A217" s="116"/>
    </row>
    <row r="218" spans="1:1" x14ac:dyDescent="0.25">
      <c r="A218" s="116"/>
    </row>
    <row r="219" spans="1:1" x14ac:dyDescent="0.25">
      <c r="A219" s="116"/>
    </row>
    <row r="220" spans="1:1" x14ac:dyDescent="0.25">
      <c r="A220" s="116"/>
    </row>
    <row r="221" spans="1:1" x14ac:dyDescent="0.25">
      <c r="A221" s="116"/>
    </row>
    <row r="222" spans="1:1" x14ac:dyDescent="0.25">
      <c r="A222" s="116"/>
    </row>
    <row r="223" spans="1:1" x14ac:dyDescent="0.25">
      <c r="A223" s="116"/>
    </row>
    <row r="224" spans="1:1" x14ac:dyDescent="0.25">
      <c r="A224" s="116"/>
    </row>
    <row r="225" spans="1:1" x14ac:dyDescent="0.25">
      <c r="A225" s="116"/>
    </row>
    <row r="226" spans="1:1" x14ac:dyDescent="0.25">
      <c r="A226" s="116"/>
    </row>
    <row r="227" spans="1:1" x14ac:dyDescent="0.25">
      <c r="A227" s="116"/>
    </row>
    <row r="228" spans="1:1" x14ac:dyDescent="0.25">
      <c r="A228" s="116"/>
    </row>
    <row r="229" spans="1:1" x14ac:dyDescent="0.25">
      <c r="A229" s="116"/>
    </row>
    <row r="230" spans="1:1" x14ac:dyDescent="0.25">
      <c r="A230" s="116"/>
    </row>
    <row r="231" spans="1:1" x14ac:dyDescent="0.25">
      <c r="A231" s="116"/>
    </row>
    <row r="232" spans="1:1" x14ac:dyDescent="0.25">
      <c r="A232" s="116"/>
    </row>
    <row r="233" spans="1:1" x14ac:dyDescent="0.25">
      <c r="A233" s="116"/>
    </row>
    <row r="234" spans="1:1" x14ac:dyDescent="0.25">
      <c r="A234" s="116"/>
    </row>
    <row r="235" spans="1:1" x14ac:dyDescent="0.25">
      <c r="A235" s="116"/>
    </row>
    <row r="236" spans="1:1" x14ac:dyDescent="0.25">
      <c r="A236" s="116"/>
    </row>
    <row r="237" spans="1:1" x14ac:dyDescent="0.25">
      <c r="A237" s="116"/>
    </row>
    <row r="238" spans="1:1" x14ac:dyDescent="0.25">
      <c r="A238" s="116"/>
    </row>
    <row r="239" spans="1:1" x14ac:dyDescent="0.25">
      <c r="A239" s="116"/>
    </row>
    <row r="240" spans="1:1" x14ac:dyDescent="0.25">
      <c r="A240" s="116"/>
    </row>
    <row r="241" spans="1:1" x14ac:dyDescent="0.25">
      <c r="A241" s="116"/>
    </row>
    <row r="242" spans="1:1" x14ac:dyDescent="0.25">
      <c r="A242" s="116"/>
    </row>
    <row r="243" spans="1:1" x14ac:dyDescent="0.25">
      <c r="A243" s="116"/>
    </row>
    <row r="244" spans="1:1" x14ac:dyDescent="0.25">
      <c r="A244" s="116"/>
    </row>
    <row r="245" spans="1:1" x14ac:dyDescent="0.25">
      <c r="A245" s="116"/>
    </row>
    <row r="246" spans="1:1" x14ac:dyDescent="0.25">
      <c r="A246" s="116"/>
    </row>
    <row r="247" spans="1:1" x14ac:dyDescent="0.25">
      <c r="A247" s="116"/>
    </row>
    <row r="248" spans="1:1" x14ac:dyDescent="0.25">
      <c r="A248" s="116"/>
    </row>
    <row r="249" spans="1:1" x14ac:dyDescent="0.25">
      <c r="A249" s="116"/>
    </row>
    <row r="250" spans="1:1" x14ac:dyDescent="0.25">
      <c r="A250" s="116"/>
    </row>
    <row r="251" spans="1:1" x14ac:dyDescent="0.25">
      <c r="A251" s="116"/>
    </row>
    <row r="252" spans="1:1" x14ac:dyDescent="0.25">
      <c r="A252" s="116"/>
    </row>
    <row r="253" spans="1:1" x14ac:dyDescent="0.25">
      <c r="A253" s="116"/>
    </row>
    <row r="254" spans="1:1" x14ac:dyDescent="0.25">
      <c r="A254" s="116"/>
    </row>
    <row r="255" spans="1:1" x14ac:dyDescent="0.25">
      <c r="A255" s="116"/>
    </row>
    <row r="256" spans="1:1" x14ac:dyDescent="0.25">
      <c r="A256" s="116"/>
    </row>
    <row r="257" spans="1:1" x14ac:dyDescent="0.25">
      <c r="A257" s="116"/>
    </row>
    <row r="258" spans="1:1" x14ac:dyDescent="0.25">
      <c r="A258" s="116"/>
    </row>
    <row r="259" spans="1:1" x14ac:dyDescent="0.25">
      <c r="A259" s="116"/>
    </row>
    <row r="260" spans="1:1" x14ac:dyDescent="0.25">
      <c r="A260" s="116"/>
    </row>
    <row r="261" spans="1:1" x14ac:dyDescent="0.25">
      <c r="A261" s="116"/>
    </row>
    <row r="262" spans="1:1" x14ac:dyDescent="0.25">
      <c r="A262" s="116"/>
    </row>
    <row r="263" spans="1:1" x14ac:dyDescent="0.25">
      <c r="A263" s="116"/>
    </row>
    <row r="264" spans="1:1" x14ac:dyDescent="0.25">
      <c r="A264" s="116"/>
    </row>
    <row r="265" spans="1:1" x14ac:dyDescent="0.25">
      <c r="A265" s="116"/>
    </row>
    <row r="266" spans="1:1" x14ac:dyDescent="0.25">
      <c r="A266" s="116"/>
    </row>
    <row r="267" spans="1:1" x14ac:dyDescent="0.25">
      <c r="A267" s="116"/>
    </row>
    <row r="268" spans="1:1" x14ac:dyDescent="0.25">
      <c r="A268" s="116"/>
    </row>
    <row r="269" spans="1:1" x14ac:dyDescent="0.25">
      <c r="A269" s="116"/>
    </row>
    <row r="270" spans="1:1" x14ac:dyDescent="0.25">
      <c r="A270" s="116"/>
    </row>
    <row r="271" spans="1:1" x14ac:dyDescent="0.25">
      <c r="A271" s="116"/>
    </row>
    <row r="272" spans="1:1" x14ac:dyDescent="0.25">
      <c r="A272" s="116"/>
    </row>
    <row r="273" spans="1:1" x14ac:dyDescent="0.25">
      <c r="A273" s="116"/>
    </row>
    <row r="274" spans="1:1" x14ac:dyDescent="0.25">
      <c r="A274" s="116"/>
    </row>
    <row r="275" spans="1:1" x14ac:dyDescent="0.25">
      <c r="A275" s="116"/>
    </row>
    <row r="276" spans="1:1" x14ac:dyDescent="0.25">
      <c r="A276" s="116"/>
    </row>
    <row r="277" spans="1:1" x14ac:dyDescent="0.25">
      <c r="A277" s="116"/>
    </row>
    <row r="278" spans="1:1" x14ac:dyDescent="0.25">
      <c r="A278" s="116"/>
    </row>
    <row r="279" spans="1:1" x14ac:dyDescent="0.25">
      <c r="A279" s="116"/>
    </row>
    <row r="280" spans="1:1" x14ac:dyDescent="0.25">
      <c r="A280" s="116"/>
    </row>
    <row r="281" spans="1:1" x14ac:dyDescent="0.25">
      <c r="A281" s="116"/>
    </row>
    <row r="282" spans="1:1" x14ac:dyDescent="0.25">
      <c r="A282" s="116"/>
    </row>
    <row r="283" spans="1:1" x14ac:dyDescent="0.25">
      <c r="A283" s="116"/>
    </row>
    <row r="284" spans="1:1" x14ac:dyDescent="0.25">
      <c r="A284" s="116"/>
    </row>
    <row r="285" spans="1:1" x14ac:dyDescent="0.25">
      <c r="A285" s="116"/>
    </row>
    <row r="286" spans="1:1" x14ac:dyDescent="0.25">
      <c r="A286" s="116"/>
    </row>
    <row r="287" spans="1:1" x14ac:dyDescent="0.25">
      <c r="A287" s="116"/>
    </row>
    <row r="288" spans="1:1" x14ac:dyDescent="0.25">
      <c r="A288" s="116"/>
    </row>
    <row r="289" spans="1:1" x14ac:dyDescent="0.25">
      <c r="A289" s="116"/>
    </row>
    <row r="290" spans="1:1" x14ac:dyDescent="0.25">
      <c r="A290" s="116"/>
    </row>
    <row r="291" spans="1:1" x14ac:dyDescent="0.25">
      <c r="A291" s="116"/>
    </row>
    <row r="292" spans="1:1" x14ac:dyDescent="0.25">
      <c r="A292" s="116"/>
    </row>
    <row r="293" spans="1:1" x14ac:dyDescent="0.25">
      <c r="A293" s="116"/>
    </row>
    <row r="294" spans="1:1" x14ac:dyDescent="0.25">
      <c r="A294" s="116"/>
    </row>
    <row r="295" spans="1:1" x14ac:dyDescent="0.25">
      <c r="A295" s="116"/>
    </row>
  </sheetData>
  <autoFilter ref="B11:I11" xr:uid="{00000000-0009-0000-0000-00000C000000}">
    <sortState xmlns:xlrd2="http://schemas.microsoft.com/office/spreadsheetml/2017/richdata2" ref="B12:I46">
      <sortCondition ref="B11"/>
    </sortState>
  </autoFilter>
  <pageMargins left="0.70866141732283472" right="0.51181102362204722" top="0.55118110236220474" bottom="0.55118110236220474" header="0.31496062992125984" footer="0.31496062992125984"/>
  <pageSetup paperSize="9" scale="8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112A3-41A8-4DDD-ADC4-07D68C263B29}">
  <sheetPr codeName="Sheet10">
    <pageSetUpPr fitToPage="1"/>
  </sheetPr>
  <dimension ref="A1:BZ297"/>
  <sheetViews>
    <sheetView showGridLines="0" zoomScale="80" zoomScaleNormal="80" workbookViewId="0">
      <selection activeCell="H41" sqref="H41"/>
    </sheetView>
  </sheetViews>
  <sheetFormatPr defaultColWidth="8" defaultRowHeight="15" x14ac:dyDescent="0.25"/>
  <cols>
    <col min="1" max="1" width="2.375" style="115" customWidth="1"/>
    <col min="2" max="2" width="21.25" style="114" customWidth="1"/>
    <col min="3" max="3" width="17.625" style="114" customWidth="1"/>
    <col min="4" max="4" width="18.25" style="114" customWidth="1"/>
    <col min="5" max="5" width="18.375" style="114" customWidth="1"/>
    <col min="6" max="9" width="21.25" style="114" customWidth="1"/>
    <col min="10" max="10" width="8" style="114"/>
    <col min="11" max="12" width="14.375" style="114" customWidth="1"/>
    <col min="13" max="42" width="8.5" style="114" customWidth="1"/>
    <col min="43" max="43" width="2.25" style="114" customWidth="1"/>
    <col min="44" max="16384" width="8" style="114"/>
  </cols>
  <sheetData>
    <row r="1" spans="1:78" s="1" customFormat="1" ht="18.75" x14ac:dyDescent="0.3">
      <c r="A1" s="249" t="str">
        <f>'T3 Distribution_Depn'!A1</f>
        <v>Powercor REFCLs</v>
      </c>
      <c r="B1" s="249"/>
      <c r="C1" s="249"/>
      <c r="D1" s="249"/>
      <c r="E1" s="249"/>
      <c r="F1" s="249"/>
      <c r="G1" s="250"/>
      <c r="H1" s="250"/>
      <c r="I1" s="250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4"/>
      <c r="BS1" s="114"/>
      <c r="BT1" s="114"/>
      <c r="BU1" s="114"/>
      <c r="BV1" s="114"/>
      <c r="BW1" s="114"/>
      <c r="BX1" s="114"/>
      <c r="BY1" s="114"/>
      <c r="BZ1" s="114"/>
    </row>
    <row r="2" spans="1:78" s="1" customFormat="1" ht="15.75" x14ac:dyDescent="0.25">
      <c r="A2" s="252" t="s">
        <v>205</v>
      </c>
      <c r="B2" s="252"/>
      <c r="C2" s="252"/>
      <c r="D2" s="252"/>
      <c r="E2" s="252"/>
      <c r="F2" s="252"/>
      <c r="G2" s="253"/>
      <c r="H2" s="253"/>
      <c r="I2" s="253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4"/>
      <c r="BP2" s="114"/>
      <c r="BQ2" s="114"/>
      <c r="BR2" s="114"/>
      <c r="BS2" s="114"/>
      <c r="BT2" s="114"/>
      <c r="BU2" s="114"/>
      <c r="BV2" s="114"/>
      <c r="BW2" s="114"/>
      <c r="BX2" s="114"/>
      <c r="BY2" s="114"/>
      <c r="BZ2" s="114"/>
    </row>
    <row r="3" spans="1:78" s="300" customFormat="1" ht="18.75" x14ac:dyDescent="0.3">
      <c r="A3" s="297"/>
      <c r="B3" s="298"/>
      <c r="C3" s="298"/>
      <c r="D3" s="299"/>
      <c r="E3" s="299"/>
      <c r="F3" s="299"/>
      <c r="G3" s="299"/>
      <c r="H3" s="299"/>
      <c r="I3" s="299"/>
      <c r="J3" s="299"/>
      <c r="K3" s="299"/>
      <c r="L3" s="299"/>
      <c r="V3" s="123"/>
      <c r="W3" s="301"/>
      <c r="X3" s="302"/>
      <c r="Y3" s="123"/>
      <c r="Z3" s="123"/>
      <c r="AA3" s="123"/>
      <c r="AB3" s="123"/>
      <c r="AC3" s="123"/>
      <c r="AD3" s="123"/>
      <c r="AE3" s="123"/>
      <c r="AF3" s="123"/>
    </row>
    <row r="4" spans="1:78" x14ac:dyDescent="0.25">
      <c r="A4" s="116"/>
      <c r="E4" s="187"/>
      <c r="F4" s="187"/>
      <c r="G4" s="187"/>
      <c r="H4" s="187"/>
      <c r="I4" s="187"/>
      <c r="K4" s="54"/>
      <c r="L4" s="54"/>
    </row>
    <row r="5" spans="1:78" x14ac:dyDescent="0.25">
      <c r="A5" s="116"/>
      <c r="B5" s="145" t="s">
        <v>112</v>
      </c>
      <c r="D5" s="169">
        <v>2019</v>
      </c>
      <c r="E5" s="187"/>
      <c r="F5" s="186"/>
      <c r="G5" s="186"/>
      <c r="H5" s="186"/>
      <c r="I5" s="186"/>
      <c r="K5" s="54"/>
      <c r="L5" s="54"/>
    </row>
    <row r="6" spans="1:78" x14ac:dyDescent="0.25">
      <c r="A6" s="116"/>
      <c r="B6" s="114" t="s">
        <v>96</v>
      </c>
      <c r="D6" s="143">
        <v>51</v>
      </c>
      <c r="E6" s="185"/>
      <c r="F6" s="184"/>
      <c r="G6" s="183"/>
      <c r="H6" s="183"/>
      <c r="I6" s="184"/>
      <c r="K6" s="54"/>
      <c r="L6" s="54"/>
    </row>
    <row r="7" spans="1:78" x14ac:dyDescent="0.25">
      <c r="A7" s="116"/>
      <c r="B7" s="145" t="s">
        <v>116</v>
      </c>
      <c r="C7" s="145"/>
      <c r="D7" s="166">
        <f>REFCL_Data!H13</f>
        <v>58154.362410924339</v>
      </c>
      <c r="E7" s="185"/>
      <c r="F7" s="184"/>
      <c r="G7" s="183"/>
      <c r="H7" s="183"/>
      <c r="I7" s="184"/>
      <c r="K7" s="54"/>
      <c r="L7" s="54"/>
    </row>
    <row r="8" spans="1:78" x14ac:dyDescent="0.25">
      <c r="A8" s="116"/>
      <c r="B8" s="145"/>
      <c r="C8" s="145"/>
      <c r="D8" s="117"/>
      <c r="E8" s="185"/>
      <c r="F8" s="184"/>
      <c r="G8" s="183"/>
      <c r="H8" s="183"/>
      <c r="I8" s="182"/>
      <c r="K8" s="54"/>
      <c r="L8" s="54"/>
    </row>
    <row r="9" spans="1:78" x14ac:dyDescent="0.25">
      <c r="A9" s="116"/>
      <c r="B9" s="145"/>
      <c r="C9" s="145"/>
      <c r="D9" s="117"/>
      <c r="E9" s="185"/>
      <c r="F9" s="184"/>
      <c r="G9" s="183"/>
      <c r="H9" s="183"/>
      <c r="I9" s="182"/>
      <c r="K9" s="54"/>
      <c r="L9" s="54"/>
    </row>
    <row r="10" spans="1:78" x14ac:dyDescent="0.25">
      <c r="A10" s="116"/>
      <c r="K10" s="54"/>
      <c r="L10" s="54"/>
    </row>
    <row r="11" spans="1:78" x14ac:dyDescent="0.25">
      <c r="A11" s="116"/>
      <c r="B11" s="162" t="s">
        <v>204</v>
      </c>
      <c r="C11" s="162"/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181"/>
      <c r="V11" s="181"/>
      <c r="W11" s="181"/>
      <c r="X11" s="181"/>
      <c r="Y11" s="181"/>
      <c r="Z11" s="181"/>
      <c r="AA11" s="181"/>
      <c r="AB11" s="181"/>
      <c r="AC11" s="181"/>
      <c r="AD11" s="181"/>
      <c r="AE11" s="181"/>
      <c r="AF11" s="181"/>
      <c r="AG11" s="181"/>
      <c r="AH11" s="181"/>
      <c r="AI11" s="181"/>
      <c r="AJ11" s="181"/>
      <c r="AK11" s="181"/>
      <c r="AL11" s="181"/>
      <c r="AM11" s="181"/>
      <c r="AN11" s="181"/>
      <c r="AO11" s="181"/>
      <c r="AP11" s="180"/>
      <c r="AQ11" s="179"/>
      <c r="AR11" s="179"/>
    </row>
    <row r="12" spans="1:78" x14ac:dyDescent="0.25">
      <c r="A12" s="116"/>
      <c r="B12" s="178" t="s">
        <v>115</v>
      </c>
      <c r="C12" s="178" t="s">
        <v>26</v>
      </c>
      <c r="D12" s="177" t="s">
        <v>114</v>
      </c>
      <c r="E12" s="177" t="s">
        <v>100</v>
      </c>
    </row>
    <row r="13" spans="1:78" ht="15" customHeight="1" x14ac:dyDescent="0.25">
      <c r="A13" s="116"/>
      <c r="B13" s="176">
        <v>1985</v>
      </c>
      <c r="C13" s="176">
        <v>2</v>
      </c>
      <c r="D13" s="175">
        <f t="shared" ref="D13:D47" si="0">($D$6-($D$5-B13))</f>
        <v>17</v>
      </c>
      <c r="E13" s="174">
        <f t="shared" ref="E13:E47" si="1">D13*$D$7/$D$6*C13</f>
        <v>38769.574940616229</v>
      </c>
      <c r="L13" s="155"/>
    </row>
    <row r="14" spans="1:78" ht="15" customHeight="1" x14ac:dyDescent="0.25">
      <c r="A14" s="116"/>
      <c r="B14" s="176">
        <v>1986</v>
      </c>
      <c r="C14" s="176">
        <v>0</v>
      </c>
      <c r="D14" s="175">
        <f t="shared" si="0"/>
        <v>18</v>
      </c>
      <c r="E14" s="174">
        <f t="shared" si="1"/>
        <v>0</v>
      </c>
      <c r="J14" s="173"/>
      <c r="L14" s="155"/>
    </row>
    <row r="15" spans="1:78" ht="15" customHeight="1" x14ac:dyDescent="0.25">
      <c r="A15" s="116"/>
      <c r="B15" s="176">
        <v>1987</v>
      </c>
      <c r="C15" s="176">
        <v>1</v>
      </c>
      <c r="D15" s="175">
        <f t="shared" si="0"/>
        <v>19</v>
      </c>
      <c r="E15" s="174">
        <f t="shared" si="1"/>
        <v>21665.350702109066</v>
      </c>
      <c r="J15" s="173"/>
      <c r="L15" s="155"/>
    </row>
    <row r="16" spans="1:78" ht="15" customHeight="1" x14ac:dyDescent="0.25">
      <c r="A16" s="116"/>
      <c r="B16" s="176">
        <v>1988</v>
      </c>
      <c r="C16" s="176">
        <v>0</v>
      </c>
      <c r="D16" s="175">
        <f t="shared" si="0"/>
        <v>20</v>
      </c>
      <c r="E16" s="174">
        <f t="shared" si="1"/>
        <v>0</v>
      </c>
      <c r="J16" s="173"/>
      <c r="L16" s="155"/>
    </row>
    <row r="17" spans="1:12" ht="15" customHeight="1" x14ac:dyDescent="0.25">
      <c r="A17" s="116"/>
      <c r="B17" s="176">
        <v>1989</v>
      </c>
      <c r="C17" s="176">
        <v>0</v>
      </c>
      <c r="D17" s="175">
        <f t="shared" si="0"/>
        <v>21</v>
      </c>
      <c r="E17" s="174">
        <f t="shared" si="1"/>
        <v>0</v>
      </c>
      <c r="J17" s="173"/>
      <c r="L17" s="155"/>
    </row>
    <row r="18" spans="1:12" ht="15" customHeight="1" x14ac:dyDescent="0.25">
      <c r="A18" s="116"/>
      <c r="B18" s="176">
        <v>1990</v>
      </c>
      <c r="C18" s="176">
        <v>1</v>
      </c>
      <c r="D18" s="175">
        <f t="shared" si="0"/>
        <v>22</v>
      </c>
      <c r="E18" s="174">
        <f t="shared" si="1"/>
        <v>25086.195549810498</v>
      </c>
      <c r="J18" s="173"/>
      <c r="L18" s="155"/>
    </row>
    <row r="19" spans="1:12" ht="15" customHeight="1" x14ac:dyDescent="0.25">
      <c r="A19" s="116"/>
      <c r="B19" s="176">
        <v>1991</v>
      </c>
      <c r="C19" s="176">
        <v>0</v>
      </c>
      <c r="D19" s="175">
        <f t="shared" si="0"/>
        <v>23</v>
      </c>
      <c r="E19" s="174">
        <f t="shared" si="1"/>
        <v>0</v>
      </c>
      <c r="J19" s="173"/>
      <c r="L19" s="155"/>
    </row>
    <row r="20" spans="1:12" ht="15" customHeight="1" x14ac:dyDescent="0.25">
      <c r="A20" s="116"/>
      <c r="B20" s="176">
        <v>1992</v>
      </c>
      <c r="C20" s="176">
        <v>2</v>
      </c>
      <c r="D20" s="175">
        <f t="shared" si="0"/>
        <v>24</v>
      </c>
      <c r="E20" s="174">
        <f t="shared" si="1"/>
        <v>54733.517563222907</v>
      </c>
      <c r="J20" s="173"/>
      <c r="L20" s="155"/>
    </row>
    <row r="21" spans="1:12" ht="15" customHeight="1" x14ac:dyDescent="0.25">
      <c r="A21" s="116"/>
      <c r="B21" s="176">
        <v>1993</v>
      </c>
      <c r="C21" s="176">
        <v>1</v>
      </c>
      <c r="D21" s="175">
        <f t="shared" si="0"/>
        <v>25</v>
      </c>
      <c r="E21" s="174">
        <f t="shared" si="1"/>
        <v>28507.040397511933</v>
      </c>
      <c r="J21" s="173"/>
      <c r="L21" s="155"/>
    </row>
    <row r="22" spans="1:12" ht="15" customHeight="1" x14ac:dyDescent="0.25">
      <c r="A22" s="116"/>
      <c r="B22" s="176">
        <v>1994</v>
      </c>
      <c r="C22" s="176">
        <v>0</v>
      </c>
      <c r="D22" s="175">
        <f t="shared" si="0"/>
        <v>26</v>
      </c>
      <c r="E22" s="174">
        <f t="shared" si="1"/>
        <v>0</v>
      </c>
      <c r="J22" s="173"/>
      <c r="L22" s="155"/>
    </row>
    <row r="23" spans="1:12" ht="15" customHeight="1" x14ac:dyDescent="0.25">
      <c r="A23" s="116"/>
      <c r="B23" s="176">
        <v>1995</v>
      </c>
      <c r="C23" s="176">
        <v>3</v>
      </c>
      <c r="D23" s="175">
        <f t="shared" si="0"/>
        <v>27</v>
      </c>
      <c r="E23" s="174">
        <f t="shared" si="1"/>
        <v>92362.810887938656</v>
      </c>
      <c r="J23" s="173"/>
      <c r="L23" s="155"/>
    </row>
    <row r="24" spans="1:12" ht="15" customHeight="1" x14ac:dyDescent="0.25">
      <c r="A24" s="116"/>
      <c r="B24" s="176">
        <v>1996</v>
      </c>
      <c r="C24" s="176">
        <v>7</v>
      </c>
      <c r="D24" s="175">
        <f t="shared" si="0"/>
        <v>28</v>
      </c>
      <c r="E24" s="174">
        <f t="shared" si="1"/>
        <v>223495.19671649352</v>
      </c>
      <c r="J24" s="173"/>
      <c r="L24" s="155"/>
    </row>
    <row r="25" spans="1:12" ht="15" customHeight="1" x14ac:dyDescent="0.25">
      <c r="A25" s="116"/>
      <c r="B25" s="176">
        <v>1997</v>
      </c>
      <c r="C25" s="176">
        <v>2</v>
      </c>
      <c r="D25" s="175">
        <f t="shared" si="0"/>
        <v>29</v>
      </c>
      <c r="E25" s="174">
        <f t="shared" si="1"/>
        <v>66136.333722227675</v>
      </c>
      <c r="J25" s="173"/>
      <c r="L25" s="155"/>
    </row>
    <row r="26" spans="1:12" ht="15" customHeight="1" x14ac:dyDescent="0.25">
      <c r="A26" s="116"/>
      <c r="B26" s="176">
        <v>1998</v>
      </c>
      <c r="C26" s="176">
        <v>1</v>
      </c>
      <c r="D26" s="175">
        <f t="shared" si="0"/>
        <v>30</v>
      </c>
      <c r="E26" s="174">
        <f t="shared" si="1"/>
        <v>34208.448477014317</v>
      </c>
      <c r="J26" s="173"/>
      <c r="L26" s="155"/>
    </row>
    <row r="27" spans="1:12" ht="15" customHeight="1" x14ac:dyDescent="0.25">
      <c r="A27" s="116"/>
      <c r="B27" s="176">
        <v>1999</v>
      </c>
      <c r="C27" s="176">
        <v>0</v>
      </c>
      <c r="D27" s="175">
        <f t="shared" si="0"/>
        <v>31</v>
      </c>
      <c r="E27" s="174">
        <f t="shared" si="1"/>
        <v>0</v>
      </c>
      <c r="J27" s="173"/>
      <c r="L27" s="155"/>
    </row>
    <row r="28" spans="1:12" ht="15" customHeight="1" x14ac:dyDescent="0.25">
      <c r="A28" s="116"/>
      <c r="B28" s="176">
        <v>2000</v>
      </c>
      <c r="C28" s="176">
        <v>1</v>
      </c>
      <c r="D28" s="175">
        <f t="shared" si="0"/>
        <v>32</v>
      </c>
      <c r="E28" s="174">
        <f t="shared" si="1"/>
        <v>36489.011708815269</v>
      </c>
      <c r="J28" s="173"/>
      <c r="L28" s="155"/>
    </row>
    <row r="29" spans="1:12" ht="15" customHeight="1" x14ac:dyDescent="0.25">
      <c r="A29" s="116"/>
      <c r="B29" s="176">
        <v>2001</v>
      </c>
      <c r="C29" s="176">
        <v>1</v>
      </c>
      <c r="D29" s="175">
        <f t="shared" si="0"/>
        <v>33</v>
      </c>
      <c r="E29" s="174">
        <f t="shared" si="1"/>
        <v>37629.293324715749</v>
      </c>
      <c r="J29" s="173"/>
      <c r="L29" s="155"/>
    </row>
    <row r="30" spans="1:12" ht="15" customHeight="1" x14ac:dyDescent="0.25">
      <c r="A30" s="116"/>
      <c r="B30" s="176">
        <v>2002</v>
      </c>
      <c r="C30" s="176">
        <v>3</v>
      </c>
      <c r="D30" s="175">
        <f t="shared" si="0"/>
        <v>34</v>
      </c>
      <c r="E30" s="174">
        <f t="shared" si="1"/>
        <v>116308.72482184868</v>
      </c>
      <c r="J30" s="173"/>
      <c r="L30" s="155"/>
    </row>
    <row r="31" spans="1:12" ht="15" customHeight="1" x14ac:dyDescent="0.25">
      <c r="A31" s="116"/>
      <c r="B31" s="176">
        <v>2003</v>
      </c>
      <c r="C31" s="176">
        <v>20</v>
      </c>
      <c r="D31" s="175">
        <f t="shared" si="0"/>
        <v>35</v>
      </c>
      <c r="E31" s="174">
        <f t="shared" si="1"/>
        <v>798197.13113033399</v>
      </c>
      <c r="J31" s="173"/>
      <c r="L31" s="155"/>
    </row>
    <row r="32" spans="1:12" ht="15" customHeight="1" x14ac:dyDescent="0.25">
      <c r="A32" s="116"/>
      <c r="B32" s="176">
        <v>2004</v>
      </c>
      <c r="C32" s="176">
        <v>7</v>
      </c>
      <c r="D32" s="175">
        <f t="shared" si="0"/>
        <v>36</v>
      </c>
      <c r="E32" s="174">
        <f t="shared" si="1"/>
        <v>287350.96720692026</v>
      </c>
      <c r="J32" s="173"/>
      <c r="L32" s="155"/>
    </row>
    <row r="33" spans="1:12" ht="15" customHeight="1" x14ac:dyDescent="0.25">
      <c r="A33" s="116"/>
      <c r="B33" s="176">
        <v>2005</v>
      </c>
      <c r="C33" s="176">
        <v>7</v>
      </c>
      <c r="D33" s="175">
        <f t="shared" si="0"/>
        <v>37</v>
      </c>
      <c r="E33" s="174">
        <f t="shared" si="1"/>
        <v>295332.93851822359</v>
      </c>
      <c r="J33" s="173"/>
      <c r="L33" s="155"/>
    </row>
    <row r="34" spans="1:12" ht="15" customHeight="1" x14ac:dyDescent="0.25">
      <c r="A34" s="116"/>
      <c r="B34" s="176">
        <v>2006</v>
      </c>
      <c r="C34" s="176">
        <v>15</v>
      </c>
      <c r="D34" s="175">
        <f t="shared" si="0"/>
        <v>38</v>
      </c>
      <c r="E34" s="174">
        <f t="shared" si="1"/>
        <v>649960.52106327203</v>
      </c>
      <c r="J34" s="173"/>
      <c r="L34" s="155"/>
    </row>
    <row r="35" spans="1:12" ht="15" customHeight="1" x14ac:dyDescent="0.25">
      <c r="A35" s="116"/>
      <c r="B35" s="176">
        <v>2007</v>
      </c>
      <c r="C35" s="176">
        <v>6</v>
      </c>
      <c r="D35" s="175">
        <f t="shared" si="0"/>
        <v>39</v>
      </c>
      <c r="E35" s="174">
        <f t="shared" si="1"/>
        <v>266825.89812071167</v>
      </c>
      <c r="J35" s="173"/>
      <c r="L35" s="155"/>
    </row>
    <row r="36" spans="1:12" ht="15" customHeight="1" x14ac:dyDescent="0.25">
      <c r="A36" s="116"/>
      <c r="B36" s="176">
        <v>2008</v>
      </c>
      <c r="C36" s="176">
        <v>11</v>
      </c>
      <c r="D36" s="175">
        <f t="shared" si="0"/>
        <v>40</v>
      </c>
      <c r="E36" s="174">
        <f t="shared" si="1"/>
        <v>501723.91099621</v>
      </c>
      <c r="J36" s="173"/>
      <c r="L36" s="155"/>
    </row>
    <row r="37" spans="1:12" ht="15" customHeight="1" x14ac:dyDescent="0.25">
      <c r="A37" s="116"/>
      <c r="B37" s="176">
        <v>2009</v>
      </c>
      <c r="C37" s="176">
        <v>15</v>
      </c>
      <c r="D37" s="175">
        <f t="shared" si="0"/>
        <v>41</v>
      </c>
      <c r="E37" s="174">
        <f t="shared" si="1"/>
        <v>701273.19377879344</v>
      </c>
      <c r="J37" s="173"/>
      <c r="L37" s="155"/>
    </row>
    <row r="38" spans="1:12" ht="15" customHeight="1" x14ac:dyDescent="0.25">
      <c r="A38" s="116"/>
      <c r="B38" s="176">
        <v>2010</v>
      </c>
      <c r="C38" s="176">
        <v>12</v>
      </c>
      <c r="D38" s="175">
        <f t="shared" si="0"/>
        <v>42</v>
      </c>
      <c r="E38" s="174">
        <f t="shared" si="1"/>
        <v>574701.93441384053</v>
      </c>
      <c r="J38" s="173"/>
      <c r="L38" s="155"/>
    </row>
    <row r="39" spans="1:12" ht="15" customHeight="1" x14ac:dyDescent="0.25">
      <c r="A39" s="116"/>
      <c r="B39" s="176">
        <v>2011</v>
      </c>
      <c r="C39" s="176">
        <v>16</v>
      </c>
      <c r="D39" s="175">
        <f t="shared" si="0"/>
        <v>43</v>
      </c>
      <c r="E39" s="174">
        <f t="shared" si="1"/>
        <v>784513.75173952838</v>
      </c>
      <c r="J39" s="173"/>
      <c r="L39" s="155"/>
    </row>
    <row r="40" spans="1:12" ht="15" customHeight="1" x14ac:dyDescent="0.25">
      <c r="A40" s="116"/>
      <c r="B40" s="176">
        <v>2012</v>
      </c>
      <c r="C40" s="176">
        <v>17</v>
      </c>
      <c r="D40" s="175">
        <f t="shared" si="0"/>
        <v>44</v>
      </c>
      <c r="E40" s="174">
        <f t="shared" si="1"/>
        <v>852930.6486935569</v>
      </c>
      <c r="J40" s="173"/>
      <c r="L40" s="155"/>
    </row>
    <row r="41" spans="1:12" ht="15" customHeight="1" x14ac:dyDescent="0.25">
      <c r="A41" s="116"/>
      <c r="B41" s="176">
        <v>2013</v>
      </c>
      <c r="C41" s="176">
        <v>13</v>
      </c>
      <c r="D41" s="175">
        <f t="shared" si="0"/>
        <v>45</v>
      </c>
      <c r="E41" s="174">
        <f t="shared" si="1"/>
        <v>667064.74530177913</v>
      </c>
      <c r="J41" s="173"/>
      <c r="L41" s="155"/>
    </row>
    <row r="42" spans="1:12" x14ac:dyDescent="0.25">
      <c r="A42" s="116"/>
      <c r="B42" s="176">
        <v>2014</v>
      </c>
      <c r="C42" s="176">
        <v>6</v>
      </c>
      <c r="D42" s="175">
        <f t="shared" si="0"/>
        <v>46</v>
      </c>
      <c r="E42" s="174">
        <f t="shared" si="1"/>
        <v>314717.72598853172</v>
      </c>
      <c r="J42" s="173"/>
      <c r="L42" s="155"/>
    </row>
    <row r="43" spans="1:12" x14ac:dyDescent="0.25">
      <c r="A43" s="116"/>
      <c r="B43" s="176">
        <v>2015</v>
      </c>
      <c r="C43" s="176">
        <v>17</v>
      </c>
      <c r="D43" s="175">
        <f t="shared" si="0"/>
        <v>47</v>
      </c>
      <c r="E43" s="174">
        <f t="shared" si="1"/>
        <v>911085.01110448129</v>
      </c>
      <c r="J43" s="173"/>
      <c r="L43" s="155"/>
    </row>
    <row r="44" spans="1:12" x14ac:dyDescent="0.25">
      <c r="A44" s="116"/>
      <c r="B44" s="176">
        <v>2016</v>
      </c>
      <c r="C44" s="176">
        <v>7</v>
      </c>
      <c r="D44" s="175">
        <f t="shared" si="0"/>
        <v>48</v>
      </c>
      <c r="E44" s="174">
        <f t="shared" si="1"/>
        <v>383134.62294256035</v>
      </c>
      <c r="J44" s="173"/>
      <c r="L44" s="155"/>
    </row>
    <row r="45" spans="1:12" x14ac:dyDescent="0.25">
      <c r="A45" s="116"/>
      <c r="B45" s="176">
        <v>2017</v>
      </c>
      <c r="C45" s="176">
        <v>11</v>
      </c>
      <c r="D45" s="175">
        <f t="shared" si="0"/>
        <v>49</v>
      </c>
      <c r="E45" s="174">
        <f t="shared" si="1"/>
        <v>614611.79097035725</v>
      </c>
      <c r="J45" s="173"/>
      <c r="L45" s="155"/>
    </row>
    <row r="46" spans="1:12" x14ac:dyDescent="0.25">
      <c r="A46" s="116"/>
      <c r="B46" s="176">
        <v>2018</v>
      </c>
      <c r="C46" s="176">
        <v>29</v>
      </c>
      <c r="D46" s="175">
        <f t="shared" si="0"/>
        <v>50</v>
      </c>
      <c r="E46" s="174">
        <f t="shared" si="1"/>
        <v>1653408.343055692</v>
      </c>
      <c r="J46" s="173"/>
      <c r="L46" s="155"/>
    </row>
    <row r="47" spans="1:12" x14ac:dyDescent="0.25">
      <c r="A47" s="116"/>
      <c r="B47" s="176">
        <v>2019</v>
      </c>
      <c r="C47" s="176">
        <v>11</v>
      </c>
      <c r="D47" s="175">
        <f t="shared" si="0"/>
        <v>51</v>
      </c>
      <c r="E47" s="174">
        <f t="shared" si="1"/>
        <v>639697.98652016767</v>
      </c>
      <c r="J47" s="173"/>
      <c r="L47" s="155"/>
    </row>
    <row r="48" spans="1:12" x14ac:dyDescent="0.25">
      <c r="A48" s="116"/>
      <c r="E48" s="121"/>
    </row>
    <row r="49" spans="1:5" x14ac:dyDescent="0.25">
      <c r="A49" s="116"/>
      <c r="B49" s="120" t="s">
        <v>82</v>
      </c>
      <c r="C49" s="240">
        <f>SUM(C13:C47)</f>
        <v>245</v>
      </c>
      <c r="D49" s="240">
        <f>SUMPRODUCT(C13:C47,D13:D47)/C49</f>
        <v>41.779591836734696</v>
      </c>
      <c r="E49" s="171">
        <f>SUM(E13:E47)</f>
        <v>11671922.620357282</v>
      </c>
    </row>
    <row r="50" spans="1:5" x14ac:dyDescent="0.25">
      <c r="A50" s="116"/>
      <c r="B50" s="170"/>
      <c r="C50" s="170"/>
      <c r="D50" s="170"/>
      <c r="E50" s="170"/>
    </row>
    <row r="51" spans="1:5" x14ac:dyDescent="0.25">
      <c r="A51" s="116"/>
    </row>
    <row r="52" spans="1:5" x14ac:dyDescent="0.25">
      <c r="A52" s="116"/>
    </row>
    <row r="53" spans="1:5" x14ac:dyDescent="0.25">
      <c r="A53" s="116"/>
    </row>
    <row r="54" spans="1:5" x14ac:dyDescent="0.25">
      <c r="A54" s="116"/>
    </row>
    <row r="55" spans="1:5" x14ac:dyDescent="0.25">
      <c r="A55" s="116"/>
    </row>
    <row r="56" spans="1:5" x14ac:dyDescent="0.25">
      <c r="A56" s="116"/>
    </row>
    <row r="57" spans="1:5" x14ac:dyDescent="0.25">
      <c r="A57" s="116"/>
    </row>
    <row r="58" spans="1:5" x14ac:dyDescent="0.25">
      <c r="A58" s="116"/>
    </row>
    <row r="59" spans="1:5" x14ac:dyDescent="0.25">
      <c r="A59" s="116"/>
    </row>
    <row r="60" spans="1:5" x14ac:dyDescent="0.25">
      <c r="A60" s="116"/>
    </row>
    <row r="61" spans="1:5" x14ac:dyDescent="0.25">
      <c r="A61" s="116"/>
    </row>
    <row r="62" spans="1:5" x14ac:dyDescent="0.25">
      <c r="A62" s="116"/>
    </row>
    <row r="63" spans="1:5" x14ac:dyDescent="0.25">
      <c r="A63" s="116"/>
    </row>
    <row r="64" spans="1:5" x14ac:dyDescent="0.25">
      <c r="A64" s="116"/>
    </row>
    <row r="65" spans="1:1" x14ac:dyDescent="0.25">
      <c r="A65" s="116"/>
    </row>
    <row r="66" spans="1:1" x14ac:dyDescent="0.25">
      <c r="A66" s="116"/>
    </row>
    <row r="67" spans="1:1" x14ac:dyDescent="0.25">
      <c r="A67" s="116"/>
    </row>
    <row r="68" spans="1:1" x14ac:dyDescent="0.25">
      <c r="A68" s="116"/>
    </row>
    <row r="69" spans="1:1" x14ac:dyDescent="0.25">
      <c r="A69" s="116"/>
    </row>
    <row r="70" spans="1:1" x14ac:dyDescent="0.25">
      <c r="A70" s="116"/>
    </row>
    <row r="71" spans="1:1" x14ac:dyDescent="0.25">
      <c r="A71" s="116"/>
    </row>
    <row r="72" spans="1:1" x14ac:dyDescent="0.25">
      <c r="A72" s="116"/>
    </row>
    <row r="73" spans="1:1" x14ac:dyDescent="0.25">
      <c r="A73" s="116"/>
    </row>
    <row r="74" spans="1:1" x14ac:dyDescent="0.25">
      <c r="A74" s="116"/>
    </row>
    <row r="75" spans="1:1" x14ac:dyDescent="0.25">
      <c r="A75" s="116"/>
    </row>
    <row r="76" spans="1:1" x14ac:dyDescent="0.25">
      <c r="A76" s="116"/>
    </row>
    <row r="77" spans="1:1" x14ac:dyDescent="0.25">
      <c r="A77" s="116"/>
    </row>
    <row r="78" spans="1:1" x14ac:dyDescent="0.25">
      <c r="A78" s="116"/>
    </row>
    <row r="79" spans="1:1" x14ac:dyDescent="0.25">
      <c r="A79" s="116"/>
    </row>
    <row r="80" spans="1:1" x14ac:dyDescent="0.25">
      <c r="A80" s="116"/>
    </row>
    <row r="81" spans="1:1" x14ac:dyDescent="0.25">
      <c r="A81" s="116"/>
    </row>
    <row r="82" spans="1:1" x14ac:dyDescent="0.25">
      <c r="A82" s="116"/>
    </row>
    <row r="83" spans="1:1" x14ac:dyDescent="0.25">
      <c r="A83" s="116"/>
    </row>
    <row r="84" spans="1:1" x14ac:dyDescent="0.25">
      <c r="A84" s="116"/>
    </row>
    <row r="85" spans="1:1" x14ac:dyDescent="0.25">
      <c r="A85" s="116"/>
    </row>
    <row r="86" spans="1:1" x14ac:dyDescent="0.25">
      <c r="A86" s="116"/>
    </row>
    <row r="87" spans="1:1" x14ac:dyDescent="0.25">
      <c r="A87" s="116"/>
    </row>
    <row r="88" spans="1:1" x14ac:dyDescent="0.25">
      <c r="A88" s="116"/>
    </row>
    <row r="89" spans="1:1" x14ac:dyDescent="0.25">
      <c r="A89" s="116"/>
    </row>
    <row r="90" spans="1:1" x14ac:dyDescent="0.25">
      <c r="A90" s="116"/>
    </row>
    <row r="91" spans="1:1" x14ac:dyDescent="0.25">
      <c r="A91" s="116"/>
    </row>
    <row r="92" spans="1:1" x14ac:dyDescent="0.25">
      <c r="A92" s="116"/>
    </row>
    <row r="93" spans="1:1" x14ac:dyDescent="0.25">
      <c r="A93" s="116"/>
    </row>
    <row r="94" spans="1:1" x14ac:dyDescent="0.25">
      <c r="A94" s="116"/>
    </row>
    <row r="95" spans="1:1" x14ac:dyDescent="0.25">
      <c r="A95" s="116"/>
    </row>
    <row r="96" spans="1:1" x14ac:dyDescent="0.25">
      <c r="A96" s="116"/>
    </row>
    <row r="97" spans="1:1" x14ac:dyDescent="0.25">
      <c r="A97" s="116"/>
    </row>
    <row r="98" spans="1:1" x14ac:dyDescent="0.25">
      <c r="A98" s="116"/>
    </row>
    <row r="99" spans="1:1" x14ac:dyDescent="0.25">
      <c r="A99" s="116"/>
    </row>
    <row r="100" spans="1:1" x14ac:dyDescent="0.25">
      <c r="A100" s="116"/>
    </row>
    <row r="101" spans="1:1" x14ac:dyDescent="0.25">
      <c r="A101" s="116"/>
    </row>
    <row r="102" spans="1:1" x14ac:dyDescent="0.25">
      <c r="A102" s="116"/>
    </row>
    <row r="103" spans="1:1" x14ac:dyDescent="0.25">
      <c r="A103" s="116"/>
    </row>
    <row r="104" spans="1:1" x14ac:dyDescent="0.25">
      <c r="A104" s="116"/>
    </row>
    <row r="105" spans="1:1" x14ac:dyDescent="0.25">
      <c r="A105" s="116"/>
    </row>
    <row r="106" spans="1:1" x14ac:dyDescent="0.25">
      <c r="A106" s="116"/>
    </row>
    <row r="107" spans="1:1" x14ac:dyDescent="0.25">
      <c r="A107" s="116"/>
    </row>
    <row r="108" spans="1:1" x14ac:dyDescent="0.25">
      <c r="A108" s="116"/>
    </row>
    <row r="109" spans="1:1" x14ac:dyDescent="0.25">
      <c r="A109" s="116"/>
    </row>
    <row r="110" spans="1:1" x14ac:dyDescent="0.25">
      <c r="A110" s="116"/>
    </row>
    <row r="111" spans="1:1" x14ac:dyDescent="0.25">
      <c r="A111" s="116"/>
    </row>
    <row r="112" spans="1:1" x14ac:dyDescent="0.25">
      <c r="A112" s="116"/>
    </row>
    <row r="113" spans="1:1" x14ac:dyDescent="0.25">
      <c r="A113" s="116"/>
    </row>
    <row r="114" spans="1:1" x14ac:dyDescent="0.25">
      <c r="A114" s="116"/>
    </row>
    <row r="115" spans="1:1" x14ac:dyDescent="0.25">
      <c r="A115" s="116"/>
    </row>
    <row r="116" spans="1:1" x14ac:dyDescent="0.25">
      <c r="A116" s="116"/>
    </row>
    <row r="117" spans="1:1" x14ac:dyDescent="0.25">
      <c r="A117" s="116"/>
    </row>
    <row r="118" spans="1:1" x14ac:dyDescent="0.25">
      <c r="A118" s="116"/>
    </row>
    <row r="119" spans="1:1" x14ac:dyDescent="0.25">
      <c r="A119" s="116"/>
    </row>
    <row r="120" spans="1:1" x14ac:dyDescent="0.25">
      <c r="A120" s="116"/>
    </row>
    <row r="121" spans="1:1" x14ac:dyDescent="0.25">
      <c r="A121" s="116"/>
    </row>
    <row r="122" spans="1:1" x14ac:dyDescent="0.25">
      <c r="A122" s="116"/>
    </row>
    <row r="123" spans="1:1" x14ac:dyDescent="0.25">
      <c r="A123" s="116"/>
    </row>
    <row r="124" spans="1:1" x14ac:dyDescent="0.25">
      <c r="A124" s="116"/>
    </row>
    <row r="125" spans="1:1" x14ac:dyDescent="0.25">
      <c r="A125" s="116"/>
    </row>
    <row r="126" spans="1:1" x14ac:dyDescent="0.25">
      <c r="A126" s="116"/>
    </row>
    <row r="127" spans="1:1" x14ac:dyDescent="0.25">
      <c r="A127" s="116"/>
    </row>
    <row r="128" spans="1:1" x14ac:dyDescent="0.25">
      <c r="A128" s="116"/>
    </row>
    <row r="129" spans="1:1" x14ac:dyDescent="0.25">
      <c r="A129" s="116"/>
    </row>
    <row r="130" spans="1:1" x14ac:dyDescent="0.25">
      <c r="A130" s="116"/>
    </row>
    <row r="131" spans="1:1" x14ac:dyDescent="0.25">
      <c r="A131" s="116"/>
    </row>
    <row r="132" spans="1:1" x14ac:dyDescent="0.25">
      <c r="A132" s="116"/>
    </row>
    <row r="133" spans="1:1" x14ac:dyDescent="0.25">
      <c r="A133" s="116"/>
    </row>
    <row r="134" spans="1:1" x14ac:dyDescent="0.25">
      <c r="A134" s="116"/>
    </row>
    <row r="135" spans="1:1" x14ac:dyDescent="0.25">
      <c r="A135" s="116"/>
    </row>
    <row r="136" spans="1:1" x14ac:dyDescent="0.25">
      <c r="A136" s="116"/>
    </row>
    <row r="137" spans="1:1" x14ac:dyDescent="0.25">
      <c r="A137" s="116"/>
    </row>
    <row r="138" spans="1:1" x14ac:dyDescent="0.25">
      <c r="A138" s="116"/>
    </row>
    <row r="139" spans="1:1" x14ac:dyDescent="0.25">
      <c r="A139" s="116"/>
    </row>
    <row r="140" spans="1:1" x14ac:dyDescent="0.25">
      <c r="A140" s="116"/>
    </row>
    <row r="141" spans="1:1" x14ac:dyDescent="0.25">
      <c r="A141" s="116"/>
    </row>
    <row r="142" spans="1:1" x14ac:dyDescent="0.25">
      <c r="A142" s="116"/>
    </row>
    <row r="143" spans="1:1" x14ac:dyDescent="0.25">
      <c r="A143" s="116"/>
    </row>
    <row r="144" spans="1:1" x14ac:dyDescent="0.25">
      <c r="A144" s="116"/>
    </row>
    <row r="145" spans="1:1" x14ac:dyDescent="0.25">
      <c r="A145" s="116"/>
    </row>
    <row r="146" spans="1:1" x14ac:dyDescent="0.25">
      <c r="A146" s="116"/>
    </row>
    <row r="147" spans="1:1" x14ac:dyDescent="0.25">
      <c r="A147" s="116"/>
    </row>
    <row r="148" spans="1:1" x14ac:dyDescent="0.25">
      <c r="A148" s="116"/>
    </row>
    <row r="149" spans="1:1" x14ac:dyDescent="0.25">
      <c r="A149" s="116"/>
    </row>
    <row r="150" spans="1:1" x14ac:dyDescent="0.25">
      <c r="A150" s="116"/>
    </row>
    <row r="151" spans="1:1" x14ac:dyDescent="0.25">
      <c r="A151" s="116"/>
    </row>
    <row r="152" spans="1:1" x14ac:dyDescent="0.25">
      <c r="A152" s="116"/>
    </row>
    <row r="153" spans="1:1" x14ac:dyDescent="0.25">
      <c r="A153" s="116"/>
    </row>
    <row r="154" spans="1:1" x14ac:dyDescent="0.25">
      <c r="A154" s="116"/>
    </row>
    <row r="155" spans="1:1" x14ac:dyDescent="0.25">
      <c r="A155" s="116"/>
    </row>
    <row r="156" spans="1:1" x14ac:dyDescent="0.25">
      <c r="A156" s="116"/>
    </row>
    <row r="157" spans="1:1" x14ac:dyDescent="0.25">
      <c r="A157" s="116"/>
    </row>
    <row r="158" spans="1:1" x14ac:dyDescent="0.25">
      <c r="A158" s="116"/>
    </row>
    <row r="159" spans="1:1" x14ac:dyDescent="0.25">
      <c r="A159" s="116"/>
    </row>
    <row r="160" spans="1:1" x14ac:dyDescent="0.25">
      <c r="A160" s="116"/>
    </row>
    <row r="161" spans="1:1" x14ac:dyDescent="0.25">
      <c r="A161" s="116"/>
    </row>
    <row r="162" spans="1:1" x14ac:dyDescent="0.25">
      <c r="A162" s="116"/>
    </row>
    <row r="163" spans="1:1" x14ac:dyDescent="0.25">
      <c r="A163" s="116"/>
    </row>
    <row r="164" spans="1:1" x14ac:dyDescent="0.25">
      <c r="A164" s="116"/>
    </row>
    <row r="165" spans="1:1" x14ac:dyDescent="0.25">
      <c r="A165" s="116"/>
    </row>
    <row r="166" spans="1:1" x14ac:dyDescent="0.25">
      <c r="A166" s="116"/>
    </row>
    <row r="167" spans="1:1" x14ac:dyDescent="0.25">
      <c r="A167" s="116"/>
    </row>
    <row r="168" spans="1:1" x14ac:dyDescent="0.25">
      <c r="A168" s="116"/>
    </row>
    <row r="169" spans="1:1" x14ac:dyDescent="0.25">
      <c r="A169" s="116"/>
    </row>
    <row r="170" spans="1:1" x14ac:dyDescent="0.25">
      <c r="A170" s="116"/>
    </row>
    <row r="171" spans="1:1" x14ac:dyDescent="0.25">
      <c r="A171" s="116"/>
    </row>
    <row r="172" spans="1:1" x14ac:dyDescent="0.25">
      <c r="A172" s="116"/>
    </row>
    <row r="173" spans="1:1" x14ac:dyDescent="0.25">
      <c r="A173" s="116"/>
    </row>
    <row r="174" spans="1:1" x14ac:dyDescent="0.25">
      <c r="A174" s="116"/>
    </row>
    <row r="175" spans="1:1" x14ac:dyDescent="0.25">
      <c r="A175" s="116"/>
    </row>
    <row r="176" spans="1:1" x14ac:dyDescent="0.25">
      <c r="A176" s="116"/>
    </row>
    <row r="177" spans="1:1" x14ac:dyDescent="0.25">
      <c r="A177" s="116"/>
    </row>
    <row r="178" spans="1:1" x14ac:dyDescent="0.25">
      <c r="A178" s="116"/>
    </row>
    <row r="179" spans="1:1" x14ac:dyDescent="0.25">
      <c r="A179" s="116"/>
    </row>
    <row r="180" spans="1:1" x14ac:dyDescent="0.25">
      <c r="A180" s="116"/>
    </row>
    <row r="181" spans="1:1" x14ac:dyDescent="0.25">
      <c r="A181" s="116"/>
    </row>
    <row r="182" spans="1:1" x14ac:dyDescent="0.25">
      <c r="A182" s="116"/>
    </row>
    <row r="183" spans="1:1" x14ac:dyDescent="0.25">
      <c r="A183" s="116"/>
    </row>
    <row r="184" spans="1:1" x14ac:dyDescent="0.25">
      <c r="A184" s="116"/>
    </row>
    <row r="185" spans="1:1" x14ac:dyDescent="0.25">
      <c r="A185" s="116"/>
    </row>
    <row r="186" spans="1:1" x14ac:dyDescent="0.25">
      <c r="A186" s="116"/>
    </row>
    <row r="187" spans="1:1" x14ac:dyDescent="0.25">
      <c r="A187" s="116"/>
    </row>
    <row r="188" spans="1:1" x14ac:dyDescent="0.25">
      <c r="A188" s="116"/>
    </row>
    <row r="189" spans="1:1" x14ac:dyDescent="0.25">
      <c r="A189" s="116"/>
    </row>
    <row r="190" spans="1:1" x14ac:dyDescent="0.25">
      <c r="A190" s="116"/>
    </row>
    <row r="191" spans="1:1" x14ac:dyDescent="0.25">
      <c r="A191" s="116"/>
    </row>
    <row r="192" spans="1:1" x14ac:dyDescent="0.25">
      <c r="A192" s="116"/>
    </row>
    <row r="193" spans="1:1" x14ac:dyDescent="0.25">
      <c r="A193" s="116"/>
    </row>
    <row r="194" spans="1:1" x14ac:dyDescent="0.25">
      <c r="A194" s="116"/>
    </row>
    <row r="195" spans="1:1" x14ac:dyDescent="0.25">
      <c r="A195" s="116"/>
    </row>
    <row r="196" spans="1:1" x14ac:dyDescent="0.25">
      <c r="A196" s="116"/>
    </row>
    <row r="197" spans="1:1" x14ac:dyDescent="0.25">
      <c r="A197" s="116"/>
    </row>
    <row r="198" spans="1:1" x14ac:dyDescent="0.25">
      <c r="A198" s="116"/>
    </row>
    <row r="199" spans="1:1" x14ac:dyDescent="0.25">
      <c r="A199" s="116"/>
    </row>
    <row r="200" spans="1:1" x14ac:dyDescent="0.25">
      <c r="A200" s="116"/>
    </row>
    <row r="201" spans="1:1" x14ac:dyDescent="0.25">
      <c r="A201" s="116"/>
    </row>
    <row r="202" spans="1:1" x14ac:dyDescent="0.25">
      <c r="A202" s="116"/>
    </row>
    <row r="203" spans="1:1" x14ac:dyDescent="0.25">
      <c r="A203" s="116"/>
    </row>
    <row r="204" spans="1:1" x14ac:dyDescent="0.25">
      <c r="A204" s="116"/>
    </row>
    <row r="205" spans="1:1" x14ac:dyDescent="0.25">
      <c r="A205" s="116"/>
    </row>
    <row r="206" spans="1:1" x14ac:dyDescent="0.25">
      <c r="A206" s="116"/>
    </row>
    <row r="207" spans="1:1" x14ac:dyDescent="0.25">
      <c r="A207" s="116"/>
    </row>
    <row r="208" spans="1:1" x14ac:dyDescent="0.25">
      <c r="A208" s="116"/>
    </row>
    <row r="209" spans="1:1" x14ac:dyDescent="0.25">
      <c r="A209" s="116"/>
    </row>
    <row r="210" spans="1:1" x14ac:dyDescent="0.25">
      <c r="A210" s="116"/>
    </row>
    <row r="211" spans="1:1" x14ac:dyDescent="0.25">
      <c r="A211" s="116"/>
    </row>
    <row r="212" spans="1:1" x14ac:dyDescent="0.25">
      <c r="A212" s="116"/>
    </row>
    <row r="213" spans="1:1" x14ac:dyDescent="0.25">
      <c r="A213" s="116"/>
    </row>
    <row r="214" spans="1:1" x14ac:dyDescent="0.25">
      <c r="A214" s="116"/>
    </row>
    <row r="215" spans="1:1" x14ac:dyDescent="0.25">
      <c r="A215" s="116"/>
    </row>
    <row r="216" spans="1:1" x14ac:dyDescent="0.25">
      <c r="A216" s="116"/>
    </row>
    <row r="217" spans="1:1" x14ac:dyDescent="0.25">
      <c r="A217" s="116"/>
    </row>
    <row r="218" spans="1:1" x14ac:dyDescent="0.25">
      <c r="A218" s="116"/>
    </row>
    <row r="219" spans="1:1" x14ac:dyDescent="0.25">
      <c r="A219" s="116"/>
    </row>
    <row r="220" spans="1:1" x14ac:dyDescent="0.25">
      <c r="A220" s="116"/>
    </row>
    <row r="221" spans="1:1" x14ac:dyDescent="0.25">
      <c r="A221" s="116"/>
    </row>
    <row r="222" spans="1:1" x14ac:dyDescent="0.25">
      <c r="A222" s="116"/>
    </row>
    <row r="223" spans="1:1" x14ac:dyDescent="0.25">
      <c r="A223" s="116"/>
    </row>
    <row r="224" spans="1:1" x14ac:dyDescent="0.25">
      <c r="A224" s="116"/>
    </row>
    <row r="225" spans="1:1" x14ac:dyDescent="0.25">
      <c r="A225" s="116"/>
    </row>
    <row r="226" spans="1:1" x14ac:dyDescent="0.25">
      <c r="A226" s="116"/>
    </row>
    <row r="227" spans="1:1" x14ac:dyDescent="0.25">
      <c r="A227" s="116"/>
    </row>
    <row r="228" spans="1:1" x14ac:dyDescent="0.25">
      <c r="A228" s="116"/>
    </row>
    <row r="229" spans="1:1" x14ac:dyDescent="0.25">
      <c r="A229" s="116"/>
    </row>
    <row r="230" spans="1:1" x14ac:dyDescent="0.25">
      <c r="A230" s="116"/>
    </row>
    <row r="231" spans="1:1" x14ac:dyDescent="0.25">
      <c r="A231" s="116"/>
    </row>
    <row r="232" spans="1:1" x14ac:dyDescent="0.25">
      <c r="A232" s="116"/>
    </row>
    <row r="233" spans="1:1" x14ac:dyDescent="0.25">
      <c r="A233" s="116"/>
    </row>
    <row r="234" spans="1:1" x14ac:dyDescent="0.25">
      <c r="A234" s="116"/>
    </row>
    <row r="235" spans="1:1" x14ac:dyDescent="0.25">
      <c r="A235" s="116"/>
    </row>
    <row r="236" spans="1:1" x14ac:dyDescent="0.25">
      <c r="A236" s="116"/>
    </row>
    <row r="237" spans="1:1" x14ac:dyDescent="0.25">
      <c r="A237" s="116"/>
    </row>
    <row r="238" spans="1:1" x14ac:dyDescent="0.25">
      <c r="A238" s="116"/>
    </row>
    <row r="239" spans="1:1" x14ac:dyDescent="0.25">
      <c r="A239" s="116"/>
    </row>
    <row r="240" spans="1:1" x14ac:dyDescent="0.25">
      <c r="A240" s="116"/>
    </row>
    <row r="241" spans="1:1" x14ac:dyDescent="0.25">
      <c r="A241" s="116"/>
    </row>
    <row r="242" spans="1:1" x14ac:dyDescent="0.25">
      <c r="A242" s="116"/>
    </row>
    <row r="243" spans="1:1" x14ac:dyDescent="0.25">
      <c r="A243" s="116"/>
    </row>
    <row r="244" spans="1:1" x14ac:dyDescent="0.25">
      <c r="A244" s="116"/>
    </row>
    <row r="245" spans="1:1" x14ac:dyDescent="0.25">
      <c r="A245" s="116"/>
    </row>
    <row r="246" spans="1:1" x14ac:dyDescent="0.25">
      <c r="A246" s="116"/>
    </row>
    <row r="247" spans="1:1" x14ac:dyDescent="0.25">
      <c r="A247" s="116"/>
    </row>
    <row r="248" spans="1:1" x14ac:dyDescent="0.25">
      <c r="A248" s="116"/>
    </row>
    <row r="249" spans="1:1" x14ac:dyDescent="0.25">
      <c r="A249" s="116"/>
    </row>
    <row r="250" spans="1:1" x14ac:dyDescent="0.25">
      <c r="A250" s="116"/>
    </row>
    <row r="251" spans="1:1" x14ac:dyDescent="0.25">
      <c r="A251" s="116"/>
    </row>
    <row r="252" spans="1:1" x14ac:dyDescent="0.25">
      <c r="A252" s="116"/>
    </row>
    <row r="253" spans="1:1" x14ac:dyDescent="0.25">
      <c r="A253" s="116"/>
    </row>
    <row r="254" spans="1:1" x14ac:dyDescent="0.25">
      <c r="A254" s="116"/>
    </row>
    <row r="255" spans="1:1" x14ac:dyDescent="0.25">
      <c r="A255" s="116"/>
    </row>
    <row r="256" spans="1:1" x14ac:dyDescent="0.25">
      <c r="A256" s="116"/>
    </row>
    <row r="257" spans="1:1" x14ac:dyDescent="0.25">
      <c r="A257" s="116"/>
    </row>
    <row r="258" spans="1:1" x14ac:dyDescent="0.25">
      <c r="A258" s="116"/>
    </row>
    <row r="259" spans="1:1" x14ac:dyDescent="0.25">
      <c r="A259" s="116"/>
    </row>
    <row r="260" spans="1:1" x14ac:dyDescent="0.25">
      <c r="A260" s="116"/>
    </row>
    <row r="261" spans="1:1" x14ac:dyDescent="0.25">
      <c r="A261" s="116"/>
    </row>
    <row r="262" spans="1:1" x14ac:dyDescent="0.25">
      <c r="A262" s="116"/>
    </row>
    <row r="263" spans="1:1" x14ac:dyDescent="0.25">
      <c r="A263" s="116"/>
    </row>
    <row r="264" spans="1:1" x14ac:dyDescent="0.25">
      <c r="A264" s="116"/>
    </row>
    <row r="265" spans="1:1" x14ac:dyDescent="0.25">
      <c r="A265" s="116"/>
    </row>
    <row r="266" spans="1:1" x14ac:dyDescent="0.25">
      <c r="A266" s="116"/>
    </row>
    <row r="267" spans="1:1" x14ac:dyDescent="0.25">
      <c r="A267" s="116"/>
    </row>
    <row r="268" spans="1:1" x14ac:dyDescent="0.25">
      <c r="A268" s="116"/>
    </row>
    <row r="269" spans="1:1" x14ac:dyDescent="0.25">
      <c r="A269" s="116"/>
    </row>
    <row r="270" spans="1:1" x14ac:dyDescent="0.25">
      <c r="A270" s="116"/>
    </row>
    <row r="271" spans="1:1" x14ac:dyDescent="0.25">
      <c r="A271" s="116"/>
    </row>
    <row r="272" spans="1:1" x14ac:dyDescent="0.25">
      <c r="A272" s="116"/>
    </row>
    <row r="273" spans="1:1" x14ac:dyDescent="0.25">
      <c r="A273" s="116"/>
    </row>
    <row r="274" spans="1:1" x14ac:dyDescent="0.25">
      <c r="A274" s="116"/>
    </row>
    <row r="275" spans="1:1" x14ac:dyDescent="0.25">
      <c r="A275" s="116"/>
    </row>
    <row r="276" spans="1:1" x14ac:dyDescent="0.25">
      <c r="A276" s="116"/>
    </row>
    <row r="277" spans="1:1" x14ac:dyDescent="0.25">
      <c r="A277" s="116"/>
    </row>
    <row r="278" spans="1:1" x14ac:dyDescent="0.25">
      <c r="A278" s="116"/>
    </row>
    <row r="279" spans="1:1" x14ac:dyDescent="0.25">
      <c r="A279" s="116"/>
    </row>
    <row r="280" spans="1:1" x14ac:dyDescent="0.25">
      <c r="A280" s="116"/>
    </row>
    <row r="281" spans="1:1" x14ac:dyDescent="0.25">
      <c r="A281" s="116"/>
    </row>
    <row r="282" spans="1:1" x14ac:dyDescent="0.25">
      <c r="A282" s="116"/>
    </row>
    <row r="283" spans="1:1" x14ac:dyDescent="0.25">
      <c r="A283" s="116"/>
    </row>
    <row r="284" spans="1:1" x14ac:dyDescent="0.25">
      <c r="A284" s="116"/>
    </row>
    <row r="285" spans="1:1" x14ac:dyDescent="0.25">
      <c r="A285" s="116"/>
    </row>
    <row r="286" spans="1:1" x14ac:dyDescent="0.25">
      <c r="A286" s="116"/>
    </row>
    <row r="287" spans="1:1" x14ac:dyDescent="0.25">
      <c r="A287" s="116"/>
    </row>
    <row r="288" spans="1:1" x14ac:dyDescent="0.25">
      <c r="A288" s="116"/>
    </row>
    <row r="289" spans="1:1" x14ac:dyDescent="0.25">
      <c r="A289" s="116"/>
    </row>
    <row r="290" spans="1:1" x14ac:dyDescent="0.25">
      <c r="A290" s="116"/>
    </row>
    <row r="291" spans="1:1" x14ac:dyDescent="0.25">
      <c r="A291" s="116"/>
    </row>
    <row r="292" spans="1:1" x14ac:dyDescent="0.25">
      <c r="A292" s="116"/>
    </row>
    <row r="293" spans="1:1" x14ac:dyDescent="0.25">
      <c r="A293" s="116"/>
    </row>
    <row r="294" spans="1:1" x14ac:dyDescent="0.25">
      <c r="A294" s="116"/>
    </row>
    <row r="295" spans="1:1" x14ac:dyDescent="0.25">
      <c r="A295" s="116"/>
    </row>
    <row r="296" spans="1:1" x14ac:dyDescent="0.25">
      <c r="A296" s="116"/>
    </row>
    <row r="297" spans="1:1" x14ac:dyDescent="0.25">
      <c r="A297" s="116"/>
    </row>
  </sheetData>
  <pageMargins left="0.70866141732283472" right="0.51181102362204722" top="0.55118110236220474" bottom="0.55118110236220474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7</vt:i4>
      </vt:variant>
    </vt:vector>
  </HeadingPairs>
  <TitlesOfParts>
    <vt:vector size="20" baseType="lpstr">
      <vt:lpstr>Assumptions</vt:lpstr>
      <vt:lpstr>Output</vt:lpstr>
      <vt:lpstr>Profile</vt:lpstr>
      <vt:lpstr>T3 ACRs</vt:lpstr>
      <vt:lpstr>T3 surge arrestors</vt:lpstr>
      <vt:lpstr>OtherAssets</vt:lpstr>
      <vt:lpstr>Underground cable</vt:lpstr>
      <vt:lpstr>T1-T3 old UG cable</vt:lpstr>
      <vt:lpstr>Other_ACRs</vt:lpstr>
      <vt:lpstr>T3 Distribution_Depn</vt:lpstr>
      <vt:lpstr>REFCL_Data</vt:lpstr>
      <vt:lpstr>ACRs_data</vt:lpstr>
      <vt:lpstr>UG_cable_data</vt:lpstr>
      <vt:lpstr>Other_ACRs!Print_Area</vt:lpstr>
      <vt:lpstr>REFCL_Data!Print_Area</vt:lpstr>
      <vt:lpstr>'T1-T3 old UG cable'!Print_Area</vt:lpstr>
      <vt:lpstr>'T3 ACRs'!Print_Area</vt:lpstr>
      <vt:lpstr>'T3 Distribution_Depn'!Print_Area</vt:lpstr>
      <vt:lpstr>'T3 surge arrestors'!Print_Area</vt:lpstr>
      <vt:lpstr>'Underground cable'!Print_Area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2020-01-03T05:02:44Z</dcterms:modified>
</cp:coreProperties>
</file>