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 CP" sheetId="77" r:id="rId1"/>
    <sheet name="Output PAL" sheetId="76" r:id="rId2"/>
    <sheet name="Output" sheetId="72" r:id="rId3"/>
    <sheet name="Summary" sheetId="70" r:id="rId4"/>
    <sheet name="Assumptions" sheetId="74" r:id="rId5"/>
    <sheet name="Option 1 IT" sheetId="69" r:id="rId6"/>
    <sheet name="Option 1 Property" sheetId="71" r:id="rId7"/>
    <sheet name="Option 2 IT" sheetId="73" r:id="rId8"/>
    <sheet name="Option 2 Property" sheetId="75" r:id="rId9"/>
  </sheets>
  <definedNames>
    <definedName name="Conv_2021">Assumptions!$B$18</definedName>
    <definedName name="Option1IT_categories">'Option 1 IT'!$C$44:$C$49</definedName>
    <definedName name="Option1IT_costs">'Option 1 IT'!$R$44:$V$49</definedName>
    <definedName name="Option1Property_categories">'Option 1 Property'!$C$44:$C$55</definedName>
    <definedName name="Option1Property_costs">'Option 1 Property'!$R$44:$V$55</definedName>
    <definedName name="Option2IT_categories">'Option 2 IT'!$C$44:$C$49</definedName>
    <definedName name="Option2IT_costs">'Option 2 IT'!$R$44:$V$49</definedName>
    <definedName name="Option2Property_categories">'Option 2 Property'!$C$44:$C$55</definedName>
    <definedName name="Option2Property_costs">'Option 2 Property'!$R$44:$V$55</definedName>
    <definedName name="_xlnm.Print_Area" localSheetId="3">Summary!$A$1:$J$35</definedName>
    <definedName name="years" localSheetId="8">'Option 2 Property'!$R$8:$V$8</definedName>
    <definedName name="years">'Option 1 IT'!$R$8:$V$8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75" l="1"/>
  <c r="F68" i="75"/>
  <c r="F67" i="75"/>
  <c r="F66" i="75"/>
  <c r="F65" i="75"/>
  <c r="F64" i="75"/>
  <c r="D5" i="77" l="1"/>
  <c r="F5" i="77" s="1"/>
  <c r="E12" i="77"/>
  <c r="F69" i="71"/>
  <c r="F68" i="71"/>
  <c r="F66" i="71"/>
  <c r="F65" i="71"/>
  <c r="F64" i="71"/>
  <c r="F67" i="71"/>
  <c r="D5" i="76"/>
  <c r="F5" i="76" s="1"/>
  <c r="E12" i="76"/>
  <c r="D5" i="72"/>
  <c r="R53" i="75"/>
  <c r="R54" i="75"/>
  <c r="R55" i="75"/>
  <c r="S53" i="75"/>
  <c r="S54" i="75"/>
  <c r="S55" i="75"/>
  <c r="T53" i="75"/>
  <c r="T54" i="75"/>
  <c r="T55" i="75"/>
  <c r="U53" i="75"/>
  <c r="U54" i="75"/>
  <c r="U55" i="75"/>
  <c r="V53" i="75"/>
  <c r="V54" i="75"/>
  <c r="V55" i="75"/>
  <c r="C70" i="75"/>
  <c r="C73" i="75"/>
  <c r="C57" i="75"/>
  <c r="C56" i="75"/>
  <c r="C70" i="71"/>
  <c r="V55" i="71"/>
  <c r="U55" i="71"/>
  <c r="T55" i="71"/>
  <c r="S55" i="71"/>
  <c r="R55" i="71"/>
  <c r="V54" i="71"/>
  <c r="U54" i="71"/>
  <c r="T54" i="71"/>
  <c r="S54" i="71"/>
  <c r="R54" i="71"/>
  <c r="V53" i="71"/>
  <c r="U53" i="71"/>
  <c r="T53" i="71"/>
  <c r="S53" i="71"/>
  <c r="R53" i="71"/>
  <c r="V10" i="77"/>
  <c r="G10" i="77"/>
  <c r="H10" i="77" s="1"/>
  <c r="J10" i="77"/>
  <c r="K10" i="77" s="1"/>
  <c r="M10" i="77"/>
  <c r="N10" i="77" s="1"/>
  <c r="P10" i="77"/>
  <c r="Q10" i="77" s="1"/>
  <c r="S10" i="77"/>
  <c r="T10" i="77" s="1"/>
  <c r="W10" i="77"/>
  <c r="X10" i="77"/>
  <c r="Y10" i="77"/>
  <c r="Z10" i="77"/>
  <c r="D10" i="71"/>
  <c r="S10" i="71" s="1"/>
  <c r="D11" i="71"/>
  <c r="S11" i="71" s="1"/>
  <c r="D12" i="71"/>
  <c r="R12" i="71" s="1"/>
  <c r="D13" i="71"/>
  <c r="V13" i="71" s="1"/>
  <c r="R13" i="71"/>
  <c r="D14" i="71"/>
  <c r="U14" i="71" s="1"/>
  <c r="D15" i="71"/>
  <c r="R15" i="71" s="1"/>
  <c r="D16" i="71"/>
  <c r="S16" i="71" s="1"/>
  <c r="S45" i="71" s="1"/>
  <c r="D17" i="71"/>
  <c r="S17" i="71" s="1"/>
  <c r="S46" i="71" s="1"/>
  <c r="D18" i="71"/>
  <c r="R18" i="71" s="1"/>
  <c r="R47" i="71" s="1"/>
  <c r="D20" i="71"/>
  <c r="V20" i="71" s="1"/>
  <c r="D21" i="71"/>
  <c r="U21" i="71" s="1"/>
  <c r="D22" i="71"/>
  <c r="R22" i="71" s="1"/>
  <c r="D23" i="71"/>
  <c r="S23" i="71" s="1"/>
  <c r="D24" i="71"/>
  <c r="S24" i="71" s="1"/>
  <c r="D25" i="71"/>
  <c r="R25" i="71" s="1"/>
  <c r="D26" i="71"/>
  <c r="V26" i="71" s="1"/>
  <c r="V49" i="71" s="1"/>
  <c r="D27" i="71"/>
  <c r="U27" i="71" s="1"/>
  <c r="U50" i="71" s="1"/>
  <c r="D28" i="71"/>
  <c r="D30" i="71"/>
  <c r="S30" i="71" s="1"/>
  <c r="D31" i="71"/>
  <c r="S31" i="71" s="1"/>
  <c r="D32" i="71"/>
  <c r="R32" i="71" s="1"/>
  <c r="D33" i="71"/>
  <c r="V33" i="71" s="1"/>
  <c r="R34" i="71"/>
  <c r="R35" i="71"/>
  <c r="R36" i="71"/>
  <c r="R37" i="71"/>
  <c r="R38" i="71"/>
  <c r="R39" i="71"/>
  <c r="R40" i="71"/>
  <c r="S13" i="71"/>
  <c r="S14" i="71"/>
  <c r="S15" i="71"/>
  <c r="S20" i="71"/>
  <c r="S28" i="71"/>
  <c r="S51" i="71" s="1"/>
  <c r="S33" i="71"/>
  <c r="S34" i="71"/>
  <c r="S35" i="71"/>
  <c r="S36" i="71"/>
  <c r="S37" i="71"/>
  <c r="S38" i="71"/>
  <c r="S39" i="71"/>
  <c r="S40" i="71"/>
  <c r="T13" i="71"/>
  <c r="T14" i="71"/>
  <c r="T18" i="71"/>
  <c r="T47" i="71" s="1"/>
  <c r="T20" i="71"/>
  <c r="T23" i="71"/>
  <c r="T34" i="71"/>
  <c r="T35" i="71"/>
  <c r="T36" i="71"/>
  <c r="T37" i="71"/>
  <c r="T38" i="71"/>
  <c r="T39" i="71"/>
  <c r="T40" i="71"/>
  <c r="U13" i="71"/>
  <c r="U15" i="71"/>
  <c r="U18" i="71"/>
  <c r="U47" i="71" s="1"/>
  <c r="U20" i="71"/>
  <c r="U23" i="71"/>
  <c r="U28" i="71"/>
  <c r="U51" i="71" s="1"/>
  <c r="U33" i="71"/>
  <c r="U34" i="71"/>
  <c r="U35" i="71"/>
  <c r="U36" i="71"/>
  <c r="U37" i="71"/>
  <c r="U38" i="71"/>
  <c r="U39" i="71"/>
  <c r="U40" i="71"/>
  <c r="V11" i="71"/>
  <c r="V14" i="71"/>
  <c r="V15" i="71"/>
  <c r="V16" i="71"/>
  <c r="V45" i="71" s="1"/>
  <c r="V18" i="71"/>
  <c r="V47" i="71" s="1"/>
  <c r="V23" i="71"/>
  <c r="V28" i="71"/>
  <c r="V51" i="71" s="1"/>
  <c r="V34" i="71"/>
  <c r="V35" i="71"/>
  <c r="V36" i="71"/>
  <c r="V37" i="71"/>
  <c r="V38" i="71"/>
  <c r="V39" i="71"/>
  <c r="V40" i="71"/>
  <c r="X3" i="75"/>
  <c r="A1" i="77"/>
  <c r="V10" i="76"/>
  <c r="G10" i="76"/>
  <c r="H10" i="76" s="1"/>
  <c r="J10" i="76"/>
  <c r="K10" i="76" s="1"/>
  <c r="M10" i="76"/>
  <c r="N10" i="76" s="1"/>
  <c r="P10" i="76"/>
  <c r="Q10" i="76" s="1"/>
  <c r="S10" i="76"/>
  <c r="T10" i="76" s="1"/>
  <c r="W10" i="76"/>
  <c r="X10" i="76"/>
  <c r="Y10" i="76"/>
  <c r="Z10" i="76"/>
  <c r="A1" i="76"/>
  <c r="D58" i="74"/>
  <c r="F58" i="74" s="1"/>
  <c r="D57" i="74"/>
  <c r="F57" i="74" s="1"/>
  <c r="D56" i="74"/>
  <c r="F56" i="74" s="1"/>
  <c r="D55" i="74"/>
  <c r="E55" i="74" s="1"/>
  <c r="D54" i="74"/>
  <c r="E54" i="74" s="1"/>
  <c r="D50" i="74"/>
  <c r="E50" i="74" s="1"/>
  <c r="D49" i="74"/>
  <c r="F49" i="74" s="1"/>
  <c r="D48" i="74"/>
  <c r="E48" i="74" s="1"/>
  <c r="D47" i="74"/>
  <c r="E47" i="74" s="1"/>
  <c r="D46" i="74"/>
  <c r="F46" i="74" s="1"/>
  <c r="D33" i="75"/>
  <c r="S33" i="75" s="1"/>
  <c r="D32" i="75"/>
  <c r="R32" i="75" s="1"/>
  <c r="D31" i="75"/>
  <c r="U31" i="75" s="1"/>
  <c r="D30" i="75"/>
  <c r="S30" i="75" s="1"/>
  <c r="T32" i="75"/>
  <c r="R34" i="75"/>
  <c r="S34" i="75"/>
  <c r="T34" i="75"/>
  <c r="U34" i="75"/>
  <c r="V34" i="75"/>
  <c r="R35" i="75"/>
  <c r="S35" i="75"/>
  <c r="T35" i="75"/>
  <c r="U35" i="75"/>
  <c r="V35" i="75"/>
  <c r="R36" i="75"/>
  <c r="S36" i="75"/>
  <c r="T36" i="75"/>
  <c r="U36" i="75"/>
  <c r="V36" i="75"/>
  <c r="R37" i="75"/>
  <c r="S37" i="75"/>
  <c r="T37" i="75"/>
  <c r="U37" i="75"/>
  <c r="V37" i="75"/>
  <c r="R38" i="75"/>
  <c r="S38" i="75"/>
  <c r="T38" i="75"/>
  <c r="U38" i="75"/>
  <c r="V38" i="75"/>
  <c r="R39" i="75"/>
  <c r="S39" i="75"/>
  <c r="T39" i="75"/>
  <c r="U39" i="75"/>
  <c r="V39" i="75"/>
  <c r="R40" i="75"/>
  <c r="S40" i="75"/>
  <c r="T40" i="75"/>
  <c r="U40" i="75"/>
  <c r="V40" i="75"/>
  <c r="D28" i="75"/>
  <c r="U28" i="75" s="1"/>
  <c r="U51" i="75" s="1"/>
  <c r="D27" i="75"/>
  <c r="T27" i="75" s="1"/>
  <c r="T50" i="75" s="1"/>
  <c r="D26" i="75"/>
  <c r="S26" i="75" s="1"/>
  <c r="S49" i="75" s="1"/>
  <c r="D25" i="75"/>
  <c r="R25" i="75" s="1"/>
  <c r="D24" i="75"/>
  <c r="U24" i="75" s="1"/>
  <c r="D23" i="75"/>
  <c r="V23" i="75" s="1"/>
  <c r="D22" i="75"/>
  <c r="U22" i="75" s="1"/>
  <c r="D21" i="75"/>
  <c r="T21" i="75" s="1"/>
  <c r="D20" i="75"/>
  <c r="S20" i="75" s="1"/>
  <c r="R26" i="75"/>
  <c r="R49" i="75" s="1"/>
  <c r="T22" i="75"/>
  <c r="D18" i="75"/>
  <c r="S18" i="75" s="1"/>
  <c r="S47" i="75" s="1"/>
  <c r="D17" i="75"/>
  <c r="S17" i="75" s="1"/>
  <c r="S46" i="75" s="1"/>
  <c r="D16" i="75"/>
  <c r="S16" i="75" s="1"/>
  <c r="S45" i="75" s="1"/>
  <c r="D15" i="75"/>
  <c r="S15" i="75" s="1"/>
  <c r="D14" i="75"/>
  <c r="S14" i="75" s="1"/>
  <c r="D13" i="75"/>
  <c r="S13" i="75" s="1"/>
  <c r="D12" i="75"/>
  <c r="S12" i="75" s="1"/>
  <c r="D11" i="75"/>
  <c r="S11" i="75" s="1"/>
  <c r="D10" i="75"/>
  <c r="S10" i="75" s="1"/>
  <c r="V40" i="73"/>
  <c r="U40" i="73"/>
  <c r="T40" i="73"/>
  <c r="S40" i="73"/>
  <c r="R40" i="73"/>
  <c r="V39" i="73"/>
  <c r="U39" i="73"/>
  <c r="T39" i="73"/>
  <c r="S39" i="73"/>
  <c r="R39" i="73"/>
  <c r="V38" i="73"/>
  <c r="U38" i="73"/>
  <c r="T38" i="73"/>
  <c r="S38" i="73"/>
  <c r="R38" i="73"/>
  <c r="V37" i="73"/>
  <c r="U37" i="73"/>
  <c r="T37" i="73"/>
  <c r="S37" i="73"/>
  <c r="R37" i="73"/>
  <c r="V36" i="73"/>
  <c r="U36" i="73"/>
  <c r="T36" i="73"/>
  <c r="S36" i="73"/>
  <c r="R36" i="73"/>
  <c r="V35" i="73"/>
  <c r="U35" i="73"/>
  <c r="T35" i="73"/>
  <c r="S35" i="73"/>
  <c r="R35" i="73"/>
  <c r="V34" i="73"/>
  <c r="U34" i="73"/>
  <c r="T34" i="73"/>
  <c r="S34" i="73"/>
  <c r="R34" i="73"/>
  <c r="D33" i="73"/>
  <c r="R33" i="73" s="1"/>
  <c r="D32" i="73"/>
  <c r="R32" i="73" s="1"/>
  <c r="D31" i="73"/>
  <c r="U31" i="73" s="1"/>
  <c r="D30" i="73"/>
  <c r="U30" i="73" s="1"/>
  <c r="D28" i="73"/>
  <c r="U28" i="73" s="1"/>
  <c r="R28" i="73"/>
  <c r="D27" i="73"/>
  <c r="U27" i="73" s="1"/>
  <c r="D26" i="73"/>
  <c r="U26" i="73" s="1"/>
  <c r="R26" i="73"/>
  <c r="D25" i="73"/>
  <c r="U25" i="73" s="1"/>
  <c r="D24" i="73"/>
  <c r="U24" i="73" s="1"/>
  <c r="D23" i="73"/>
  <c r="U23" i="73" s="1"/>
  <c r="T23" i="73"/>
  <c r="S23" i="73"/>
  <c r="D22" i="73"/>
  <c r="U22" i="73" s="1"/>
  <c r="D21" i="73"/>
  <c r="U21" i="73" s="1"/>
  <c r="D20" i="73"/>
  <c r="U20" i="73" s="1"/>
  <c r="D18" i="73"/>
  <c r="U18" i="73" s="1"/>
  <c r="D17" i="73"/>
  <c r="U17" i="73" s="1"/>
  <c r="D16" i="73"/>
  <c r="U16" i="73" s="1"/>
  <c r="D15" i="73"/>
  <c r="U15" i="73" s="1"/>
  <c r="D14" i="73"/>
  <c r="U14" i="73" s="1"/>
  <c r="D13" i="73"/>
  <c r="U13" i="73" s="1"/>
  <c r="D12" i="73"/>
  <c r="U12" i="73" s="1"/>
  <c r="D11" i="73"/>
  <c r="U11" i="73" s="1"/>
  <c r="D10" i="73"/>
  <c r="U10" i="73" s="1"/>
  <c r="T10" i="73"/>
  <c r="D33" i="69"/>
  <c r="R33" i="69" s="1"/>
  <c r="D32" i="69"/>
  <c r="R32" i="69" s="1"/>
  <c r="D31" i="69"/>
  <c r="U31" i="69" s="1"/>
  <c r="D30" i="69"/>
  <c r="U30" i="69" s="1"/>
  <c r="D28" i="69"/>
  <c r="V28" i="69" s="1"/>
  <c r="D27" i="69"/>
  <c r="U27" i="69" s="1"/>
  <c r="D26" i="69"/>
  <c r="T26" i="69" s="1"/>
  <c r="D25" i="69"/>
  <c r="R25" i="69" s="1"/>
  <c r="D24" i="69"/>
  <c r="U24" i="69" s="1"/>
  <c r="D23" i="69"/>
  <c r="S23" i="69" s="1"/>
  <c r="D22" i="69"/>
  <c r="V22" i="69" s="1"/>
  <c r="D21" i="69"/>
  <c r="U21" i="69" s="1"/>
  <c r="D20" i="69"/>
  <c r="R20" i="69" s="1"/>
  <c r="D11" i="69"/>
  <c r="U11" i="69" s="1"/>
  <c r="D12" i="69"/>
  <c r="S12" i="69" s="1"/>
  <c r="D13" i="69"/>
  <c r="T13" i="69" s="1"/>
  <c r="D14" i="69"/>
  <c r="U14" i="69" s="1"/>
  <c r="D15" i="69"/>
  <c r="V15" i="69" s="1"/>
  <c r="D16" i="69"/>
  <c r="V16" i="69" s="1"/>
  <c r="D17" i="69"/>
  <c r="U17" i="69" s="1"/>
  <c r="D18" i="69"/>
  <c r="R18" i="69" s="1"/>
  <c r="D10" i="69"/>
  <c r="U10" i="69" s="1"/>
  <c r="R31" i="69"/>
  <c r="S33" i="69"/>
  <c r="V33" i="69"/>
  <c r="R34" i="69"/>
  <c r="S34" i="69"/>
  <c r="T34" i="69"/>
  <c r="U34" i="69"/>
  <c r="V34" i="69"/>
  <c r="R35" i="69"/>
  <c r="S35" i="69"/>
  <c r="T35" i="69"/>
  <c r="U35" i="69"/>
  <c r="V35" i="69"/>
  <c r="R36" i="69"/>
  <c r="S36" i="69"/>
  <c r="T36" i="69"/>
  <c r="U36" i="69"/>
  <c r="V36" i="69"/>
  <c r="R37" i="69"/>
  <c r="S37" i="69"/>
  <c r="T37" i="69"/>
  <c r="U37" i="69"/>
  <c r="V37" i="69"/>
  <c r="R38" i="69"/>
  <c r="S38" i="69"/>
  <c r="T38" i="69"/>
  <c r="U38" i="69"/>
  <c r="V38" i="69"/>
  <c r="R39" i="69"/>
  <c r="S39" i="69"/>
  <c r="T39" i="69"/>
  <c r="U39" i="69"/>
  <c r="V39" i="69"/>
  <c r="R40" i="69"/>
  <c r="S40" i="69"/>
  <c r="T40" i="69"/>
  <c r="U40" i="69"/>
  <c r="V40" i="69"/>
  <c r="S24" i="69"/>
  <c r="T24" i="69"/>
  <c r="V24" i="69"/>
  <c r="R28" i="69"/>
  <c r="S20" i="69"/>
  <c r="V20" i="69"/>
  <c r="S18" i="69"/>
  <c r="U18" i="69"/>
  <c r="B52" i="70"/>
  <c r="B51" i="70"/>
  <c r="B50" i="70"/>
  <c r="B49" i="70"/>
  <c r="J48" i="70"/>
  <c r="I48" i="70"/>
  <c r="H48" i="70"/>
  <c r="G48" i="70"/>
  <c r="F48" i="70"/>
  <c r="B16" i="74"/>
  <c r="V49" i="69"/>
  <c r="V47" i="69"/>
  <c r="V48" i="69"/>
  <c r="U47" i="69"/>
  <c r="U48" i="69"/>
  <c r="T47" i="69"/>
  <c r="T48" i="69"/>
  <c r="S47" i="69"/>
  <c r="S48" i="69"/>
  <c r="R47" i="69"/>
  <c r="R48" i="69"/>
  <c r="S47" i="73"/>
  <c r="S48" i="73"/>
  <c r="S49" i="73"/>
  <c r="T47" i="73"/>
  <c r="T48" i="73"/>
  <c r="T49" i="73"/>
  <c r="U47" i="73"/>
  <c r="U48" i="73"/>
  <c r="U49" i="73"/>
  <c r="V47" i="73"/>
  <c r="V48" i="73"/>
  <c r="V49" i="73"/>
  <c r="R47" i="73"/>
  <c r="R48" i="73"/>
  <c r="R49" i="73"/>
  <c r="D38" i="70"/>
  <c r="E14" i="74"/>
  <c r="F14" i="74" s="1"/>
  <c r="G14" i="74" s="1"/>
  <c r="H14" i="74" s="1"/>
  <c r="I14" i="74" s="1"/>
  <c r="J14" i="74" s="1"/>
  <c r="D39" i="70"/>
  <c r="D40" i="70"/>
  <c r="J37" i="70"/>
  <c r="I37" i="70"/>
  <c r="H37" i="70"/>
  <c r="G37" i="70"/>
  <c r="F37" i="70"/>
  <c r="A26" i="74"/>
  <c r="A25" i="74"/>
  <c r="A24" i="74"/>
  <c r="A23" i="74"/>
  <c r="A5" i="75"/>
  <c r="A2" i="75"/>
  <c r="A1" i="75"/>
  <c r="A5" i="73"/>
  <c r="A5" i="71"/>
  <c r="A5" i="69"/>
  <c r="C54" i="69"/>
  <c r="C73" i="71"/>
  <c r="C54" i="73"/>
  <c r="D13" i="70"/>
  <c r="D12" i="70"/>
  <c r="D11" i="70"/>
  <c r="D22" i="70"/>
  <c r="D21" i="70"/>
  <c r="D20" i="70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C51" i="73"/>
  <c r="C50" i="73"/>
  <c r="C57" i="71"/>
  <c r="C56" i="71"/>
  <c r="C51" i="69"/>
  <c r="C50" i="69"/>
  <c r="A2" i="73"/>
  <c r="A1" i="73"/>
  <c r="A2" i="71"/>
  <c r="A1" i="71"/>
  <c r="A2" i="69"/>
  <c r="A1" i="69"/>
  <c r="A2" i="72"/>
  <c r="A1" i="72"/>
  <c r="A2" i="70"/>
  <c r="A1" i="70"/>
  <c r="D31" i="70"/>
  <c r="D30" i="70"/>
  <c r="D29" i="70"/>
  <c r="A11" i="71"/>
  <c r="A10" i="71"/>
  <c r="A12" i="71"/>
  <c r="A13" i="71"/>
  <c r="A16" i="71"/>
  <c r="A17" i="71"/>
  <c r="A18" i="71"/>
  <c r="A19" i="71"/>
  <c r="A20" i="71"/>
  <c r="A28" i="71"/>
  <c r="A30" i="71"/>
  <c r="S49" i="69"/>
  <c r="T49" i="69"/>
  <c r="U49" i="69"/>
  <c r="R49" i="69"/>
  <c r="T32" i="69" l="1"/>
  <c r="R10" i="73"/>
  <c r="R31" i="75"/>
  <c r="S11" i="69"/>
  <c r="S27" i="69"/>
  <c r="V30" i="75"/>
  <c r="R23" i="75"/>
  <c r="V27" i="75"/>
  <c r="V50" i="75" s="1"/>
  <c r="R31" i="73"/>
  <c r="U26" i="71"/>
  <c r="U49" i="71" s="1"/>
  <c r="U12" i="69"/>
  <c r="R18" i="73"/>
  <c r="T23" i="75"/>
  <c r="V32" i="71"/>
  <c r="V10" i="71"/>
  <c r="U22" i="71"/>
  <c r="T18" i="73"/>
  <c r="S22" i="73"/>
  <c r="R24" i="75"/>
  <c r="U32" i="75"/>
  <c r="R14" i="73"/>
  <c r="T22" i="73"/>
  <c r="T24" i="75"/>
  <c r="R28" i="75"/>
  <c r="R51" i="75" s="1"/>
  <c r="V17" i="69"/>
  <c r="U26" i="69"/>
  <c r="T14" i="73"/>
  <c r="R27" i="73"/>
  <c r="R30" i="73"/>
  <c r="R46" i="73" s="1"/>
  <c r="S32" i="73"/>
  <c r="V24" i="75"/>
  <c r="S28" i="75"/>
  <c r="S51" i="75" s="1"/>
  <c r="U32" i="71"/>
  <c r="U16" i="69"/>
  <c r="V28" i="75"/>
  <c r="V51" i="75" s="1"/>
  <c r="V31" i="75"/>
  <c r="V12" i="69"/>
  <c r="S31" i="69"/>
  <c r="T11" i="73"/>
  <c r="T15" i="73"/>
  <c r="T20" i="73"/>
  <c r="T24" i="73"/>
  <c r="R13" i="75"/>
  <c r="T16" i="69"/>
  <c r="T12" i="69"/>
  <c r="R26" i="69"/>
  <c r="R22" i="69"/>
  <c r="V31" i="69"/>
  <c r="S21" i="73"/>
  <c r="S25" i="73"/>
  <c r="S26" i="73"/>
  <c r="S27" i="73"/>
  <c r="S28" i="73"/>
  <c r="S30" i="73"/>
  <c r="S31" i="73"/>
  <c r="T32" i="73"/>
  <c r="T31" i="75"/>
  <c r="E57" i="74"/>
  <c r="S16" i="69"/>
  <c r="R12" i="69"/>
  <c r="V21" i="69"/>
  <c r="T31" i="69"/>
  <c r="R11" i="73"/>
  <c r="R15" i="73"/>
  <c r="R20" i="73"/>
  <c r="T21" i="73"/>
  <c r="S24" i="73"/>
  <c r="T25" i="73"/>
  <c r="T26" i="73"/>
  <c r="T27" i="73"/>
  <c r="T28" i="73"/>
  <c r="T30" i="73"/>
  <c r="T31" i="73"/>
  <c r="U32" i="73"/>
  <c r="E49" i="74"/>
  <c r="F55" i="74"/>
  <c r="S26" i="71"/>
  <c r="S49" i="71" s="1"/>
  <c r="E46" i="74"/>
  <c r="T17" i="69"/>
  <c r="U25" i="69"/>
  <c r="V30" i="69"/>
  <c r="R13" i="73"/>
  <c r="R17" i="73"/>
  <c r="U13" i="75"/>
  <c r="T20" i="75"/>
  <c r="V22" i="75"/>
  <c r="S24" i="75"/>
  <c r="T26" i="75"/>
  <c r="T49" i="75" s="1"/>
  <c r="U30" i="75"/>
  <c r="V30" i="71"/>
  <c r="V22" i="71"/>
  <c r="U25" i="71"/>
  <c r="U11" i="71"/>
  <c r="T30" i="71"/>
  <c r="T11" i="71"/>
  <c r="S22" i="71"/>
  <c r="T18" i="69"/>
  <c r="R17" i="69"/>
  <c r="R16" i="69"/>
  <c r="T20" i="69"/>
  <c r="V26" i="69"/>
  <c r="S25" i="69"/>
  <c r="R24" i="69"/>
  <c r="T33" i="69"/>
  <c r="R12" i="73"/>
  <c r="T13" i="73"/>
  <c r="R16" i="73"/>
  <c r="T17" i="73"/>
  <c r="R21" i="73"/>
  <c r="R22" i="73"/>
  <c r="R23" i="73"/>
  <c r="R24" i="73"/>
  <c r="R25" i="73"/>
  <c r="S33" i="73"/>
  <c r="T12" i="75"/>
  <c r="R22" i="75"/>
  <c r="T30" i="75"/>
  <c r="F48" i="74"/>
  <c r="E56" i="74"/>
  <c r="F50" i="74"/>
  <c r="V21" i="71"/>
  <c r="U30" i="71"/>
  <c r="U16" i="71"/>
  <c r="U45" i="71" s="1"/>
  <c r="T26" i="71"/>
  <c r="T49" i="71" s="1"/>
  <c r="T16" i="71"/>
  <c r="T45" i="71" s="1"/>
  <c r="T10" i="71"/>
  <c r="R14" i="71"/>
  <c r="T12" i="73"/>
  <c r="T16" i="73"/>
  <c r="U33" i="73"/>
  <c r="U46" i="73" s="1"/>
  <c r="T18" i="75"/>
  <c r="T47" i="75" s="1"/>
  <c r="S22" i="75"/>
  <c r="R30" i="75"/>
  <c r="V25" i="71"/>
  <c r="R14" i="75"/>
  <c r="F54" i="74"/>
  <c r="V18" i="69"/>
  <c r="S17" i="69"/>
  <c r="V14" i="69"/>
  <c r="T11" i="69"/>
  <c r="U20" i="69"/>
  <c r="V27" i="69"/>
  <c r="T25" i="69"/>
  <c r="U33" i="69"/>
  <c r="U32" i="69"/>
  <c r="S10" i="73"/>
  <c r="S11" i="73"/>
  <c r="S12" i="73"/>
  <c r="S13" i="73"/>
  <c r="S14" i="73"/>
  <c r="S15" i="73"/>
  <c r="S16" i="73"/>
  <c r="S17" i="73"/>
  <c r="S18" i="73"/>
  <c r="S20" i="73"/>
  <c r="T33" i="73"/>
  <c r="R11" i="75"/>
  <c r="V14" i="75"/>
  <c r="R17" i="75"/>
  <c r="R46" i="75" s="1"/>
  <c r="S23" i="75"/>
  <c r="V25" i="75"/>
  <c r="S31" i="75"/>
  <c r="F47" i="74"/>
  <c r="V27" i="71"/>
  <c r="V50" i="71" s="1"/>
  <c r="U17" i="71"/>
  <c r="U46" i="71" s="1"/>
  <c r="U12" i="71"/>
  <c r="T27" i="71"/>
  <c r="T50" i="71" s="1"/>
  <c r="T21" i="71"/>
  <c r="S27" i="71"/>
  <c r="S50" i="71" s="1"/>
  <c r="S21" i="71"/>
  <c r="R10" i="71"/>
  <c r="V33" i="75"/>
  <c r="B18" i="74"/>
  <c r="S15" i="69"/>
  <c r="V11" i="69"/>
  <c r="R11" i="69"/>
  <c r="R27" i="69"/>
  <c r="V25" i="69"/>
  <c r="R21" i="69"/>
  <c r="S32" i="69"/>
  <c r="V33" i="73"/>
  <c r="R12" i="75"/>
  <c r="T13" i="75"/>
  <c r="T14" i="75"/>
  <c r="R18" i="75"/>
  <c r="R47" i="75" s="1"/>
  <c r="U20" i="75"/>
  <c r="U23" i="75"/>
  <c r="T28" i="75"/>
  <c r="T51" i="75" s="1"/>
  <c r="V32" i="75"/>
  <c r="E58" i="74"/>
  <c r="V24" i="71"/>
  <c r="U10" i="71"/>
  <c r="U44" i="71" s="1"/>
  <c r="T33" i="71"/>
  <c r="T25" i="71"/>
  <c r="S32" i="71"/>
  <c r="S52" i="71" s="1"/>
  <c r="S25" i="71"/>
  <c r="S18" i="71"/>
  <c r="S47" i="71" s="1"/>
  <c r="S12" i="71"/>
  <c r="S44" i="71" s="1"/>
  <c r="R33" i="71"/>
  <c r="R30" i="71"/>
  <c r="R26" i="71"/>
  <c r="R49" i="71" s="1"/>
  <c r="R23" i="71"/>
  <c r="R20" i="71"/>
  <c r="R16" i="71"/>
  <c r="R45" i="71" s="1"/>
  <c r="R11" i="71"/>
  <c r="V10" i="69"/>
  <c r="R15" i="69"/>
  <c r="V32" i="69"/>
  <c r="U14" i="75"/>
  <c r="V17" i="71"/>
  <c r="V46" i="71" s="1"/>
  <c r="V12" i="71"/>
  <c r="V44" i="71" s="1"/>
  <c r="U24" i="71"/>
  <c r="T17" i="71"/>
  <c r="T46" i="71" s="1"/>
  <c r="T12" i="71"/>
  <c r="U45" i="73"/>
  <c r="U44" i="73"/>
  <c r="T10" i="69"/>
  <c r="U15" i="69"/>
  <c r="T14" i="69"/>
  <c r="S13" i="69"/>
  <c r="U28" i="69"/>
  <c r="T27" i="69"/>
  <c r="S26" i="69"/>
  <c r="V23" i="69"/>
  <c r="U22" i="69"/>
  <c r="T21" i="69"/>
  <c r="T30" i="69"/>
  <c r="T46" i="69" s="1"/>
  <c r="V10" i="73"/>
  <c r="V11" i="73"/>
  <c r="V12" i="73"/>
  <c r="V13" i="73"/>
  <c r="V14" i="73"/>
  <c r="V15" i="73"/>
  <c r="V16" i="73"/>
  <c r="V17" i="73"/>
  <c r="V18" i="73"/>
  <c r="V20" i="73"/>
  <c r="V21" i="73"/>
  <c r="V22" i="73"/>
  <c r="V23" i="73"/>
  <c r="V24" i="73"/>
  <c r="V25" i="73"/>
  <c r="V26" i="73"/>
  <c r="V27" i="73"/>
  <c r="V28" i="73"/>
  <c r="V30" i="73"/>
  <c r="V31" i="73"/>
  <c r="T10" i="75"/>
  <c r="U11" i="75"/>
  <c r="V12" i="75"/>
  <c r="R15" i="75"/>
  <c r="T16" i="75"/>
  <c r="T45" i="75" s="1"/>
  <c r="U17" i="75"/>
  <c r="U46" i="75" s="1"/>
  <c r="V18" i="75"/>
  <c r="V47" i="75" s="1"/>
  <c r="R21" i="75"/>
  <c r="T25" i="75"/>
  <c r="V26" i="75"/>
  <c r="V49" i="75" s="1"/>
  <c r="T33" i="75"/>
  <c r="T31" i="71"/>
  <c r="R21" i="71"/>
  <c r="S10" i="69"/>
  <c r="T15" i="69"/>
  <c r="S14" i="69"/>
  <c r="R13" i="69"/>
  <c r="T28" i="69"/>
  <c r="U23" i="69"/>
  <c r="T22" i="69"/>
  <c r="S21" i="69"/>
  <c r="S30" i="69"/>
  <c r="U10" i="75"/>
  <c r="V11" i="75"/>
  <c r="T15" i="75"/>
  <c r="U16" i="75"/>
  <c r="U45" i="75" s="1"/>
  <c r="V17" i="75"/>
  <c r="V46" i="75" s="1"/>
  <c r="S21" i="75"/>
  <c r="U25" i="75"/>
  <c r="R27" i="75"/>
  <c r="R50" i="75" s="1"/>
  <c r="R33" i="75"/>
  <c r="R52" i="75" s="1"/>
  <c r="R28" i="71"/>
  <c r="R51" i="71" s="1"/>
  <c r="T28" i="71"/>
  <c r="T51" i="71" s="1"/>
  <c r="R24" i="71"/>
  <c r="U13" i="69"/>
  <c r="R23" i="69"/>
  <c r="R14" i="69"/>
  <c r="S28" i="69"/>
  <c r="T23" i="69"/>
  <c r="S22" i="69"/>
  <c r="V10" i="75"/>
  <c r="U15" i="75"/>
  <c r="V16" i="75"/>
  <c r="V45" i="75" s="1"/>
  <c r="R20" i="75"/>
  <c r="R48" i="75" s="1"/>
  <c r="U21" i="75"/>
  <c r="S27" i="75"/>
  <c r="S50" i="75" s="1"/>
  <c r="R27" i="71"/>
  <c r="R50" i="71" s="1"/>
  <c r="R10" i="69"/>
  <c r="V13" i="69"/>
  <c r="R30" i="69"/>
  <c r="R46" i="69" s="1"/>
  <c r="S44" i="75"/>
  <c r="V15" i="75"/>
  <c r="V21" i="75"/>
  <c r="U27" i="75"/>
  <c r="U50" i="75" s="1"/>
  <c r="U31" i="71"/>
  <c r="U52" i="71" s="1"/>
  <c r="R31" i="71"/>
  <c r="V32" i="73"/>
  <c r="R10" i="75"/>
  <c r="T11" i="75"/>
  <c r="U12" i="75"/>
  <c r="V13" i="75"/>
  <c r="R16" i="75"/>
  <c r="R45" i="75" s="1"/>
  <c r="T17" i="75"/>
  <c r="T46" i="75" s="1"/>
  <c r="U18" i="75"/>
  <c r="U47" i="75" s="1"/>
  <c r="V20" i="75"/>
  <c r="S25" i="75"/>
  <c r="U26" i="75"/>
  <c r="U49" i="75" s="1"/>
  <c r="U33" i="75"/>
  <c r="U52" i="75" s="1"/>
  <c r="S32" i="75"/>
  <c r="S52" i="75" s="1"/>
  <c r="V31" i="71"/>
  <c r="T32" i="71"/>
  <c r="T24" i="71"/>
  <c r="R17" i="71"/>
  <c r="R46" i="71" s="1"/>
  <c r="T22" i="71"/>
  <c r="T15" i="71"/>
  <c r="T46" i="73" l="1"/>
  <c r="R44" i="71"/>
  <c r="T48" i="75"/>
  <c r="S46" i="73"/>
  <c r="V52" i="75"/>
  <c r="V52" i="71"/>
  <c r="R52" i="71"/>
  <c r="U46" i="69"/>
  <c r="V48" i="71"/>
  <c r="R45" i="73"/>
  <c r="R44" i="73"/>
  <c r="T44" i="73"/>
  <c r="S46" i="69"/>
  <c r="S44" i="69"/>
  <c r="S45" i="73"/>
  <c r="T45" i="73"/>
  <c r="T50" i="73" s="1"/>
  <c r="S69" i="71"/>
  <c r="K12" i="76" s="1"/>
  <c r="S66" i="71"/>
  <c r="K12" i="77" s="1"/>
  <c r="V45" i="69"/>
  <c r="U48" i="71"/>
  <c r="V46" i="69"/>
  <c r="T44" i="71"/>
  <c r="V44" i="69"/>
  <c r="U48" i="75"/>
  <c r="T52" i="75"/>
  <c r="T69" i="75" s="1"/>
  <c r="T45" i="69"/>
  <c r="S48" i="71"/>
  <c r="S65" i="71" s="1"/>
  <c r="J12" i="77" s="1"/>
  <c r="V67" i="71"/>
  <c r="R12" i="76" s="1"/>
  <c r="V64" i="71"/>
  <c r="R12" i="77" s="1"/>
  <c r="S64" i="71"/>
  <c r="I12" i="77" s="1"/>
  <c r="S67" i="71"/>
  <c r="I12" i="76" s="1"/>
  <c r="U65" i="71"/>
  <c r="P12" i="77" s="1"/>
  <c r="U68" i="71"/>
  <c r="P12" i="76" s="1"/>
  <c r="S68" i="71"/>
  <c r="U44" i="69"/>
  <c r="S45" i="69"/>
  <c r="S50" i="69" s="1"/>
  <c r="R48" i="71"/>
  <c r="T48" i="71"/>
  <c r="T52" i="71"/>
  <c r="T66" i="71" s="1"/>
  <c r="N12" i="77" s="1"/>
  <c r="R44" i="75"/>
  <c r="R56" i="75" s="1"/>
  <c r="S48" i="75"/>
  <c r="S68" i="75" s="1"/>
  <c r="S44" i="73"/>
  <c r="R44" i="69"/>
  <c r="R45" i="69"/>
  <c r="U45" i="69"/>
  <c r="S69" i="75"/>
  <c r="S66" i="75"/>
  <c r="U66" i="75"/>
  <c r="U69" i="75"/>
  <c r="U65" i="75"/>
  <c r="U68" i="75"/>
  <c r="U66" i="71"/>
  <c r="Q12" i="77" s="1"/>
  <c r="U69" i="71"/>
  <c r="Q12" i="76" s="1"/>
  <c r="T69" i="71"/>
  <c r="N12" i="76" s="1"/>
  <c r="T65" i="71"/>
  <c r="M12" i="77" s="1"/>
  <c r="T68" i="71"/>
  <c r="M12" i="76" s="1"/>
  <c r="V66" i="71"/>
  <c r="T12" i="77" s="1"/>
  <c r="V69" i="71"/>
  <c r="T12" i="76" s="1"/>
  <c r="R69" i="75"/>
  <c r="R66" i="75"/>
  <c r="R68" i="75"/>
  <c r="R65" i="75"/>
  <c r="V48" i="75"/>
  <c r="T66" i="75"/>
  <c r="T44" i="69"/>
  <c r="R66" i="71"/>
  <c r="H12" i="77" s="1"/>
  <c r="R69" i="71"/>
  <c r="H12" i="76" s="1"/>
  <c r="V44" i="75"/>
  <c r="U64" i="71"/>
  <c r="O12" i="77" s="1"/>
  <c r="U67" i="71"/>
  <c r="U56" i="71"/>
  <c r="V46" i="73"/>
  <c r="V44" i="73"/>
  <c r="R67" i="71"/>
  <c r="F12" i="76" s="1"/>
  <c r="R64" i="71"/>
  <c r="F12" i="77" s="1"/>
  <c r="R56" i="71"/>
  <c r="H20" i="70"/>
  <c r="U50" i="73"/>
  <c r="T56" i="71"/>
  <c r="T64" i="71"/>
  <c r="L12" i="77" s="1"/>
  <c r="T67" i="71"/>
  <c r="L12" i="76" s="1"/>
  <c r="T65" i="75"/>
  <c r="T68" i="75"/>
  <c r="V66" i="75"/>
  <c r="V69" i="75"/>
  <c r="V45" i="73"/>
  <c r="F29" i="70" s="1"/>
  <c r="V65" i="71"/>
  <c r="S12" i="77" s="1"/>
  <c r="V68" i="71"/>
  <c r="S64" i="75"/>
  <c r="S67" i="75"/>
  <c r="U44" i="75"/>
  <c r="T44" i="75"/>
  <c r="V56" i="71"/>
  <c r="R50" i="69" l="1"/>
  <c r="R64" i="75"/>
  <c r="S56" i="71"/>
  <c r="S57" i="71" s="1"/>
  <c r="R67" i="75"/>
  <c r="S50" i="73"/>
  <c r="T52" i="73"/>
  <c r="T51" i="73"/>
  <c r="H13" i="70"/>
  <c r="N12" i="72" s="1"/>
  <c r="G20" i="70"/>
  <c r="V50" i="69"/>
  <c r="R50" i="73"/>
  <c r="I11" i="70"/>
  <c r="O12" i="72" s="1"/>
  <c r="I20" i="70"/>
  <c r="V52" i="69"/>
  <c r="V51" i="69"/>
  <c r="J12" i="76"/>
  <c r="W12" i="76" s="1"/>
  <c r="J21" i="70"/>
  <c r="S65" i="75"/>
  <c r="S70" i="75" s="1"/>
  <c r="S12" i="76"/>
  <c r="Z12" i="76" s="1"/>
  <c r="S58" i="71"/>
  <c r="J12" i="70"/>
  <c r="S12" i="72" s="1"/>
  <c r="O12" i="76"/>
  <c r="Y12" i="76" s="1"/>
  <c r="T50" i="69"/>
  <c r="T52" i="69" s="1"/>
  <c r="W12" i="77"/>
  <c r="S70" i="71"/>
  <c r="G21" i="70"/>
  <c r="I12" i="70"/>
  <c r="P12" i="72" s="1"/>
  <c r="F11" i="70"/>
  <c r="F12" i="72" s="1"/>
  <c r="J22" i="70"/>
  <c r="I22" i="70"/>
  <c r="H21" i="70"/>
  <c r="H23" i="70" s="1"/>
  <c r="F38" i="70"/>
  <c r="S56" i="75"/>
  <c r="I21" i="70"/>
  <c r="I23" i="70" s="1"/>
  <c r="I13" i="70"/>
  <c r="Q12" i="72" s="1"/>
  <c r="F12" i="70"/>
  <c r="G12" i="72" s="1"/>
  <c r="H22" i="70"/>
  <c r="R68" i="71"/>
  <c r="U50" i="69"/>
  <c r="F22" i="70"/>
  <c r="G22" i="70"/>
  <c r="F21" i="70"/>
  <c r="F20" i="70"/>
  <c r="G13" i="70"/>
  <c r="K12" i="72" s="1"/>
  <c r="J20" i="70"/>
  <c r="R65" i="71"/>
  <c r="G12" i="77" s="1"/>
  <c r="V12" i="77" s="1"/>
  <c r="S52" i="73"/>
  <c r="S51" i="73"/>
  <c r="Z12" i="77"/>
  <c r="U67" i="75"/>
  <c r="U56" i="75"/>
  <c r="U64" i="75"/>
  <c r="G38" i="70"/>
  <c r="S57" i="75"/>
  <c r="S58" i="75"/>
  <c r="V70" i="71"/>
  <c r="H39" i="70"/>
  <c r="S71" i="71"/>
  <c r="R52" i="69"/>
  <c r="R51" i="69"/>
  <c r="H11" i="70"/>
  <c r="J13" i="70"/>
  <c r="T12" i="72" s="1"/>
  <c r="R57" i="71"/>
  <c r="R58" i="71"/>
  <c r="U58" i="71"/>
  <c r="U57" i="71"/>
  <c r="J38" i="70"/>
  <c r="R70" i="75"/>
  <c r="V68" i="75"/>
  <c r="V65" i="75"/>
  <c r="H40" i="70"/>
  <c r="F40" i="70"/>
  <c r="T51" i="69"/>
  <c r="H38" i="70"/>
  <c r="T58" i="71"/>
  <c r="T57" i="71"/>
  <c r="H12" i="70"/>
  <c r="M12" i="72" s="1"/>
  <c r="G12" i="70"/>
  <c r="J12" i="72" s="1"/>
  <c r="F13" i="70"/>
  <c r="H12" i="72" s="1"/>
  <c r="Y12" i="77"/>
  <c r="U70" i="71"/>
  <c r="I39" i="70"/>
  <c r="F39" i="70"/>
  <c r="X12" i="76"/>
  <c r="S52" i="69"/>
  <c r="S51" i="69"/>
  <c r="I40" i="70"/>
  <c r="J40" i="70"/>
  <c r="V50" i="73"/>
  <c r="J30" i="70"/>
  <c r="J31" i="70"/>
  <c r="G31" i="70"/>
  <c r="G30" i="70"/>
  <c r="I29" i="70"/>
  <c r="H30" i="70"/>
  <c r="F30" i="70"/>
  <c r="F31" i="70"/>
  <c r="G29" i="70"/>
  <c r="I30" i="70"/>
  <c r="J29" i="70"/>
  <c r="H29" i="70"/>
  <c r="H31" i="70"/>
  <c r="I31" i="70"/>
  <c r="V67" i="75"/>
  <c r="V56" i="75"/>
  <c r="V64" i="75"/>
  <c r="T70" i="71"/>
  <c r="V57" i="71"/>
  <c r="V58" i="71"/>
  <c r="U52" i="73"/>
  <c r="U51" i="73"/>
  <c r="T64" i="75"/>
  <c r="T67" i="75"/>
  <c r="T56" i="75"/>
  <c r="G40" i="70"/>
  <c r="I38" i="70"/>
  <c r="G39" i="70"/>
  <c r="J11" i="70"/>
  <c r="G11" i="70"/>
  <c r="J23" i="70"/>
  <c r="R58" i="75"/>
  <c r="R57" i="75"/>
  <c r="J39" i="70"/>
  <c r="G23" i="70" l="1"/>
  <c r="R70" i="71"/>
  <c r="R52" i="73"/>
  <c r="R51" i="73"/>
  <c r="F23" i="70"/>
  <c r="G12" i="76"/>
  <c r="V12" i="76" s="1"/>
  <c r="AB12" i="76" s="1"/>
  <c r="V70" i="75"/>
  <c r="I32" i="70"/>
  <c r="I51" i="70" s="1"/>
  <c r="V71" i="71"/>
  <c r="Y12" i="72"/>
  <c r="R71" i="75"/>
  <c r="I14" i="70"/>
  <c r="U51" i="69"/>
  <c r="E54" i="69" s="1"/>
  <c r="U52" i="69"/>
  <c r="X52" i="69" s="1"/>
  <c r="X3" i="69" s="1"/>
  <c r="H50" i="70"/>
  <c r="J32" i="70"/>
  <c r="F25" i="70"/>
  <c r="E73" i="71"/>
  <c r="F32" i="70"/>
  <c r="G41" i="70"/>
  <c r="G52" i="70" s="1"/>
  <c r="F41" i="70"/>
  <c r="F52" i="70" s="1"/>
  <c r="U71" i="71"/>
  <c r="J50" i="70"/>
  <c r="J54" i="70"/>
  <c r="F50" i="70"/>
  <c r="H54" i="70"/>
  <c r="X12" i="77"/>
  <c r="AB12" i="77" s="1"/>
  <c r="H32" i="70"/>
  <c r="H51" i="70" s="1"/>
  <c r="V51" i="73"/>
  <c r="V52" i="73"/>
  <c r="X52" i="73" s="1"/>
  <c r="X3" i="73" s="1"/>
  <c r="T71" i="71"/>
  <c r="J41" i="70"/>
  <c r="J52" i="70" s="1"/>
  <c r="L12" i="72"/>
  <c r="X12" i="72" s="1"/>
  <c r="H14" i="70"/>
  <c r="H49" i="70" s="1"/>
  <c r="U70" i="75"/>
  <c r="I12" i="72"/>
  <c r="W12" i="72" s="1"/>
  <c r="G14" i="70"/>
  <c r="G49" i="70" s="1"/>
  <c r="U57" i="75"/>
  <c r="U58" i="75"/>
  <c r="H41" i="70"/>
  <c r="X58" i="71"/>
  <c r="X3" i="71" s="1"/>
  <c r="V58" i="75"/>
  <c r="V57" i="75"/>
  <c r="V71" i="75" s="1"/>
  <c r="F14" i="70"/>
  <c r="G50" i="70"/>
  <c r="G54" i="70"/>
  <c r="V12" i="72"/>
  <c r="R71" i="71"/>
  <c r="S71" i="75"/>
  <c r="I54" i="70"/>
  <c r="T57" i="75"/>
  <c r="T58" i="75"/>
  <c r="R12" i="72"/>
  <c r="Z12" i="72" s="1"/>
  <c r="J14" i="70"/>
  <c r="J49" i="70" s="1"/>
  <c r="T70" i="75"/>
  <c r="G32" i="70"/>
  <c r="G51" i="70" s="1"/>
  <c r="I41" i="70"/>
  <c r="I50" i="70"/>
  <c r="F51" i="70" l="1"/>
  <c r="E54" i="73"/>
  <c r="E73" i="75"/>
  <c r="F54" i="70"/>
  <c r="D6" i="77"/>
  <c r="J51" i="70"/>
  <c r="I49" i="70"/>
  <c r="I52" i="70"/>
  <c r="D6" i="76"/>
  <c r="X58" i="75"/>
  <c r="X71" i="71"/>
  <c r="F43" i="70"/>
  <c r="U71" i="75"/>
  <c r="D6" i="72"/>
  <c r="D7" i="70" s="1"/>
  <c r="H52" i="70"/>
  <c r="F34" i="70"/>
  <c r="AB12" i="72"/>
  <c r="F16" i="70"/>
  <c r="F49" i="70"/>
  <c r="T71" i="75"/>
  <c r="X71" i="75" l="1"/>
</calcChain>
</file>

<file path=xl/sharedStrings.xml><?xml version="1.0" encoding="utf-8"?>
<sst xmlns="http://schemas.openxmlformats.org/spreadsheetml/2006/main" count="852" uniqueCount="91">
  <si>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</si>
  <si>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</si>
  <si>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</si>
  <si>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</si>
  <si>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</si>
  <si>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</si>
  <si>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</si>
  <si>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</si>
  <si>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</si>
  <si>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</si>
  <si>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</si>
  <si>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</si>
  <si>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</si>
  <si>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</si>
  <si>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</si>
  <si>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</si>
  <si>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</si>
  <si>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</si>
  <si>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</si>
  <si>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</si>
  <si>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</si>
  <si>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</si>
  <si>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</si>
  <si>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</si>
  <si>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</si>
  <si>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</si>
  <si>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</si>
  <si>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</si>
  <si>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</si>
  <si>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</si>
  <si>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</si>
  <si>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</si>
  <si>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</si>
  <si>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</si>
  <si>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</si>
  <si>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</si>
  <si>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</si>
  <si>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</si>
  <si>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</si>
  <si>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</si>
  <si>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</si>
  <si>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</si>
  <si>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</si>
  <si>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</si>
  <si>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</si>
  <si>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</si>
  <si>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</si>
  <si>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</si>
  <si>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</si>
  <si>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</t>
  </si>
  <si>
    <t>Hours</t>
  </si>
  <si>
    <t>Each</t>
  </si>
  <si>
    <t>NPV</t>
  </si>
  <si>
    <t>Checks</t>
  </si>
  <si>
    <t>Facilities Security</t>
  </si>
  <si>
    <t>Building Access Control (BACS)</t>
  </si>
  <si>
    <t xml:space="preserve">Smart Keys Project </t>
  </si>
  <si>
    <t>Existing Gates Upgrade</t>
  </si>
  <si>
    <t>Elevated Security Project - Control Room setup</t>
  </si>
  <si>
    <t>Existing CCTV Upgrade</t>
  </si>
  <si>
    <t>Livelink Enterprise Implementation</t>
  </si>
  <si>
    <t>ZSS Security improvements</t>
  </si>
  <si>
    <t>DSS Security improvements</t>
  </si>
  <si>
    <t>Depot Security</t>
  </si>
  <si>
    <t>IT</t>
  </si>
  <si>
    <t>Property</t>
  </si>
  <si>
    <t>Split</t>
  </si>
  <si>
    <t>Option 1 IT</t>
  </si>
  <si>
    <t>Option 2 Property</t>
  </si>
  <si>
    <t>Other</t>
  </si>
  <si>
    <t>ZSS</t>
  </si>
  <si>
    <t>DSS</t>
  </si>
  <si>
    <t>Depot</t>
  </si>
  <si>
    <t>Type 2</t>
  </si>
  <si>
    <t>Option 2 IT</t>
  </si>
  <si>
    <t>Option 1 Property</t>
  </si>
  <si>
    <t>CitiPower</t>
  </si>
  <si>
    <t>Powercor</t>
  </si>
  <si>
    <t xml:space="preserve">IT </t>
  </si>
  <si>
    <t>Splits betw CP &amp; Powercor</t>
  </si>
  <si>
    <t>CP</t>
  </si>
  <si>
    <t>PAL</t>
  </si>
  <si>
    <t>Capex</t>
  </si>
  <si>
    <t>Summary split by business</t>
  </si>
  <si>
    <t>Dollars</t>
  </si>
  <si>
    <t>CPI</t>
  </si>
  <si>
    <t>Annual CPI - 12 months unlagged</t>
  </si>
  <si>
    <t>Address the physical security of highest risk sites</t>
  </si>
  <si>
    <t>Address the physical security of all sites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</si>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</sst>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0.0000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i/>
      <sz val="10"/>
      <color theme="2" tint="-9.9948118533890809E-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7" fillId="0" borderId="0"/>
  </cellStyleXfs>
  <cellXfs count="179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49" fillId="0" borderId="0" xfId="0" applyFont="1"/>
    <xf numFmtId="167" fontId="49" fillId="0" borderId="0" xfId="0" applyNumberFormat="1" applyFont="1"/>
    <xf numFmtId="0" fontId="49" fillId="0" borderId="9" xfId="0" applyFont="1" applyBorder="1"/>
    <xf numFmtId="167" fontId="49" fillId="0" borderId="9" xfId="0" applyNumberFormat="1" applyFont="1" applyBorder="1"/>
    <xf numFmtId="0" fontId="51" fillId="0" borderId="10" xfId="13" applyFont="1" applyBorder="1" applyAlignment="1">
      <alignment horizontal="left" vertical="center"/>
    </xf>
    <xf numFmtId="0" fontId="52" fillId="0" borderId="10" xfId="0" applyFont="1" applyBorder="1" applyAlignment="1">
      <alignment horizontal="center"/>
    </xf>
    <xf numFmtId="0" fontId="53" fillId="0" borderId="10" xfId="13" applyFont="1" applyBorder="1" applyAlignment="1">
      <alignment horizontal="center" vertical="center"/>
    </xf>
    <xf numFmtId="0" fontId="51" fillId="0" borderId="11" xfId="13" applyFont="1" applyBorder="1" applyAlignment="1">
      <alignment horizontal="left" vertical="center"/>
    </xf>
    <xf numFmtId="9" fontId="51" fillId="2" borderId="11" xfId="26" applyFont="1" applyFill="1" applyBorder="1" applyAlignment="1">
      <alignment horizontal="center" vertical="center" wrapText="1"/>
    </xf>
    <xf numFmtId="9" fontId="51" fillId="2" borderId="11" xfId="26" applyFont="1" applyFill="1" applyBorder="1" applyAlignment="1">
      <alignment horizontal="center" vertical="center"/>
    </xf>
    <xf numFmtId="0" fontId="51" fillId="0" borderId="11" xfId="27" applyNumberFormat="1" applyFont="1" applyBorder="1" applyAlignment="1">
      <alignment horizontal="left" vertical="center"/>
    </xf>
    <xf numFmtId="9" fontId="0" fillId="2" borderId="11" xfId="26" applyFont="1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9" fontId="0" fillId="2" borderId="12" xfId="26" applyFont="1" applyFill="1" applyBorder="1" applyAlignment="1">
      <alignment horizontal="center"/>
    </xf>
    <xf numFmtId="9" fontId="45" fillId="2" borderId="5" xfId="26" applyFont="1" applyFill="1" applyBorder="1" applyAlignment="1">
      <alignment horizontal="center" vertical="center"/>
    </xf>
    <xf numFmtId="167" fontId="45" fillId="2" borderId="1" xfId="0" applyNumberFormat="1" applyFont="1" applyFill="1" applyBorder="1" applyAlignment="1">
      <alignment horizontal="right" vertical="top"/>
    </xf>
    <xf numFmtId="174" fontId="45" fillId="2" borderId="1" xfId="0" applyNumberFormat="1" applyFont="1" applyFill="1" applyBorder="1"/>
    <xf numFmtId="0" fontId="13" fillId="4" borderId="2" xfId="0" applyFont="1" applyFill="1" applyBorder="1" applyAlignment="1">
      <alignment horizontal="center"/>
    </xf>
    <xf numFmtId="0" fontId="52" fillId="0" borderId="10" xfId="0" applyFont="1" applyBorder="1"/>
    <xf numFmtId="0" fontId="52" fillId="0" borderId="10" xfId="0" applyFont="1" applyBorder="1" applyAlignment="1">
      <alignment horizontal="center" vertical="center"/>
    </xf>
    <xf numFmtId="9" fontId="0" fillId="2" borderId="11" xfId="26" applyFont="1" applyFill="1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9" fontId="0" fillId="0" borderId="11" xfId="26" applyFont="1" applyBorder="1"/>
    <xf numFmtId="9" fontId="0" fillId="2" borderId="12" xfId="26" applyFont="1" applyFill="1" applyBorder="1" applyAlignment="1">
      <alignment horizontal="center" vertical="center"/>
    </xf>
    <xf numFmtId="9" fontId="0" fillId="0" borderId="12" xfId="26" applyFont="1" applyBorder="1" applyAlignment="1">
      <alignment horizontal="center"/>
    </xf>
    <xf numFmtId="9" fontId="0" fillId="0" borderId="12" xfId="26" applyFont="1" applyBorder="1"/>
    <xf numFmtId="0" fontId="50" fillId="0" borderId="0" xfId="0" applyFont="1" applyFill="1" applyBorder="1"/>
    <xf numFmtId="0" fontId="54" fillId="0" borderId="10" xfId="0" applyFont="1" applyFill="1" applyBorder="1" applyAlignment="1">
      <alignment horizontal="center" vertical="center"/>
    </xf>
    <xf numFmtId="0" fontId="50" fillId="0" borderId="11" xfId="0" applyFont="1" applyFill="1" applyBorder="1"/>
    <xf numFmtId="9" fontId="50" fillId="11" borderId="11" xfId="26" applyFont="1" applyFill="1" applyBorder="1" applyAlignment="1">
      <alignment horizontal="center" vertical="center"/>
    </xf>
    <xf numFmtId="0" fontId="50" fillId="11" borderId="11" xfId="0" applyFont="1" applyFill="1" applyBorder="1" applyAlignment="1">
      <alignment horizontal="center" vertical="center"/>
    </xf>
    <xf numFmtId="0" fontId="50" fillId="0" borderId="12" xfId="0" applyFont="1" applyFill="1" applyBorder="1"/>
    <xf numFmtId="9" fontId="50" fillId="11" borderId="12" xfId="26" applyFont="1" applyFill="1" applyBorder="1" applyAlignment="1">
      <alignment horizontal="center" vertical="center"/>
    </xf>
    <xf numFmtId="0" fontId="52" fillId="0" borderId="0" xfId="0" applyFont="1"/>
    <xf numFmtId="0" fontId="55" fillId="0" borderId="0" xfId="0" applyFont="1" applyFill="1" applyBorder="1"/>
    <xf numFmtId="167" fontId="12" fillId="0" borderId="0" xfId="0" applyNumberFormat="1" applyFont="1"/>
    <xf numFmtId="6" fontId="12" fillId="0" borderId="0" xfId="0" applyNumberFormat="1" applyFont="1"/>
    <xf numFmtId="0" fontId="12" fillId="0" borderId="3" xfId="0" applyFont="1" applyBorder="1"/>
    <xf numFmtId="0" fontId="12" fillId="0" borderId="3" xfId="0" applyFont="1" applyBorder="1" applyAlignment="1">
      <alignment horizontal="center"/>
    </xf>
    <xf numFmtId="0" fontId="29" fillId="2" borderId="0" xfId="14" applyFont="1" applyFill="1" applyAlignment="1" applyProtection="1"/>
    <xf numFmtId="6" fontId="32" fillId="7" borderId="0" xfId="14" applyNumberFormat="1" applyFont="1" applyFill="1" applyBorder="1"/>
    <xf numFmtId="0" fontId="56" fillId="0" borderId="0" xfId="0" applyFont="1"/>
    <xf numFmtId="8" fontId="49" fillId="0" borderId="0" xfId="0" applyNumberFormat="1" applyFont="1"/>
    <xf numFmtId="0" fontId="13" fillId="12" borderId="0" xfId="0" applyFont="1" applyFill="1" applyBorder="1"/>
    <xf numFmtId="6" fontId="13" fillId="12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29" fillId="12" borderId="0" xfId="14" applyFont="1" applyFill="1" applyAlignment="1" applyProtection="1">
      <alignment horizontal="center"/>
    </xf>
  </cellXfs>
  <cellStyles count="28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5 2" xfId="27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8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FFCC"/>
      <color rgb="FFFFFF99"/>
      <color rgb="FFEBF2F9"/>
      <color rgb="FFE5EEF7"/>
      <color rgb="FFD6E5F2"/>
      <color rgb="FF0000FF"/>
      <color rgb="FFFF6600"/>
      <color rgb="FF0033CC"/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3"/>
  <sheetViews>
    <sheetView showGridLines="0" tabSelected="1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Facilities Security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80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1</v>
      </c>
      <c r="E5" s="167" t="s">
        <v>65</v>
      </c>
      <c r="F5" s="178" t="str">
        <f>RIGHT(D5,1)</f>
        <v>1</v>
      </c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 IT'!X3, 'Option 1 Property'!X3, 'Option 2 IT'!X3,  'Option 2 Property'!X3)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 t="str">
        <f>A2</f>
        <v>CP</v>
      </c>
      <c r="F12" s="168">
        <f>CHOOSE($F$5,INDEX('Option 1 Property'!$R$64:$V$69,MATCH(F$11&amp;$E$12,'Option 1 Property'!$F$64:$F$69,0),MATCH(F$10,'Option 1 Property'!$R$8:$V$8,0))/1000,
INDEX('Option 2 Property'!$R$64:$V$69,MATCH(F$11&amp;$E$12,'Option 2 Property'!$F$64:$F$69,0),MATCH(F$10,'Option 2 Property'!$R$8:$V$8,0))/1000)</f>
        <v>836.8816649956666</v>
      </c>
      <c r="G12" s="168">
        <f>CHOOSE($F$5,INDEX('Option 1 Property'!$R$64:$V$69,MATCH(G$11&amp;$E$12,'Option 1 Property'!$F$64:$F$69,0),MATCH(G$10,'Option 1 Property'!$R$8:$V$8,0))/1000,
INDEX('Option 2 Property'!$R$64:$V$69,MATCH(G$11&amp;$E$12,'Option 2 Property'!$F$64:$F$69,0),MATCH(G$10,'Option 2 Property'!$R$8:$V$8,0))/1000)</f>
        <v>2098.7601442718815</v>
      </c>
      <c r="H12" s="168">
        <f>CHOOSE($F$5,INDEX('Option 1 Property'!$R$64:$V$69,MATCH(H$11&amp;$E$12,'Option 1 Property'!$F$64:$F$69,0),MATCH(H$10,'Option 1 Property'!$R$8:$V$8,0))/1000,
INDEX('Option 2 Property'!$R$64:$V$69,MATCH(H$11&amp;$E$12,'Option 2 Property'!$F$64:$F$69,0),MATCH(H$10,'Option 2 Property'!$R$8:$V$8,0))/1000)</f>
        <v>38.125555597941997</v>
      </c>
      <c r="I12" s="168">
        <f>CHOOSE($F$5,INDEX('Option 1 Property'!$R$64:$V$69,MATCH(I$11&amp;$E$12,'Option 1 Property'!$F$64:$F$69,0),MATCH(I$10,'Option 1 Property'!$R$8:$V$8,0))/1000,
INDEX('Option 2 Property'!$R$64:$V$69,MATCH(I$11&amp;$E$12,'Option 2 Property'!$F$64:$F$69,0),MATCH(I$10,'Option 2 Property'!$R$8:$V$8,0))/1000)</f>
        <v>766.98481306610631</v>
      </c>
      <c r="J12" s="168">
        <f>CHOOSE($F$5,INDEX('Option 1 Property'!$R$64:$V$69,MATCH(J$11&amp;$E$12,'Option 1 Property'!$F$64:$F$69,0),MATCH(J$10,'Option 1 Property'!$R$8:$V$8,0))/1000,
INDEX('Option 2 Property'!$R$64:$V$69,MATCH(J$11&amp;$E$12,'Option 2 Property'!$F$64:$F$69,0),MATCH(J$10,'Option 2 Property'!$R$8:$V$8,0))/1000)</f>
        <v>1333.0719026798797</v>
      </c>
      <c r="K12" s="168">
        <f>CHOOSE($F$5,INDEX('Option 1 Property'!$R$64:$V$69,MATCH(K$11&amp;$E$12,'Option 1 Property'!$F$64:$F$69,0),MATCH(K$10,'Option 1 Property'!$R$8:$V$8,0))/1000,
INDEX('Option 2 Property'!$R$64:$V$69,MATCH(K$11&amp;$E$12,'Option 2 Property'!$F$64:$F$69,0),MATCH(K$10,'Option 2 Property'!$R$8:$V$8,0))/1000)</f>
        <v>0</v>
      </c>
      <c r="L12" s="168">
        <f>CHOOSE($F$5,INDEX('Option 1 Property'!$R$64:$V$69,MATCH(L$11&amp;$E$12,'Option 1 Property'!$F$64:$F$69,0),MATCH(L$10,'Option 1 Property'!$R$8:$V$8,0))/1000,
INDEX('Option 2 Property'!$R$64:$V$69,MATCH(L$11&amp;$E$12,'Option 2 Property'!$F$64:$F$69,0),MATCH(L$10,'Option 2 Property'!$R$8:$V$8,0))/1000)</f>
        <v>795.57897976456275</v>
      </c>
      <c r="M12" s="168">
        <f>CHOOSE($F$5,INDEX('Option 1 Property'!$R$64:$V$69,MATCH(M$11&amp;$E$12,'Option 1 Property'!$F$64:$F$69,0),MATCH(M$10,'Option 1 Property'!$R$8:$V$8,0))/1000,
INDEX('Option 2 Property'!$R$64:$V$69,MATCH(M$11&amp;$E$12,'Option 2 Property'!$F$64:$F$69,0),MATCH(M$10,'Option 2 Property'!$R$8:$V$8,0))/1000)</f>
        <v>799.31412430869182</v>
      </c>
      <c r="N12" s="168">
        <f>CHOOSE($F$5,INDEX('Option 1 Property'!$R$64:$V$69,MATCH(N$11&amp;$E$12,'Option 1 Property'!$F$64:$F$69,0),MATCH(N$10,'Option 1 Property'!$R$8:$V$8,0))/1000,
INDEX('Option 2 Property'!$R$64:$V$69,MATCH(N$11&amp;$E$12,'Option 2 Property'!$F$64:$F$69,0),MATCH(N$10,'Option 2 Property'!$R$8:$V$8,0))/1000)</f>
        <v>38.125555597941997</v>
      </c>
      <c r="O12" s="168">
        <f>CHOOSE($F$5,INDEX('Option 1 Property'!$R$64:$V$69,MATCH(O$11&amp;$E$12,'Option 1 Property'!$F$64:$F$69,0),MATCH(O$10,'Option 1 Property'!$R$8:$V$8,0))/1000,
INDEX('Option 2 Property'!$R$64:$V$69,MATCH(O$11&amp;$E$12,'Option 2 Property'!$F$64:$F$69,0),MATCH(O$10,'Option 2 Property'!$R$8:$V$8,0))/1000)</f>
        <v>652.60814627228024</v>
      </c>
      <c r="P12" s="168">
        <f>CHOOSE($F$5,INDEX('Option 1 Property'!$R$64:$V$69,MATCH(P$11&amp;$E$12,'Option 1 Property'!$F$64:$F$69,0),MATCH(P$10,'Option 1 Property'!$R$8:$V$8,0))/1000,
INDEX('Option 2 Property'!$R$64:$V$69,MATCH(P$11&amp;$E$12,'Option 2 Property'!$F$64:$F$69,0),MATCH(P$10,'Option 2 Property'!$R$8:$V$8,0))/1000)</f>
        <v>704.00023531383681</v>
      </c>
      <c r="Q12" s="168">
        <f>CHOOSE($F$5,INDEX('Option 1 Property'!$R$64:$V$69,MATCH(Q$11&amp;$E$12,'Option 1 Property'!$F$64:$F$69,0),MATCH(Q$10,'Option 1 Property'!$R$8:$V$8,0))/1000,
INDEX('Option 2 Property'!$R$64:$V$69,MATCH(Q$11&amp;$E$12,'Option 2 Property'!$F$64:$F$69,0),MATCH(Q$10,'Option 2 Property'!$R$8:$V$8,0))/1000)</f>
        <v>0</v>
      </c>
      <c r="R12" s="168">
        <f>CHOOSE($F$5,INDEX('Option 1 Property'!$R$64:$V$69,MATCH(R$11&amp;$E$12,'Option 1 Property'!$F$64:$F$69,0),MATCH(R$10,'Option 1 Property'!$R$8:$V$8,0))/1000,
INDEX('Option 2 Property'!$R$64:$V$69,MATCH(R$11&amp;$E$12,'Option 2 Property'!$F$64:$F$69,0),MATCH(R$10,'Option 2 Property'!$R$8:$V$8,0))/1000)</f>
        <v>652.60814627228024</v>
      </c>
      <c r="S12" s="168">
        <f>CHOOSE($F$5,INDEX('Option 1 Property'!$R$64:$V$69,MATCH(S$11&amp;$E$12,'Option 1 Property'!$F$64:$F$69,0),MATCH(S$10,'Option 1 Property'!$R$8:$V$8,0))/1000,
INDEX('Option 2 Property'!$R$64:$V$69,MATCH(S$11&amp;$E$12,'Option 2 Property'!$F$64:$F$69,0),MATCH(S$10,'Option 2 Property'!$R$8:$V$8,0))/1000)</f>
        <v>704.00023531383681</v>
      </c>
      <c r="T12" s="168">
        <f>CHOOSE($F$5,INDEX('Option 1 Property'!$R$64:$V$69,MATCH(T$11&amp;$E$12,'Option 1 Property'!$F$64:$F$69,0),MATCH(T$10,'Option 1 Property'!$R$8:$V$8,0))/1000,
INDEX('Option 2 Property'!$R$64:$V$69,MATCH(T$11&amp;$E$12,'Option 2 Property'!$F$64:$F$69,0),MATCH(T$10,'Option 2 Property'!$R$8:$V$8,0))/1000)</f>
        <v>0</v>
      </c>
      <c r="U12" s="67"/>
      <c r="V12" s="78">
        <f>SUMIF($F$10:$T$10,V$10,$F12:$T12)</f>
        <v>2973.76736486549</v>
      </c>
      <c r="W12" s="78">
        <f>SUMIF($F$10:$T$10,W$10,$F12:$T12)</f>
        <v>2100.0567157459859</v>
      </c>
      <c r="X12" s="78">
        <f>SUMIF($F$10:$T$10,X$10,$F12:$T12)</f>
        <v>1633.0186596711965</v>
      </c>
      <c r="Y12" s="78">
        <f>SUMIF($F$10:$T$10,Y$10,$F12:$T12)</f>
        <v>1356.608381586117</v>
      </c>
      <c r="Z12" s="78">
        <f>SUMIF($F$10:$T$10,Z$10,$F12:$T12)</f>
        <v>1356.608381586117</v>
      </c>
      <c r="AA12" s="67"/>
      <c r="AB12" s="78">
        <f>SUM(V12:Z12)</f>
        <v>9420.059503454906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7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Facilities Security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81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1</v>
      </c>
      <c r="E5" s="167" t="s">
        <v>65</v>
      </c>
      <c r="F5" s="178" t="str">
        <f>RIGHT(D5,1)</f>
        <v>1</v>
      </c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 IT'!X3, 'Option 1 Property'!X3, 'Option 2 IT'!X3,  'Option 2 Property'!X3)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 t="str">
        <f>A2</f>
        <v>PAL</v>
      </c>
      <c r="F12" s="168">
        <f>CHOOSE($F$5,INDEX('Option 1 Property'!$R$64:$V$69,MATCH(F$11&amp;$E$12,'Option 1 Property'!$F$64:$F$69,0),MATCH(F$10,'Option 1 Property'!$R$8:$V$8,0))/1000,
INDEX('Option 2 Property'!$R$64:$V$69,MATCH(F$11&amp;$E$12,'Option 2 Property'!$F$64:$F$69,0),MATCH(F$10,'Option 2 Property'!$R$8:$V$8,0))/1000)</f>
        <v>2705.2895725843505</v>
      </c>
      <c r="G12" s="168">
        <f>CHOOSE($F$5,INDEX('Option 1 Property'!$R$64:$V$69,MATCH(G$11&amp;$E$12,'Option 1 Property'!$F$64:$F$69,0),MATCH(G$10,'Option 1 Property'!$R$8:$V$8,0))/1000,
INDEX('Option 2 Property'!$R$64:$V$69,MATCH(G$11&amp;$E$12,'Option 2 Property'!$F$64:$F$69,0),MATCH(G$10,'Option 2 Property'!$R$8:$V$8,0))/1000)</f>
        <v>5790.4551712891498</v>
      </c>
      <c r="H12" s="168">
        <f>CHOOSE($F$5,INDEX('Option 1 Property'!$R$64:$V$69,MATCH(H$11&amp;$E$12,'Option 1 Property'!$F$64:$F$69,0),MATCH(H$10,'Option 1 Property'!$R$8:$V$8,0))/1000,
INDEX('Option 2 Property'!$R$64:$V$69,MATCH(H$11&amp;$E$12,'Option 2 Property'!$F$64:$F$69,0),MATCH(H$10,'Option 2 Property'!$R$8:$V$8,0))/1000)</f>
        <v>88.959629728531326</v>
      </c>
      <c r="I12" s="168">
        <f>CHOOSE($F$5,INDEX('Option 1 Property'!$R$64:$V$69,MATCH(I$11&amp;$E$12,'Option 1 Property'!$F$64:$F$69,0),MATCH(I$10,'Option 1 Property'!$R$8:$V$8,0))/1000,
INDEX('Option 2 Property'!$R$64:$V$69,MATCH(I$11&amp;$E$12,'Option 2 Property'!$F$64:$F$69,0),MATCH(I$10,'Option 2 Property'!$R$8:$V$8,0))/1000)</f>
        <v>2542.1969180820429</v>
      </c>
      <c r="J12" s="168">
        <f>CHOOSE($F$5,INDEX('Option 1 Property'!$R$64:$V$69,MATCH(J$11&amp;$E$12,'Option 1 Property'!$F$64:$F$69,0),MATCH(J$10,'Option 1 Property'!$R$8:$V$8,0))/1000,
INDEX('Option 2 Property'!$R$64:$V$69,MATCH(J$11&amp;$E$12,'Option 2 Property'!$F$64:$F$69,0),MATCH(J$10,'Option 2 Property'!$R$8:$V$8,0))/1000)</f>
        <v>4003.8492742411463</v>
      </c>
      <c r="K12" s="168">
        <f>CHOOSE($F$5,INDEX('Option 1 Property'!$R$64:$V$69,MATCH(K$11&amp;$E$12,'Option 1 Property'!$F$64:$F$69,0),MATCH(K$10,'Option 1 Property'!$R$8:$V$8,0))/1000,
INDEX('Option 2 Property'!$R$64:$V$69,MATCH(K$11&amp;$E$12,'Option 2 Property'!$F$64:$F$69,0),MATCH(K$10,'Option 2 Property'!$R$8:$V$8,0))/1000)</f>
        <v>0</v>
      </c>
      <c r="L12" s="168">
        <f>CHOOSE($F$5,INDEX('Option 1 Property'!$R$64:$V$69,MATCH(L$11&amp;$E$12,'Option 1 Property'!$F$64:$F$69,0),MATCH(L$10,'Option 1 Property'!$R$8:$V$8,0))/1000,
INDEX('Option 2 Property'!$R$64:$V$69,MATCH(L$11&amp;$E$12,'Option 2 Property'!$F$64:$F$69,0),MATCH(L$10,'Option 2 Property'!$R$8:$V$8,0))/1000)</f>
        <v>2608.9166403784416</v>
      </c>
      <c r="M12" s="168">
        <f>CHOOSE($F$5,INDEX('Option 1 Property'!$R$64:$V$69,MATCH(M$11&amp;$E$12,'Option 1 Property'!$F$64:$F$69,0),MATCH(M$10,'Option 1 Property'!$R$8:$V$8,0))/1000,
INDEX('Option 2 Property'!$R$64:$V$69,MATCH(M$11&amp;$E$12,'Option 2 Property'!$F$64:$F$69,0),MATCH(M$10,'Option 2 Property'!$R$8:$V$8,0))/1000)</f>
        <v>2758.4144580417073</v>
      </c>
      <c r="N12" s="168">
        <f>CHOOSE($F$5,INDEX('Option 1 Property'!$R$64:$V$69,MATCH(N$11&amp;$E$12,'Option 1 Property'!$F$64:$F$69,0),MATCH(N$10,'Option 1 Property'!$R$8:$V$8,0))/1000,
INDEX('Option 2 Property'!$R$64:$V$69,MATCH(N$11&amp;$E$12,'Option 2 Property'!$F$64:$F$69,0),MATCH(N$10,'Option 2 Property'!$R$8:$V$8,0))/1000)</f>
        <v>88.959629728531326</v>
      </c>
      <c r="O12" s="168">
        <f>CHOOSE($F$5,INDEX('Option 1 Property'!$R$64:$V$69,MATCH(O$11&amp;$E$12,'Option 1 Property'!$F$64:$F$69,0),MATCH(O$10,'Option 1 Property'!$R$8:$V$8,0))/1000,
INDEX('Option 2 Property'!$R$64:$V$69,MATCH(O$11&amp;$E$12,'Option 2 Property'!$F$64:$F$69,0),MATCH(O$10,'Option 2 Property'!$R$8:$V$8,0))/1000)</f>
        <v>2275.3180288964491</v>
      </c>
      <c r="P12" s="168">
        <f>CHOOSE($F$5,INDEX('Option 1 Property'!$R$64:$V$69,MATCH(P$11&amp;$E$12,'Option 1 Property'!$F$64:$F$69,0),MATCH(P$10,'Option 1 Property'!$R$8:$V$8,0))/1000,
INDEX('Option 2 Property'!$R$64:$V$69,MATCH(P$11&amp;$E$12,'Option 2 Property'!$F$64:$F$69,0),MATCH(P$10,'Option 2 Property'!$R$8:$V$8,0))/1000)</f>
        <v>2536.0153837203793</v>
      </c>
      <c r="Q12" s="168">
        <f>CHOOSE($F$5,INDEX('Option 1 Property'!$R$64:$V$69,MATCH(Q$11&amp;$E$12,'Option 1 Property'!$F$64:$F$69,0),MATCH(Q$10,'Option 1 Property'!$R$8:$V$8,0))/1000,
INDEX('Option 2 Property'!$R$64:$V$69,MATCH(Q$11&amp;$E$12,'Option 2 Property'!$F$64:$F$69,0),MATCH(Q$10,'Option 2 Property'!$R$8:$V$8,0))/1000)</f>
        <v>0</v>
      </c>
      <c r="R12" s="168">
        <f>CHOOSE($F$5,INDEX('Option 1 Property'!$R$64:$V$69,MATCH(R$11&amp;$E$12,'Option 1 Property'!$F$64:$F$69,0),MATCH(R$10,'Option 1 Property'!$R$8:$V$8,0))/1000,
INDEX('Option 2 Property'!$R$64:$V$69,MATCH(R$11&amp;$E$12,'Option 2 Property'!$F$64:$F$69,0),MATCH(R$10,'Option 2 Property'!$R$8:$V$8,0))/1000)</f>
        <v>2275.3180288964491</v>
      </c>
      <c r="S12" s="168">
        <f>CHOOSE($F$5,INDEX('Option 1 Property'!$R$64:$V$69,MATCH(S$11&amp;$E$12,'Option 1 Property'!$F$64:$F$69,0),MATCH(S$10,'Option 1 Property'!$R$8:$V$8,0))/1000,
INDEX('Option 2 Property'!$R$64:$V$69,MATCH(S$11&amp;$E$12,'Option 2 Property'!$F$64:$F$69,0),MATCH(S$10,'Option 2 Property'!$R$8:$V$8,0))/1000)</f>
        <v>2536.0153837203793</v>
      </c>
      <c r="T12" s="168">
        <f>CHOOSE($F$5,INDEX('Option 1 Property'!$R$64:$V$69,MATCH(T$11&amp;$E$12,'Option 1 Property'!$F$64:$F$69,0),MATCH(T$10,'Option 1 Property'!$R$8:$V$8,0))/1000,
INDEX('Option 2 Property'!$R$64:$V$69,MATCH(T$11&amp;$E$12,'Option 2 Property'!$F$64:$F$69,0),MATCH(T$10,'Option 2 Property'!$R$8:$V$8,0))/1000)</f>
        <v>0</v>
      </c>
      <c r="U12" s="168"/>
      <c r="V12" s="78">
        <f>SUMIF($F$10:$T$10,V$10,$F12:$T12)</f>
        <v>8584.7043736020314</v>
      </c>
      <c r="W12" s="78">
        <f>SUMIF($F$10:$T$10,W$10,$F12:$T12)</f>
        <v>6546.0461923231887</v>
      </c>
      <c r="X12" s="78">
        <f>SUMIF($F$10:$T$10,X$10,$F12:$T12)</f>
        <v>5456.2907281486805</v>
      </c>
      <c r="Y12" s="78">
        <f>SUMIF($F$10:$T$10,Y$10,$F12:$T12)</f>
        <v>4811.3334126168284</v>
      </c>
      <c r="Z12" s="78">
        <f>SUMIF($F$10:$T$10,Z$10,$F12:$T12)</f>
        <v>4811.3334126168284</v>
      </c>
      <c r="AA12" s="67"/>
      <c r="AB12" s="78">
        <f>SUM(V12:Z12)</f>
        <v>30209.708119307557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Facilities Security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Summary!D6&amp;" "&amp;E5</f>
        <v>Option 1 IT</v>
      </c>
      <c r="E5" s="167" t="s">
        <v>64</v>
      </c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 IT'!X3, 'Option 1 Property'!X3, 'Option 2 IT'!X3,  'Option 2 Property'!X3)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INDEX(Summary!$F$11:$J$43,MATCH($D$5&amp;F$11,Summary!$D$11:$D$43,0), MATCH(Output!F$10, Summary!$F$10:$J$10,0))/1000</f>
        <v>492.99520517772163</v>
      </c>
      <c r="G12" s="78">
        <f>INDEX(Summary!$F$11:$J$43,MATCH($D$5&amp;G$11,Summary!$D$11:$D$43,0), MATCH(Output!G$10, Summary!$F$10:$J$10,0))/1000</f>
        <v>1081.3042993502982</v>
      </c>
      <c r="H12" s="78">
        <f>INDEX(Summary!$F$11:$J$43,MATCH($D$5&amp;H$11,Summary!$D$11:$D$43,0), MATCH(Output!H$10, Summary!$F$10:$J$10,0))/1000</f>
        <v>137.67561743701276</v>
      </c>
      <c r="I12" s="78">
        <f>INDEX(Summary!$F$11:$J$43,MATCH($D$5&amp;I$11,Summary!$D$11:$D$43,0), MATCH(Output!I$10, Summary!$F$10:$J$10,0))/1000</f>
        <v>514.17606939880045</v>
      </c>
      <c r="J12" s="78">
        <f>INDEX(Summary!$F$11:$J$43,MATCH($D$5&amp;J$11,Summary!$D$11:$D$43,0), MATCH(Output!J$10, Summary!$F$10:$J$10,0))/1000</f>
        <v>456.46880482847104</v>
      </c>
      <c r="K12" s="78">
        <f>INDEX(Summary!$F$11:$J$43,MATCH($D$5&amp;K$11,Summary!$D$11:$D$43,0), MATCH(Output!K$10, Summary!$F$10:$J$10,0))/1000</f>
        <v>264.76080276348603</v>
      </c>
      <c r="L12" s="78">
        <f>INDEX(Summary!$F$11:$J$43,MATCH($D$5&amp;L$11,Summary!$D$11:$D$43,0), MATCH(Output!L$10, Summary!$F$10:$J$10,0))/1000</f>
        <v>524.76650150933995</v>
      </c>
      <c r="M12" s="78">
        <f>INDEX(Summary!$F$11:$J$43,MATCH($D$5&amp;M$11,Summary!$D$11:$D$43,0), MATCH(Output!M$10, Summary!$F$10:$J$10,0))/1000</f>
        <v>435.28794060739216</v>
      </c>
      <c r="N12" s="78">
        <f>INDEX(Summary!$F$11:$J$43,MATCH($D$5&amp;N$11,Summary!$D$11:$D$43,0), MATCH(Output!N$10, Summary!$F$10:$J$10,0))/1000</f>
        <v>84.723456884315539</v>
      </c>
      <c r="O12" s="78">
        <f>INDEX(Summary!$F$11:$J$43,MATCH($D$5&amp;O$11,Summary!$D$11:$D$43,0), MATCH(Output!O$10, Summary!$F$10:$J$10,0))/1000</f>
        <v>1477.9053914578897</v>
      </c>
      <c r="P12" s="78">
        <f>INDEX(Summary!$F$11:$J$43,MATCH($D$5&amp;P$11,Summary!$D$11:$D$43,0), MATCH(Output!P$10, Summary!$F$10:$J$10,0))/1000</f>
        <v>1970.9005966356115</v>
      </c>
      <c r="Q12" s="78">
        <f>INDEX(Summary!$F$11:$J$43,MATCH($D$5&amp;Q$11,Summary!$D$11:$D$43,0), MATCH(Output!Q$10, Summary!$F$10:$J$10,0))/1000</f>
        <v>635.42592663236655</v>
      </c>
      <c r="R12" s="78">
        <f>INDEX(Summary!$F$11:$J$43,MATCH($D$5&amp;R$11,Summary!$D$11:$D$43,0), MATCH(Output!R$10, Summary!$F$10:$J$10,0))/1000</f>
        <v>207.05353819315664</v>
      </c>
      <c r="S12" s="78">
        <f>INDEX(Summary!$F$11:$J$43,MATCH($D$5&amp;S$11,Summary!$D$11:$D$43,0), MATCH(Output!S$10, Summary!$F$10:$J$10,0))/1000</f>
        <v>223.47929839660333</v>
      </c>
      <c r="T12" s="78">
        <f>INDEX(Summary!$F$11:$J$43,MATCH($D$5&amp;T$11,Summary!$D$11:$D$43,0), MATCH(Output!T$10, Summary!$F$10:$J$10,0))/1000</f>
        <v>0</v>
      </c>
      <c r="U12" s="67"/>
      <c r="V12" s="78">
        <f>SUMIF($F$10:$T$10,V$10,$F12:$T12)</f>
        <v>1711.9751219650325</v>
      </c>
      <c r="W12" s="78">
        <f>SUMIF($F$10:$T$10,W$10,$F12:$T12)</f>
        <v>1235.4056769907575</v>
      </c>
      <c r="X12" s="78">
        <f>SUMIF($F$10:$T$10,X$10,$F12:$T12)</f>
        <v>1044.7778990010477</v>
      </c>
      <c r="Y12" s="78">
        <f>SUMIF($F$10:$T$10,Y$10,$F12:$T12)</f>
        <v>4084.2319147258677</v>
      </c>
      <c r="Z12" s="78">
        <f>SUMIF($F$10:$T$10,Z$10,$F12:$T12)</f>
        <v>430.53283658976</v>
      </c>
      <c r="AA12" s="67"/>
      <c r="AB12" s="78">
        <f>SUM(V12:Z12)</f>
        <v>8506.9234492724645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5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5.7109375" style="1" bestFit="1" customWidth="1"/>
    <col min="3" max="3" width="15.28515625" style="1" customWidth="1"/>
    <col min="4" max="4" width="13.85546875" style="100" customWidth="1"/>
    <col min="5" max="5" width="2.85546875" style="1" customWidth="1"/>
    <col min="6" max="6" width="15.42578125" style="1" customWidth="1"/>
    <col min="7" max="10" width="12.42578125" style="1" customWidth="1"/>
    <col min="11" max="16384" width="9.140625" style="1"/>
  </cols>
  <sheetData>
    <row r="1" spans="1:16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5"/>
    </row>
    <row r="2" spans="1:16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6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</row>
    <row r="4" spans="1:16" ht="12.75" customHeight="1" x14ac:dyDescent="0.2">
      <c r="E4" s="3"/>
    </row>
    <row r="5" spans="1:16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6" ht="12.75" customHeight="1" x14ac:dyDescent="0.2">
      <c r="B6" s="42" t="s">
        <v>22</v>
      </c>
      <c r="D6" s="43" t="s">
        <v>29</v>
      </c>
      <c r="E6" s="3"/>
    </row>
    <row r="7" spans="1:16" ht="12.75" customHeight="1" x14ac:dyDescent="0.2">
      <c r="B7" s="118" t="s">
        <v>40</v>
      </c>
      <c r="D7" s="117" t="b">
        <f>Output!D6</f>
        <v>1</v>
      </c>
      <c r="E7" s="3"/>
    </row>
    <row r="8" spans="1:16" ht="12.75" customHeight="1" x14ac:dyDescent="0.2">
      <c r="E8" s="3"/>
    </row>
    <row r="9" spans="1:16" ht="12.75" customHeight="1" x14ac:dyDescent="0.2">
      <c r="E9" s="3"/>
    </row>
    <row r="10" spans="1:16" ht="12.75" customHeight="1" x14ac:dyDescent="0.2">
      <c r="B10" s="82" t="s">
        <v>67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L10" s="100"/>
      <c r="M10" s="100"/>
      <c r="N10" s="100"/>
      <c r="O10" s="100"/>
      <c r="P10" s="100"/>
    </row>
    <row r="11" spans="1:16" ht="12.75" customHeight="1" x14ac:dyDescent="0.2">
      <c r="C11" s="1" t="s">
        <v>2</v>
      </c>
      <c r="D11" s="120" t="str">
        <f>B10&amp;C11</f>
        <v>Option 1 ITLabour</v>
      </c>
      <c r="E11" s="3"/>
      <c r="F11" s="9">
        <f>SUMPRODUCT((years=Summary!F$10)*(Option1IT_categories=Summary!$C11)*(Option1IT_costs))*Conv_2021</f>
        <v>492995.20517772163</v>
      </c>
      <c r="G11" s="9">
        <f>SUMPRODUCT((years=Summary!G$10)*(Option1IT_categories=Summary!$C11)*(Option1IT_costs))*Conv_2021</f>
        <v>514176.06939880049</v>
      </c>
      <c r="H11" s="9">
        <f>SUMPRODUCT((years=Summary!H$10)*(Option1IT_categories=Summary!$C11)*(Option1IT_costs))*Conv_2021</f>
        <v>524766.5015093399</v>
      </c>
      <c r="I11" s="9">
        <f>SUMPRODUCT((years=Summary!I$10)*(Option1IT_categories=Summary!$C11)*(Option1IT_costs))*Conv_2021</f>
        <v>1477905.3914578897</v>
      </c>
      <c r="J11" s="9">
        <f>SUMPRODUCT((years=Summary!J$10)*(Option1IT_categories=Summary!$C11)*(Option1IT_costs))*Conv_2021</f>
        <v>207053.53819315665</v>
      </c>
      <c r="L11" s="100"/>
      <c r="M11" s="100"/>
      <c r="N11" s="100"/>
      <c r="O11" s="100"/>
      <c r="P11" s="100"/>
    </row>
    <row r="12" spans="1:16" ht="12.75" customHeight="1" x14ac:dyDescent="0.2">
      <c r="C12" s="1" t="s">
        <v>1</v>
      </c>
      <c r="D12" s="120" t="str">
        <f>B10&amp;C12</f>
        <v>Option 1 ITMaterials</v>
      </c>
      <c r="E12" s="3"/>
      <c r="F12" s="9">
        <f>SUMPRODUCT((years=Summary!F$10)*(Option1IT_categories=Summary!$C12)*(Option1IT_costs))*Conv_2021</f>
        <v>1081304.2993502982</v>
      </c>
      <c r="G12" s="9">
        <f>SUMPRODUCT((years=Summary!G$10)*(Option1IT_categories=Summary!$C12)*(Option1IT_costs))*Conv_2021</f>
        <v>456468.80482847104</v>
      </c>
      <c r="H12" s="9">
        <f>SUMPRODUCT((years=Summary!H$10)*(Option1IT_categories=Summary!$C12)*(Option1IT_costs))*Conv_2021</f>
        <v>435287.94060739217</v>
      </c>
      <c r="I12" s="9">
        <f>SUMPRODUCT((years=Summary!I$10)*(Option1IT_categories=Summary!$C12)*(Option1IT_costs))*Conv_2021</f>
        <v>1970900.5966356115</v>
      </c>
      <c r="J12" s="9">
        <f>SUMPRODUCT((years=Summary!J$10)*(Option1IT_categories=Summary!$C12)*(Option1IT_costs))*Conv_2021</f>
        <v>223479.29839660332</v>
      </c>
      <c r="L12" s="100"/>
      <c r="M12" s="100"/>
      <c r="N12" s="100"/>
      <c r="O12" s="100"/>
      <c r="P12" s="100"/>
    </row>
    <row r="13" spans="1:16" ht="12.75" customHeight="1" x14ac:dyDescent="0.2">
      <c r="C13" s="1" t="s">
        <v>4</v>
      </c>
      <c r="D13" s="120" t="str">
        <f>B10&amp;C13</f>
        <v>Option 1 ITContracts</v>
      </c>
      <c r="F13" s="9">
        <f>SUMPRODUCT((years=Summary!F$10)*(Option1IT_categories=Summary!$C13)*(Option1IT_costs))*Conv_2021</f>
        <v>137675.61743701276</v>
      </c>
      <c r="G13" s="9">
        <f>SUMPRODUCT((years=Summary!G$10)*(Option1IT_categories=Summary!$C13)*(Option1IT_costs))*Conv_2021</f>
        <v>264760.80276348605</v>
      </c>
      <c r="H13" s="9">
        <f>SUMPRODUCT((years=Summary!H$10)*(Option1IT_categories=Summary!$C13)*(Option1IT_costs))*Conv_2021</f>
        <v>84723.456884315543</v>
      </c>
      <c r="I13" s="9">
        <f>SUMPRODUCT((years=Summary!I$10)*(Option1IT_categories=Summary!$C13)*(Option1IT_costs))*Conv_2021</f>
        <v>635425.92663236661</v>
      </c>
      <c r="J13" s="9">
        <f>SUMPRODUCT((years=Summary!J$10)*(Option1IT_categories=Summary!$C13)*(Option1IT_costs))*Conv_2021</f>
        <v>0</v>
      </c>
      <c r="L13" s="100"/>
      <c r="M13" s="100"/>
      <c r="N13" s="100"/>
      <c r="O13" s="100"/>
      <c r="P13" s="100"/>
    </row>
    <row r="14" spans="1:16" ht="12.75" customHeight="1" x14ac:dyDescent="0.2">
      <c r="B14" s="100"/>
      <c r="C14" s="25" t="s">
        <v>48</v>
      </c>
      <c r="D14" s="25"/>
      <c r="E14" s="25"/>
      <c r="F14" s="26">
        <f t="shared" ref="F14:J14" si="0">SUM(F11:F13)</f>
        <v>1711975.1219650325</v>
      </c>
      <c r="G14" s="26">
        <f t="shared" si="0"/>
        <v>1235405.6769907577</v>
      </c>
      <c r="H14" s="26">
        <f t="shared" si="0"/>
        <v>1044777.8990010476</v>
      </c>
      <c r="I14" s="26">
        <f t="shared" si="0"/>
        <v>4084231.9147258676</v>
      </c>
      <c r="J14" s="26">
        <f t="shared" si="0"/>
        <v>430532.83658975997</v>
      </c>
      <c r="K14" s="2"/>
      <c r="L14" s="100"/>
      <c r="M14" s="100"/>
      <c r="N14" s="100"/>
      <c r="O14" s="100"/>
      <c r="P14" s="100"/>
    </row>
    <row r="15" spans="1:16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  <c r="L15" s="100"/>
      <c r="M15" s="100"/>
      <c r="N15" s="100"/>
      <c r="O15" s="100"/>
      <c r="P15" s="100"/>
    </row>
    <row r="16" spans="1:16" ht="12.75" customHeight="1" x14ac:dyDescent="0.2">
      <c r="C16" s="124" t="s">
        <v>52</v>
      </c>
      <c r="D16" s="26"/>
      <c r="E16" s="26"/>
      <c r="F16" s="26">
        <f>NPV(Assumptions!$B$6,Summary!F14:J14)</f>
        <v>7839587.8184402455</v>
      </c>
      <c r="G16" s="81"/>
      <c r="H16" s="81"/>
      <c r="I16" s="81"/>
      <c r="J16" s="81"/>
    </row>
    <row r="17" spans="2:10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0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0" ht="12.75" customHeight="1" x14ac:dyDescent="0.2">
      <c r="B19" s="82" t="s">
        <v>75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0" ht="12.75" customHeight="1" x14ac:dyDescent="0.2">
      <c r="C20" s="1" t="s">
        <v>2</v>
      </c>
      <c r="D20" s="120" t="str">
        <f>B19&amp;C20</f>
        <v>Option 1 PropertyLabour</v>
      </c>
      <c r="E20" s="3"/>
      <c r="F20" s="9">
        <f>SUMPRODUCT((years=Summary!F$10)*(Option1Property_categories=Summary!$C20)*(Option1Property_costs))*Conv_2021</f>
        <v>3542171.2375800167</v>
      </c>
      <c r="G20" s="9">
        <f>SUMPRODUCT((years=Summary!G$10)*(Option1Property_categories=Summary!$C20)*(Option1Property_costs))*Conv_2021</f>
        <v>3309181.7311481494</v>
      </c>
      <c r="H20" s="9">
        <f>SUMPRODUCT((years=Summary!H$10)*(Option1Property_categories=Summary!$C20)*(Option1Property_costs))*Conv_2021</f>
        <v>3404495.6201430042</v>
      </c>
      <c r="I20" s="9">
        <f>SUMPRODUCT((years=Summary!I$10)*(Option1Property_categories=Summary!$C20)*(Option1Property_costs))*Conv_2021</f>
        <v>2927926.1751687294</v>
      </c>
      <c r="J20" s="9">
        <f>SUMPRODUCT((years=Summary!J$10)*(Option1Property_categories=Summary!$C20)*(Option1Property_costs))*Conv_2021</f>
        <v>2927926.1751687294</v>
      </c>
    </row>
    <row r="21" spans="2:10" x14ac:dyDescent="0.2">
      <c r="C21" s="1" t="s">
        <v>1</v>
      </c>
      <c r="D21" s="120" t="str">
        <f>B19&amp;C21</f>
        <v>Option 1 PropertyMaterials</v>
      </c>
      <c r="E21" s="3"/>
      <c r="F21" s="9">
        <f>SUMPRODUCT((years=Summary!F$10)*(Option1Property_categories=Summary!$C21)*(Option1Property_costs))*Conv_2021</f>
        <v>7889215.315561031</v>
      </c>
      <c r="G21" s="9">
        <f>SUMPRODUCT((years=Summary!G$10)*(Option1Property_categories=Summary!$C21)*(Option1Property_costs))*Conv_2021</f>
        <v>5336921.1769210258</v>
      </c>
      <c r="H21" s="9">
        <f>SUMPRODUCT((years=Summary!H$10)*(Option1Property_categories=Summary!$C21)*(Option1Property_costs))*Conv_2021</f>
        <v>3557728.5823503993</v>
      </c>
      <c r="I21" s="9">
        <f>SUMPRODUCT((years=Summary!I$10)*(Option1Property_categories=Summary!$C21)*(Option1Property_costs))*Conv_2021</f>
        <v>3240015.6190342163</v>
      </c>
      <c r="J21" s="9">
        <f>SUMPRODUCT((years=Summary!J$10)*(Option1Property_categories=Summary!$C21)*(Option1Property_costs))*Conv_2021</f>
        <v>3240015.6190342163</v>
      </c>
    </row>
    <row r="22" spans="2:10" x14ac:dyDescent="0.2">
      <c r="C22" s="1" t="s">
        <v>4</v>
      </c>
      <c r="D22" s="120" t="str">
        <f>B19&amp;C22</f>
        <v>Option 1 PropertyContracts</v>
      </c>
      <c r="F22" s="9">
        <f>SUMPRODUCT((years=Summary!F$10)*(Option1Property_categories=Summary!$C22)*(Option1Property_costs))*Conv_2021</f>
        <v>127085.18532647331</v>
      </c>
      <c r="G22" s="9">
        <f>SUMPRODUCT((years=Summary!G$10)*(Option1Property_categories=Summary!$C22)*(Option1Property_costs))*Conv_2021</f>
        <v>0</v>
      </c>
      <c r="H22" s="9">
        <f>SUMPRODUCT((years=Summary!H$10)*(Option1Property_categories=Summary!$C22)*(Option1Property_costs))*Conv_2021</f>
        <v>127085.18532647331</v>
      </c>
      <c r="I22" s="9">
        <f>SUMPRODUCT((years=Summary!I$10)*(Option1Property_categories=Summary!$C22)*(Option1Property_costs))*Conv_2021</f>
        <v>0</v>
      </c>
      <c r="J22" s="9">
        <f>SUMPRODUCT((years=Summary!J$10)*(Option1Property_categories=Summary!$C22)*(Option1Property_costs))*Conv_2021</f>
        <v>0</v>
      </c>
    </row>
    <row r="23" spans="2:10" x14ac:dyDescent="0.2">
      <c r="B23" s="100"/>
      <c r="C23" s="25" t="s">
        <v>48</v>
      </c>
      <c r="D23" s="25"/>
      <c r="E23" s="25"/>
      <c r="F23" s="26">
        <f t="shared" ref="F23:J23" si="2">SUM(F20:F22)</f>
        <v>11558471.738467522</v>
      </c>
      <c r="G23" s="26">
        <f t="shared" si="2"/>
        <v>8646102.9080691747</v>
      </c>
      <c r="H23" s="26">
        <f t="shared" si="2"/>
        <v>7089309.387819876</v>
      </c>
      <c r="I23" s="26">
        <f t="shared" si="2"/>
        <v>6167941.7942029461</v>
      </c>
      <c r="J23" s="26">
        <f t="shared" si="2"/>
        <v>6167941.7942029461</v>
      </c>
    </row>
    <row r="24" spans="2:10" x14ac:dyDescent="0.2">
      <c r="B24" s="100"/>
    </row>
    <row r="25" spans="2:10" x14ac:dyDescent="0.2">
      <c r="C25" s="124" t="s">
        <v>52</v>
      </c>
      <c r="D25" s="26"/>
      <c r="E25" s="26"/>
      <c r="F25" s="26">
        <f>NPV(Assumptions!$B$6,Summary!F23:J23)</f>
        <v>36893031.068627991</v>
      </c>
      <c r="H25" s="81"/>
    </row>
    <row r="26" spans="2:10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0" x14ac:dyDescent="0.2">
      <c r="B28" s="82" t="s">
        <v>74</v>
      </c>
      <c r="C28" s="82" t="s">
        <v>9</v>
      </c>
      <c r="D28" s="82"/>
      <c r="E28" s="83"/>
      <c r="F28" s="84" t="str">
        <f>F$10</f>
        <v>2021/22</v>
      </c>
      <c r="G28" s="84" t="str">
        <f t="shared" ref="G28:J28" si="3">G$10</f>
        <v>2022/23</v>
      </c>
      <c r="H28" s="84" t="str">
        <f t="shared" si="3"/>
        <v>2023/24</v>
      </c>
      <c r="I28" s="84" t="str">
        <f t="shared" si="3"/>
        <v>2024/25</v>
      </c>
      <c r="J28" s="84" t="str">
        <f t="shared" si="3"/>
        <v>2025/26</v>
      </c>
    </row>
    <row r="29" spans="2:10" x14ac:dyDescent="0.2">
      <c r="C29" s="1" t="s">
        <v>2</v>
      </c>
      <c r="D29" s="120" t="str">
        <f>B28&amp;C29</f>
        <v>Option 2 ITLabour</v>
      </c>
      <c r="E29" s="3"/>
      <c r="F29" s="9">
        <f>SUMPRODUCT((years=Summary!F$10)*(Option2IT_categories=Summary!$C29)*(Option2IT_costs))*Conv_2021</f>
        <v>829894.22024529416</v>
      </c>
      <c r="G29" s="9">
        <f>SUMPRODUCT((years=Summary!G$10)*(Option2IT_categories=Summary!$C29)*(Option2IT_costs))*Conv_2021</f>
        <v>851075.08446637308</v>
      </c>
      <c r="H29" s="9">
        <f>SUMPRODUCT((years=Summary!H$10)*(Option2IT_categories=Summary!$C29)*(Option2IT_costs))*Conv_2021</f>
        <v>861665.51657691249</v>
      </c>
      <c r="I29" s="9">
        <f>SUMPRODUCT((years=Summary!I$10)*(Option2IT_categories=Summary!$C29)*(Option2IT_costs))*Conv_2021</f>
        <v>1814804.4065254624</v>
      </c>
      <c r="J29" s="9">
        <f>SUMPRODUCT((years=Summary!J$10)*(Option2IT_categories=Summary!$C29)*(Option2IT_costs))*Conv_2021</f>
        <v>543952.55326072918</v>
      </c>
    </row>
    <row r="30" spans="2:10" x14ac:dyDescent="0.2">
      <c r="C30" s="1" t="s">
        <v>1</v>
      </c>
      <c r="D30" s="120" t="str">
        <f>B28&amp;C30</f>
        <v>Option 2 ITMaterials</v>
      </c>
      <c r="E30" s="3"/>
      <c r="F30" s="9">
        <f>SUMPRODUCT((years=Summary!F$10)*(Option2IT_categories=Summary!$C30)*(Option2IT_costs))*Conv_2021</f>
        <v>1454026.7192383206</v>
      </c>
      <c r="G30" s="9">
        <f>SUMPRODUCT((years=Summary!G$10)*(Option2IT_categories=Summary!$C30)*(Option2IT_costs))*Conv_2021</f>
        <v>829191.22471649363</v>
      </c>
      <c r="H30" s="9">
        <f>SUMPRODUCT((years=Summary!H$10)*(Option2IT_categories=Summary!$C30)*(Option2IT_costs))*Conv_2021</f>
        <v>808010.3604954147</v>
      </c>
      <c r="I30" s="9">
        <f>SUMPRODUCT((years=Summary!I$10)*(Option2IT_categories=Summary!$C30)*(Option2IT_costs))*Conv_2021</f>
        <v>2343623.0165236341</v>
      </c>
      <c r="J30" s="9">
        <f>SUMPRODUCT((years=Summary!J$10)*(Option2IT_categories=Summary!$C30)*(Option2IT_costs))*Conv_2021</f>
        <v>596201.71828462579</v>
      </c>
    </row>
    <row r="31" spans="2:10" x14ac:dyDescent="0.2">
      <c r="C31" s="1" t="s">
        <v>4</v>
      </c>
      <c r="D31" s="120" t="str">
        <f>B28&amp;C31</f>
        <v>Option 2 ITContracts</v>
      </c>
      <c r="F31" s="9">
        <f>SUMPRODUCT((years=Summary!F$10)*(Option2IT_categories=Summary!$C31)*(Option2IT_costs))*Conv_2021</f>
        <v>137675.61743701276</v>
      </c>
      <c r="G31" s="9">
        <f>SUMPRODUCT((years=Summary!G$10)*(Option2IT_categories=Summary!$C31)*(Option2IT_costs))*Conv_2021</f>
        <v>264760.80276348605</v>
      </c>
      <c r="H31" s="9">
        <f>SUMPRODUCT((years=Summary!H$10)*(Option2IT_categories=Summary!$C31)*(Option2IT_costs))*Conv_2021</f>
        <v>84723.456884315543</v>
      </c>
      <c r="I31" s="9">
        <f>SUMPRODUCT((years=Summary!I$10)*(Option2IT_categories=Summary!$C31)*(Option2IT_costs))*Conv_2021</f>
        <v>635425.92663236661</v>
      </c>
      <c r="J31" s="9">
        <f>SUMPRODUCT((years=Summary!J$10)*(Option2IT_categories=Summary!$C31)*(Option2IT_costs))*Conv_2021</f>
        <v>0</v>
      </c>
    </row>
    <row r="32" spans="2:10" x14ac:dyDescent="0.2">
      <c r="B32" s="100"/>
      <c r="C32" s="25" t="s">
        <v>48</v>
      </c>
      <c r="D32" s="25"/>
      <c r="E32" s="25"/>
      <c r="F32" s="26">
        <f t="shared" ref="F32:J32" si="4">SUM(F29:F31)</f>
        <v>2421596.5569206276</v>
      </c>
      <c r="G32" s="26">
        <f t="shared" si="4"/>
        <v>1945027.1119463528</v>
      </c>
      <c r="H32" s="26">
        <f t="shared" si="4"/>
        <v>1754399.3339566428</v>
      </c>
      <c r="I32" s="26">
        <f t="shared" si="4"/>
        <v>4793853.3496814631</v>
      </c>
      <c r="J32" s="26">
        <f t="shared" si="4"/>
        <v>1140154.271545355</v>
      </c>
    </row>
    <row r="33" spans="2:10" x14ac:dyDescent="0.2">
      <c r="B33" s="100"/>
    </row>
    <row r="34" spans="2:10" x14ac:dyDescent="0.2">
      <c r="B34" s="32"/>
      <c r="C34" s="124" t="s">
        <v>52</v>
      </c>
      <c r="D34" s="26"/>
      <c r="E34" s="26"/>
      <c r="F34" s="26">
        <f>NPV(Assumptions!$B$6,Summary!F32:J32)</f>
        <v>11112774.779752729</v>
      </c>
      <c r="G34" s="32"/>
      <c r="H34" s="81"/>
      <c r="I34" s="32"/>
      <c r="J34" s="32"/>
    </row>
    <row r="37" spans="2:10" x14ac:dyDescent="0.2">
      <c r="B37" s="82" t="s">
        <v>68</v>
      </c>
      <c r="C37" s="82" t="s">
        <v>9</v>
      </c>
      <c r="D37" s="82"/>
      <c r="E37" s="83"/>
      <c r="F37" s="84" t="str">
        <f>F$10</f>
        <v>2021/22</v>
      </c>
      <c r="G37" s="84" t="str">
        <f t="shared" ref="G37:J37" si="5">G$10</f>
        <v>2022/23</v>
      </c>
      <c r="H37" s="84" t="str">
        <f t="shared" si="5"/>
        <v>2023/24</v>
      </c>
      <c r="I37" s="84" t="str">
        <f t="shared" si="5"/>
        <v>2024/25</v>
      </c>
      <c r="J37" s="84" t="str">
        <f t="shared" si="5"/>
        <v>2025/26</v>
      </c>
    </row>
    <row r="38" spans="2:10" x14ac:dyDescent="0.2">
      <c r="B38" s="100"/>
      <c r="C38" s="100" t="s">
        <v>2</v>
      </c>
      <c r="D38" s="120" t="str">
        <f>B37&amp;C38</f>
        <v>Option 2 PropertyLabour</v>
      </c>
      <c r="E38" s="3"/>
      <c r="F38" s="9">
        <f>SUMPRODUCT((years=Summary!F$10)*(Option2Property_categories=Summary!$C38)*(Option2Property_costs))*Conv_2021</f>
        <v>9943252.5238638949</v>
      </c>
      <c r="G38" s="9">
        <f>SUMPRODUCT((years=Summary!G$10)*(Option2Property_categories=Summary!$C38)*(Option2Property_costs))*Conv_2021</f>
        <v>9710263.0174320266</v>
      </c>
      <c r="H38" s="9">
        <f>SUMPRODUCT((years=Summary!H$10)*(Option2Property_categories=Summary!$C38)*(Option2Property_costs))*Conv_2021</f>
        <v>9805576.9064268824</v>
      </c>
      <c r="I38" s="9">
        <f>SUMPRODUCT((years=Summary!I$10)*(Option2Property_categories=Summary!$C38)*(Option2Property_costs))*Conv_2021</f>
        <v>9329007.4614526071</v>
      </c>
      <c r="J38" s="9">
        <f>SUMPRODUCT((years=Summary!J$10)*(Option2Property_categories=Summary!$C38)*(Option2Property_costs))*Conv_2021</f>
        <v>9329007.4614526071</v>
      </c>
    </row>
    <row r="39" spans="2:10" x14ac:dyDescent="0.2">
      <c r="B39" s="100"/>
      <c r="C39" s="100" t="s">
        <v>1</v>
      </c>
      <c r="D39" s="120" t="str">
        <f>B37&amp;C39</f>
        <v>Option 2 PropertyMaterials</v>
      </c>
      <c r="E39" s="3"/>
      <c r="F39" s="9">
        <f>SUMPRODUCT((years=Summary!F$10)*(Option2Property_categories=Summary!$C39)*(Option2Property_costs))*Conv_2021</f>
        <v>14970941.293433458</v>
      </c>
      <c r="G39" s="9">
        <f>SUMPRODUCT((years=Summary!G$10)*(Option2Property_categories=Summary!$C39)*(Option2Property_costs))*Conv_2021</f>
        <v>12418647.154793452</v>
      </c>
      <c r="H39" s="9">
        <f>SUMPRODUCT((years=Summary!H$10)*(Option2Property_categories=Summary!$C39)*(Option2Property_costs))*Conv_2021</f>
        <v>10639454.560222825</v>
      </c>
      <c r="I39" s="9">
        <f>SUMPRODUCT((years=Summary!I$10)*(Option2Property_categories=Summary!$C39)*(Option2Property_costs))*Conv_2021</f>
        <v>10321741.596906643</v>
      </c>
      <c r="J39" s="9">
        <f>SUMPRODUCT((years=Summary!J$10)*(Option2Property_categories=Summary!$C39)*(Option2Property_costs))*Conv_2021</f>
        <v>10321741.596906643</v>
      </c>
    </row>
    <row r="40" spans="2:10" x14ac:dyDescent="0.2">
      <c r="B40" s="100"/>
      <c r="C40" s="100" t="s">
        <v>4</v>
      </c>
      <c r="D40" s="120" t="str">
        <f>B37&amp;C40</f>
        <v>Option 2 PropertyContracts</v>
      </c>
      <c r="E40" s="100"/>
      <c r="F40" s="9">
        <f>SUMPRODUCT((years=Summary!F$10)*(Option2Property_categories=Summary!$C40)*(Option2Property_costs))*Conv_2021</f>
        <v>127085.18532647331</v>
      </c>
      <c r="G40" s="9">
        <f>SUMPRODUCT((years=Summary!G$10)*(Option2Property_categories=Summary!$C40)*(Option2Property_costs))*Conv_2021</f>
        <v>0</v>
      </c>
      <c r="H40" s="9">
        <f>SUMPRODUCT((years=Summary!H$10)*(Option2Property_categories=Summary!$C40)*(Option2Property_costs))*Conv_2021</f>
        <v>127085.18532647331</v>
      </c>
      <c r="I40" s="9">
        <f>SUMPRODUCT((years=Summary!I$10)*(Option2Property_categories=Summary!$C40)*(Option2Property_costs))*Conv_2021</f>
        <v>0</v>
      </c>
      <c r="J40" s="9">
        <f>SUMPRODUCT((years=Summary!J$10)*(Option2Property_categories=Summary!$C40)*(Option2Property_costs))*Conv_2021</f>
        <v>0</v>
      </c>
    </row>
    <row r="41" spans="2:10" x14ac:dyDescent="0.2">
      <c r="B41" s="100"/>
      <c r="C41" s="25" t="s">
        <v>48</v>
      </c>
      <c r="D41" s="25"/>
      <c r="E41" s="25"/>
      <c r="F41" s="26">
        <f t="shared" ref="F41:J41" si="6">SUM(F38:F40)</f>
        <v>25041279.002623826</v>
      </c>
      <c r="G41" s="26">
        <f t="shared" si="6"/>
        <v>22128910.172225479</v>
      </c>
      <c r="H41" s="26">
        <f t="shared" si="6"/>
        <v>20572116.651976179</v>
      </c>
      <c r="I41" s="26">
        <f t="shared" si="6"/>
        <v>19650749.05835925</v>
      </c>
      <c r="J41" s="26">
        <f t="shared" si="6"/>
        <v>19650749.05835925</v>
      </c>
    </row>
    <row r="43" spans="2:10" x14ac:dyDescent="0.2">
      <c r="C43" s="124" t="s">
        <v>52</v>
      </c>
      <c r="D43" s="26"/>
      <c r="E43" s="26"/>
      <c r="F43" s="26">
        <f>NPV(Assumptions!$B$6,Summary!F41:J41)</f>
        <v>99083583.333565161</v>
      </c>
      <c r="H43" s="81"/>
    </row>
    <row r="46" spans="2:10" x14ac:dyDescent="0.2">
      <c r="B46" s="100"/>
      <c r="C46" s="100"/>
      <c r="E46" s="100"/>
      <c r="F46" s="100"/>
      <c r="G46" s="100"/>
      <c r="H46" s="100"/>
      <c r="I46" s="100"/>
      <c r="J46" s="100"/>
    </row>
    <row r="47" spans="2:10" x14ac:dyDescent="0.2">
      <c r="B47" s="100"/>
      <c r="C47" s="100"/>
      <c r="E47" s="100"/>
      <c r="F47" s="100"/>
      <c r="G47" s="100"/>
      <c r="H47" s="100"/>
      <c r="I47" s="100"/>
      <c r="J47" s="100"/>
    </row>
    <row r="48" spans="2:10" x14ac:dyDescent="0.2">
      <c r="B48" s="82"/>
      <c r="C48" s="82" t="s">
        <v>53</v>
      </c>
      <c r="D48" s="82"/>
      <c r="E48" s="83"/>
      <c r="F48" s="84" t="str">
        <f>F$10</f>
        <v>2021/22</v>
      </c>
      <c r="G48" s="84" t="str">
        <f t="shared" ref="G48:J48" si="7">G$10</f>
        <v>2022/23</v>
      </c>
      <c r="H48" s="84" t="str">
        <f t="shared" si="7"/>
        <v>2023/24</v>
      </c>
      <c r="I48" s="84" t="str">
        <f t="shared" si="7"/>
        <v>2024/25</v>
      </c>
      <c r="J48" s="84" t="str">
        <f t="shared" si="7"/>
        <v>2025/26</v>
      </c>
    </row>
    <row r="49" spans="2:10" x14ac:dyDescent="0.2">
      <c r="B49" s="125" t="str">
        <f>B10</f>
        <v>Option 1 IT</v>
      </c>
      <c r="C49" s="125"/>
      <c r="D49" s="125"/>
      <c r="E49" s="125"/>
      <c r="F49" s="126">
        <f>F14-'Option 1 IT'!R51</f>
        <v>0</v>
      </c>
      <c r="G49" s="126">
        <f>G14-'Option 1 IT'!S51</f>
        <v>0</v>
      </c>
      <c r="H49" s="126">
        <f>H14-'Option 1 IT'!T51</f>
        <v>0</v>
      </c>
      <c r="I49" s="126">
        <f>I14-'Option 1 IT'!U51</f>
        <v>0</v>
      </c>
      <c r="J49" s="126">
        <f>J14-'Option 1 IT'!V51</f>
        <v>0</v>
      </c>
    </row>
    <row r="50" spans="2:10" x14ac:dyDescent="0.2">
      <c r="B50" s="125" t="str">
        <f>B19</f>
        <v>Option 1 Property</v>
      </c>
      <c r="C50" s="125"/>
      <c r="D50" s="125"/>
      <c r="E50" s="125"/>
      <c r="F50" s="126">
        <f>F23-'Option 1 Property'!R70</f>
        <v>0</v>
      </c>
      <c r="G50" s="126">
        <f>G23-'Option 1 Property'!S57</f>
        <v>0</v>
      </c>
      <c r="H50" s="126">
        <f>H23-'Option 1 Property'!T57</f>
        <v>0</v>
      </c>
      <c r="I50" s="126">
        <f>I23-'Option 1 Property'!U57</f>
        <v>0</v>
      </c>
      <c r="J50" s="126">
        <f>J23-'Option 1 Property'!V57</f>
        <v>0</v>
      </c>
    </row>
    <row r="51" spans="2:10" x14ac:dyDescent="0.2">
      <c r="B51" s="125" t="str">
        <f>B28</f>
        <v>Option 2 IT</v>
      </c>
      <c r="C51" s="125"/>
      <c r="D51" s="125"/>
      <c r="E51" s="125"/>
      <c r="F51" s="126">
        <f>F32-'Option 2 IT'!R51</f>
        <v>0</v>
      </c>
      <c r="G51" s="126">
        <f>G32-'Option 2 IT'!S51</f>
        <v>0</v>
      </c>
      <c r="H51" s="126">
        <f>H32-'Option 2 IT'!T51</f>
        <v>0</v>
      </c>
      <c r="I51" s="126">
        <f>I32-'Option 2 IT'!U51</f>
        <v>0</v>
      </c>
      <c r="J51" s="126">
        <f>J32-'Option 2 IT'!V51</f>
        <v>0</v>
      </c>
    </row>
    <row r="52" spans="2:10" x14ac:dyDescent="0.2">
      <c r="B52" s="127" t="str">
        <f>B37</f>
        <v>Option 2 Property</v>
      </c>
      <c r="C52" s="127"/>
      <c r="D52" s="127"/>
      <c r="E52" s="127"/>
      <c r="F52" s="128">
        <f>F41-'Option 2 Property'!R70</f>
        <v>0</v>
      </c>
      <c r="G52" s="128">
        <f>G41-'Option 2 Property'!S70</f>
        <v>0</v>
      </c>
      <c r="H52" s="128">
        <f>H41-'Option 2 Property'!T70</f>
        <v>0</v>
      </c>
      <c r="I52" s="128">
        <f>I41-'Option 2 Property'!U70</f>
        <v>0</v>
      </c>
      <c r="J52" s="128">
        <f>J41-'Option 2 Property'!V70</f>
        <v>0</v>
      </c>
    </row>
    <row r="54" spans="2:10" x14ac:dyDescent="0.2">
      <c r="B54" s="125" t="s">
        <v>65</v>
      </c>
      <c r="F54" s="126">
        <f>F23-SUM('Output CP'!$F$12:$H$12,'Output PAL'!$F$12:$H$12)*1000</f>
        <v>0</v>
      </c>
      <c r="G54" s="126">
        <f>G23-SUM('Output CP'!$I$12:$K$12,'Output PAL'!$I$12:$K$12)*1000</f>
        <v>0</v>
      </c>
      <c r="H54" s="126">
        <f>H23-SUM('Output CP'!$L$12:$N$12,'Output PAL'!$L$12:$N$12)*1000</f>
        <v>0</v>
      </c>
      <c r="I54" s="126">
        <f>I23-SUM('Output CP'!$O$12:$Q$12,'Output PAL'!$O$12:$Q$12)*1000</f>
        <v>0</v>
      </c>
      <c r="J54" s="126">
        <f>J23-SUM('Output CP'!$R$12:$T$12,'Output PAL'!$R$12:$T$12)*1000</f>
        <v>0</v>
      </c>
    </row>
    <row r="55" spans="2:10" x14ac:dyDescent="0.2">
      <c r="B55" s="125"/>
      <c r="F55" s="170"/>
      <c r="G55" s="126"/>
      <c r="H55" s="126"/>
      <c r="I55" s="126"/>
      <c r="J55" s="126"/>
    </row>
  </sheetData>
  <conditionalFormatting sqref="D7">
    <cfRule type="expression" dxfId="14" priority="1">
      <formula>D7&lt;&gt;TRUE</formula>
    </cfRule>
  </conditionalFormatting>
  <dataValidations disablePrompts="1" count="1">
    <dataValidation type="list" allowBlank="1" showInputMessage="1" showErrorMessage="1" sqref="D6">
      <formula1>"Option 1, Option 2"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6"/>
  <sheetViews>
    <sheetView showGridLines="0" zoomScale="85" zoomScaleNormal="85" workbookViewId="0"/>
  </sheetViews>
  <sheetFormatPr defaultColWidth="14.42578125" defaultRowHeight="15" customHeight="1" x14ac:dyDescent="0.25"/>
  <cols>
    <col min="1" max="1" width="28.42578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54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7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73" t="s">
        <v>84</v>
      </c>
      <c r="B11" s="28"/>
      <c r="C11" s="103"/>
      <c r="D11" s="174" t="s">
        <v>89</v>
      </c>
      <c r="E11" s="174" t="s">
        <v>89</v>
      </c>
      <c r="F11" s="174" t="s">
        <v>89</v>
      </c>
      <c r="G11" s="174" t="s">
        <v>89</v>
      </c>
      <c r="H11" s="174" t="s">
        <v>89</v>
      </c>
      <c r="I11" s="174" t="s">
        <v>89</v>
      </c>
      <c r="J11" s="174" t="s">
        <v>90</v>
      </c>
    </row>
    <row r="12" spans="1:35" ht="12.75" customHeight="1" x14ac:dyDescent="0.25">
      <c r="A12" s="175" t="s">
        <v>85</v>
      </c>
      <c r="B12" s="4"/>
      <c r="C12" s="175"/>
      <c r="D12" s="176" t="s">
        <v>30</v>
      </c>
      <c r="E12" s="176" t="s">
        <v>30</v>
      </c>
      <c r="F12" s="176" t="s">
        <v>30</v>
      </c>
      <c r="G12" s="176" t="s">
        <v>30</v>
      </c>
      <c r="H12" s="176" t="s">
        <v>30</v>
      </c>
      <c r="I12" s="177" t="s">
        <v>31</v>
      </c>
      <c r="J12" s="177" t="s">
        <v>31</v>
      </c>
    </row>
    <row r="13" spans="1:35" ht="12.75" customHeight="1" x14ac:dyDescent="0.25">
      <c r="A13" s="100" t="s">
        <v>86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f>B8</f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4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>
      <c r="A20" s="89"/>
      <c r="B20" s="91"/>
      <c r="C20" s="91"/>
      <c r="D20" s="91"/>
      <c r="E20" s="91"/>
      <c r="F20" s="91"/>
      <c r="G20" s="91"/>
      <c r="H20" s="89"/>
    </row>
    <row r="21" spans="1:8" ht="12.75" customHeight="1" x14ac:dyDescent="0.25">
      <c r="A21" s="89"/>
      <c r="B21" s="91"/>
      <c r="C21" s="91"/>
      <c r="D21" s="91"/>
      <c r="E21" s="91"/>
      <c r="F21" s="91"/>
      <c r="G21" s="91"/>
      <c r="H21" s="89"/>
    </row>
    <row r="22" spans="1:8" ht="12.75" customHeight="1" x14ac:dyDescent="0.25">
      <c r="A22" s="123" t="s">
        <v>49</v>
      </c>
      <c r="B22" s="123" t="s">
        <v>44</v>
      </c>
      <c r="C22" s="123"/>
      <c r="D22" s="123"/>
    </row>
    <row r="23" spans="1:8" ht="12.75" customHeight="1" x14ac:dyDescent="0.25">
      <c r="A23" s="99" t="str">
        <f>'Option 1 IT'!$A$3</f>
        <v>Option 1 IT</v>
      </c>
      <c r="B23" s="99" t="s">
        <v>87</v>
      </c>
    </row>
    <row r="24" spans="1:8" ht="12.75" customHeight="1" x14ac:dyDescent="0.25">
      <c r="A24" s="99" t="str">
        <f>'Option 1 Property'!$A$3</f>
        <v>Option 1 Property</v>
      </c>
      <c r="B24" s="99" t="s">
        <v>87</v>
      </c>
    </row>
    <row r="25" spans="1:8" ht="12.75" customHeight="1" x14ac:dyDescent="0.25">
      <c r="A25" s="99" t="str">
        <f>'Option 2 IT'!$A$3</f>
        <v>Option 2 IT</v>
      </c>
      <c r="B25" s="100" t="s">
        <v>88</v>
      </c>
    </row>
    <row r="26" spans="1:8" ht="12.75" customHeight="1" x14ac:dyDescent="0.25">
      <c r="A26" s="99" t="str">
        <f>'Option 2 Property'!$A$3</f>
        <v>Option 2 Property</v>
      </c>
      <c r="B26" s="100" t="s">
        <v>88</v>
      </c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>
      <c r="A31" s="129"/>
      <c r="B31" s="130" t="s">
        <v>64</v>
      </c>
      <c r="C31" s="131" t="s">
        <v>65</v>
      </c>
    </row>
    <row r="32" spans="1:8" ht="12.75" customHeight="1" x14ac:dyDescent="0.25">
      <c r="A32" s="132" t="s">
        <v>55</v>
      </c>
      <c r="B32" s="133">
        <v>1</v>
      </c>
      <c r="C32" s="134">
        <v>0</v>
      </c>
    </row>
    <row r="33" spans="1:6" ht="12.75" customHeight="1" x14ac:dyDescent="0.25">
      <c r="A33" s="135" t="s">
        <v>56</v>
      </c>
      <c r="B33" s="134">
        <v>0.1</v>
      </c>
      <c r="C33" s="136">
        <v>0.9</v>
      </c>
    </row>
    <row r="34" spans="1:6" ht="12.75" customHeight="1" x14ac:dyDescent="0.25">
      <c r="A34" s="135" t="s">
        <v>57</v>
      </c>
      <c r="B34" s="134">
        <v>0.4</v>
      </c>
      <c r="C34" s="136">
        <v>0.6</v>
      </c>
    </row>
    <row r="35" spans="1:6" ht="12.75" customHeight="1" x14ac:dyDescent="0.25">
      <c r="A35" s="135" t="s">
        <v>58</v>
      </c>
      <c r="B35" s="134">
        <v>0</v>
      </c>
      <c r="C35" s="136">
        <v>1</v>
      </c>
    </row>
    <row r="36" spans="1:6" ht="12.75" customHeight="1" x14ac:dyDescent="0.25">
      <c r="A36" s="135" t="s">
        <v>59</v>
      </c>
      <c r="B36" s="134">
        <v>0.4</v>
      </c>
      <c r="C36" s="136">
        <v>0.6</v>
      </c>
    </row>
    <row r="37" spans="1:6" ht="12.75" customHeight="1" x14ac:dyDescent="0.25">
      <c r="A37" s="135" t="s">
        <v>60</v>
      </c>
      <c r="B37" s="134">
        <v>1</v>
      </c>
      <c r="C37" s="136">
        <v>0</v>
      </c>
    </row>
    <row r="38" spans="1:6" ht="12.75" customHeight="1" x14ac:dyDescent="0.25">
      <c r="A38" s="135" t="s">
        <v>61</v>
      </c>
      <c r="B38" s="134">
        <v>0.05</v>
      </c>
      <c r="C38" s="136">
        <v>0.95</v>
      </c>
    </row>
    <row r="39" spans="1:6" ht="12.75" customHeight="1" x14ac:dyDescent="0.25">
      <c r="A39" s="137" t="s">
        <v>62</v>
      </c>
      <c r="B39" s="134">
        <v>0.05</v>
      </c>
      <c r="C39" s="136">
        <v>0.95</v>
      </c>
    </row>
    <row r="40" spans="1:6" ht="12.75" customHeight="1" x14ac:dyDescent="0.25">
      <c r="A40" s="138" t="s">
        <v>63</v>
      </c>
      <c r="B40" s="139">
        <v>0.05</v>
      </c>
      <c r="C40" s="139">
        <v>0.95</v>
      </c>
    </row>
    <row r="41" spans="1:6" ht="12.75" customHeight="1" x14ac:dyDescent="0.25"/>
    <row r="42" spans="1:6" ht="12.75" customHeight="1" x14ac:dyDescent="0.25"/>
    <row r="43" spans="1:6" ht="12.75" customHeight="1" x14ac:dyDescent="0.25"/>
    <row r="44" spans="1:6" ht="12.75" customHeight="1" x14ac:dyDescent="0.25">
      <c r="A44" s="161" t="s">
        <v>29</v>
      </c>
    </row>
    <row r="45" spans="1:6" ht="12.75" customHeight="1" x14ac:dyDescent="0.25">
      <c r="A45" s="144" t="s">
        <v>79</v>
      </c>
      <c r="B45" s="145" t="s">
        <v>76</v>
      </c>
      <c r="C45" s="145" t="s">
        <v>77</v>
      </c>
      <c r="D45" s="145" t="s">
        <v>0</v>
      </c>
      <c r="E45" s="145" t="s">
        <v>80</v>
      </c>
      <c r="F45" s="145" t="s">
        <v>81</v>
      </c>
    </row>
    <row r="46" spans="1:6" ht="12.75" customHeight="1" x14ac:dyDescent="0.25">
      <c r="A46" s="137" t="s">
        <v>78</v>
      </c>
      <c r="B46" s="146">
        <v>0.3</v>
      </c>
      <c r="C46" s="146">
        <v>0.7</v>
      </c>
      <c r="D46" s="147">
        <f>SUM(B46:C46)</f>
        <v>1</v>
      </c>
      <c r="E46" s="150">
        <f>B46/$D46</f>
        <v>0.3</v>
      </c>
      <c r="F46" s="150">
        <f>C46/$D46</f>
        <v>0.7</v>
      </c>
    </row>
    <row r="47" spans="1:6" ht="12.75" customHeight="1" x14ac:dyDescent="0.25">
      <c r="A47" s="156" t="s">
        <v>70</v>
      </c>
      <c r="B47" s="148">
        <v>10</v>
      </c>
      <c r="C47" s="148">
        <v>20</v>
      </c>
      <c r="D47" s="149">
        <f>SUM(B47:C47)</f>
        <v>30</v>
      </c>
      <c r="E47" s="150">
        <f>B47/$D47</f>
        <v>0.33333333333333331</v>
      </c>
      <c r="F47" s="150">
        <f>C47/$D47</f>
        <v>0.66666666666666663</v>
      </c>
    </row>
    <row r="48" spans="1:6" ht="12.75" customHeight="1" x14ac:dyDescent="0.25">
      <c r="A48" s="156" t="s">
        <v>71</v>
      </c>
      <c r="B48" s="148">
        <v>200</v>
      </c>
      <c r="C48" s="148">
        <v>50</v>
      </c>
      <c r="D48" s="149">
        <f t="shared" ref="D48:D50" si="1">SUM(B48:C48)</f>
        <v>250</v>
      </c>
      <c r="E48" s="150">
        <f t="shared" ref="E48:F49" si="2">B48/$D48</f>
        <v>0.8</v>
      </c>
      <c r="F48" s="150">
        <f t="shared" si="2"/>
        <v>0.2</v>
      </c>
    </row>
    <row r="49" spans="1:6" ht="12.75" customHeight="1" x14ac:dyDescent="0.25">
      <c r="A49" s="156" t="s">
        <v>72</v>
      </c>
      <c r="B49" s="148">
        <v>1</v>
      </c>
      <c r="C49" s="148">
        <v>13</v>
      </c>
      <c r="D49" s="149">
        <f t="shared" si="1"/>
        <v>14</v>
      </c>
      <c r="E49" s="150">
        <f t="shared" si="2"/>
        <v>7.1428571428571425E-2</v>
      </c>
      <c r="F49" s="150">
        <f t="shared" si="2"/>
        <v>0.9285714285714286</v>
      </c>
    </row>
    <row r="50" spans="1:6" ht="12.75" customHeight="1" x14ac:dyDescent="0.25">
      <c r="A50" s="159" t="s">
        <v>69</v>
      </c>
      <c r="B50" s="151">
        <v>0.3</v>
      </c>
      <c r="C50" s="151">
        <v>0.7</v>
      </c>
      <c r="D50" s="152">
        <f t="shared" si="1"/>
        <v>1</v>
      </c>
      <c r="E50" s="153">
        <f t="shared" ref="E50" si="3">B50/$D50</f>
        <v>0.3</v>
      </c>
      <c r="F50" s="153">
        <f t="shared" ref="F50" si="4">C50/$D50</f>
        <v>0.7</v>
      </c>
    </row>
    <row r="51" spans="1:6" ht="12.75" customHeight="1" x14ac:dyDescent="0.25"/>
    <row r="52" spans="1:6" ht="12.75" customHeight="1" x14ac:dyDescent="0.25">
      <c r="A52" s="162" t="s">
        <v>21</v>
      </c>
      <c r="B52" s="154"/>
      <c r="C52" s="154"/>
      <c r="D52" s="154"/>
      <c r="E52" s="154"/>
      <c r="F52" s="154"/>
    </row>
    <row r="53" spans="1:6" ht="12.75" customHeight="1" x14ac:dyDescent="0.25">
      <c r="A53" s="144" t="s">
        <v>79</v>
      </c>
      <c r="B53" s="155" t="s">
        <v>76</v>
      </c>
      <c r="C53" s="155" t="s">
        <v>77</v>
      </c>
      <c r="D53" s="155" t="s">
        <v>0</v>
      </c>
      <c r="E53" s="155" t="s">
        <v>76</v>
      </c>
      <c r="F53" s="155" t="s">
        <v>77</v>
      </c>
    </row>
    <row r="54" spans="1:6" ht="12.75" customHeight="1" x14ac:dyDescent="0.25">
      <c r="A54" s="156" t="s">
        <v>78</v>
      </c>
      <c r="B54" s="157">
        <v>0.3</v>
      </c>
      <c r="C54" s="157">
        <v>0.7</v>
      </c>
      <c r="D54" s="147">
        <f>SUM(B54:C54)</f>
        <v>1</v>
      </c>
      <c r="E54" s="150">
        <f>B54/$D54</f>
        <v>0.3</v>
      </c>
      <c r="F54" s="150">
        <f>C54/$D54</f>
        <v>0.7</v>
      </c>
    </row>
    <row r="55" spans="1:6" ht="12.75" customHeight="1" x14ac:dyDescent="0.25">
      <c r="A55" s="156" t="s">
        <v>70</v>
      </c>
      <c r="B55" s="158">
        <v>85</v>
      </c>
      <c r="C55" s="158">
        <v>68</v>
      </c>
      <c r="D55" s="149">
        <f>SUM(B55:C55)</f>
        <v>153</v>
      </c>
      <c r="E55" s="150">
        <f>B55/$D55</f>
        <v>0.55555555555555558</v>
      </c>
      <c r="F55" s="150">
        <f>C55/$D55</f>
        <v>0.44444444444444442</v>
      </c>
    </row>
    <row r="56" spans="1:6" ht="12.75" customHeight="1" x14ac:dyDescent="0.25">
      <c r="A56" s="156" t="s">
        <v>71</v>
      </c>
      <c r="B56" s="158">
        <v>1955</v>
      </c>
      <c r="C56" s="158">
        <v>205</v>
      </c>
      <c r="D56" s="149">
        <f t="shared" ref="D56:D58" si="5">SUM(B56:C56)</f>
        <v>2160</v>
      </c>
      <c r="E56" s="150">
        <f t="shared" ref="E56:F57" si="6">B56/$D56</f>
        <v>0.90509259259259256</v>
      </c>
      <c r="F56" s="150">
        <f t="shared" si="6"/>
        <v>9.4907407407407413E-2</v>
      </c>
    </row>
    <row r="57" spans="1:6" ht="12.75" customHeight="1" x14ac:dyDescent="0.25">
      <c r="A57" s="156" t="s">
        <v>72</v>
      </c>
      <c r="B57" s="158">
        <v>1</v>
      </c>
      <c r="C57" s="158">
        <v>13</v>
      </c>
      <c r="D57" s="149">
        <f t="shared" si="5"/>
        <v>14</v>
      </c>
      <c r="E57" s="150">
        <f t="shared" si="6"/>
        <v>7.1428571428571425E-2</v>
      </c>
      <c r="F57" s="150">
        <f t="shared" si="6"/>
        <v>0.9285714285714286</v>
      </c>
    </row>
    <row r="58" spans="1:6" ht="12.75" customHeight="1" x14ac:dyDescent="0.25">
      <c r="A58" s="159" t="s">
        <v>69</v>
      </c>
      <c r="B58" s="160">
        <v>0.3</v>
      </c>
      <c r="C58" s="160">
        <v>0.7</v>
      </c>
      <c r="D58" s="152">
        <f t="shared" si="5"/>
        <v>1</v>
      </c>
      <c r="E58" s="153">
        <f>B58/$D58</f>
        <v>0.3</v>
      </c>
      <c r="F58" s="153">
        <f>C58/$D58</f>
        <v>0.7</v>
      </c>
    </row>
    <row r="59" spans="1:6" ht="12.75" customHeight="1" x14ac:dyDescent="0.25"/>
    <row r="60" spans="1:6" ht="12.75" customHeight="1" x14ac:dyDescent="0.25"/>
    <row r="61" spans="1:6" ht="12.75" customHeight="1" x14ac:dyDescent="0.25"/>
    <row r="62" spans="1:6" ht="12.75" customHeight="1" x14ac:dyDescent="0.25"/>
    <row r="63" spans="1:6" ht="12.75" customHeight="1" x14ac:dyDescent="0.25"/>
    <row r="64" spans="1:6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A59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100" customWidth="1"/>
    <col min="5" max="6" width="11.140625" style="1" customWidth="1"/>
    <col min="7" max="7" width="11.140625" style="100" customWidth="1"/>
    <col min="8" max="8" width="2.85546875" style="1" customWidth="1"/>
    <col min="9" max="9" width="12.140625" style="1" customWidth="1"/>
    <col min="10" max="10" width="12.7109375" style="12" customWidth="1"/>
    <col min="11" max="11" width="2.85546875" style="1" customWidth="1"/>
    <col min="12" max="16" width="12.140625" style="1" customWidth="1"/>
    <col min="17" max="17" width="2.85546875" style="1" customWidth="1"/>
    <col min="18" max="22" width="12.140625" style="1" customWidth="1"/>
    <col min="23" max="23" width="2.140625" style="1" customWidth="1"/>
    <col min="24" max="16384" width="9.140625" style="1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67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B7" s="100"/>
      <c r="C7" s="121" t="s">
        <v>44</v>
      </c>
      <c r="D7" s="143" t="s">
        <v>66</v>
      </c>
      <c r="E7" s="23" t="s">
        <v>23</v>
      </c>
      <c r="F7" s="23" t="s">
        <v>9</v>
      </c>
      <c r="G7" s="23" t="s">
        <v>9</v>
      </c>
      <c r="H7" s="20"/>
      <c r="I7" s="23" t="s">
        <v>15</v>
      </c>
      <c r="J7" s="23" t="s">
        <v>10</v>
      </c>
      <c r="K7" s="100"/>
      <c r="L7" s="23" t="s">
        <v>43</v>
      </c>
      <c r="M7" s="24"/>
      <c r="N7" s="24"/>
      <c r="O7" s="24"/>
      <c r="P7" s="24"/>
      <c r="Q7" s="4"/>
      <c r="R7" s="23" t="s">
        <v>11</v>
      </c>
      <c r="S7" s="24"/>
      <c r="T7" s="24"/>
      <c r="U7" s="24"/>
      <c r="V7" s="24"/>
    </row>
    <row r="8" spans="1:27" s="100" customFormat="1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22" t="s">
        <v>16</v>
      </c>
      <c r="M8" s="122" t="s">
        <v>17</v>
      </c>
      <c r="N8" s="122" t="s">
        <v>18</v>
      </c>
      <c r="O8" s="122" t="s">
        <v>19</v>
      </c>
      <c r="P8" s="122" t="s">
        <v>20</v>
      </c>
      <c r="Q8" s="4"/>
      <c r="R8" s="122" t="s">
        <v>16</v>
      </c>
      <c r="S8" s="122" t="s">
        <v>17</v>
      </c>
      <c r="T8" s="122" t="s">
        <v>18</v>
      </c>
      <c r="U8" s="122" t="s">
        <v>19</v>
      </c>
      <c r="V8" s="122" t="s">
        <v>20</v>
      </c>
    </row>
    <row r="9" spans="1:27" ht="12.75" customHeight="1" x14ac:dyDescent="0.2">
      <c r="A9" s="100"/>
      <c r="B9" s="100"/>
      <c r="C9" s="4"/>
      <c r="D9" s="4"/>
      <c r="E9" s="4"/>
      <c r="F9" s="4"/>
      <c r="G9" s="4"/>
      <c r="H9" s="20"/>
      <c r="I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</row>
    <row r="10" spans="1:27" ht="12.75" customHeight="1" x14ac:dyDescent="0.2">
      <c r="A10" s="7"/>
      <c r="C10" s="108" t="s">
        <v>55</v>
      </c>
      <c r="D10" s="140">
        <f>INDEX(Assumptions!$B$32:$B$40,MATCH($C10,Assumptions!$A$32:$A$40,0))</f>
        <v>1</v>
      </c>
      <c r="E10" s="109" t="s">
        <v>5</v>
      </c>
      <c r="F10" s="109" t="s">
        <v>2</v>
      </c>
      <c r="G10" s="110"/>
      <c r="H10" s="3"/>
      <c r="I10" s="111">
        <v>122.2</v>
      </c>
      <c r="J10" s="12" t="s">
        <v>50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 t="shared" ref="R10:R18" si="0">L10*$I10*$D10</f>
        <v>50000</v>
      </c>
      <c r="S10" s="8">
        <f t="shared" ref="S10:S18" si="1">M10*$I10*$D10</f>
        <v>300000</v>
      </c>
      <c r="T10" s="8">
        <f t="shared" ref="T10:T18" si="2">N10*$I10*$D10</f>
        <v>50000</v>
      </c>
      <c r="U10" s="8">
        <f t="shared" ref="U10:U18" si="3">O10*$I10*$D10</f>
        <v>1000000</v>
      </c>
      <c r="V10" s="8">
        <f t="shared" ref="V10:V18" si="4">P10*$I10*$D10</f>
        <v>50000</v>
      </c>
    </row>
    <row r="11" spans="1:27" ht="12.75" customHeight="1" x14ac:dyDescent="0.2">
      <c r="A11" s="7"/>
      <c r="C11" s="108" t="s">
        <v>56</v>
      </c>
      <c r="D11" s="140">
        <f>INDEX(Assumptions!$B$32:$B$40,MATCH($C11,Assumptions!$A$32:$A$40,0))</f>
        <v>0.1</v>
      </c>
      <c r="E11" s="109" t="s">
        <v>5</v>
      </c>
      <c r="F11" s="109" t="s">
        <v>2</v>
      </c>
      <c r="G11" s="110"/>
      <c r="H11" s="3"/>
      <c r="I11" s="111">
        <v>122.2</v>
      </c>
      <c r="J11" s="12" t="s">
        <v>50</v>
      </c>
      <c r="K11" s="3"/>
      <c r="L11" s="112">
        <v>3273.3224222585923</v>
      </c>
      <c r="M11" s="112">
        <v>3273.3224222585923</v>
      </c>
      <c r="N11" s="112">
        <v>0</v>
      </c>
      <c r="O11" s="112">
        <v>0</v>
      </c>
      <c r="P11" s="112">
        <v>0</v>
      </c>
      <c r="Q11" s="3"/>
      <c r="R11" s="8">
        <f t="shared" si="0"/>
        <v>40000</v>
      </c>
      <c r="S11" s="8">
        <f t="shared" si="1"/>
        <v>40000</v>
      </c>
      <c r="T11" s="8">
        <f t="shared" si="2"/>
        <v>0</v>
      </c>
      <c r="U11" s="8">
        <f t="shared" si="3"/>
        <v>0</v>
      </c>
      <c r="V11" s="8">
        <f t="shared" si="4"/>
        <v>0</v>
      </c>
    </row>
    <row r="12" spans="1:27" ht="12.75" customHeight="1" x14ac:dyDescent="0.2">
      <c r="A12" s="7"/>
      <c r="C12" s="108" t="s">
        <v>57</v>
      </c>
      <c r="D12" s="140">
        <f>INDEX(Assumptions!$B$32:$B$40,MATCH($C12,Assumptions!$A$32:$A$40,0))</f>
        <v>0.4</v>
      </c>
      <c r="E12" s="109" t="s">
        <v>5</v>
      </c>
      <c r="F12" s="109" t="s">
        <v>2</v>
      </c>
      <c r="G12" s="110"/>
      <c r="H12" s="3"/>
      <c r="I12" s="111">
        <v>122.2</v>
      </c>
      <c r="J12" s="12" t="s">
        <v>50</v>
      </c>
      <c r="K12" s="3"/>
      <c r="L12" s="112">
        <v>1636.6612111292961</v>
      </c>
      <c r="M12" s="112">
        <v>0</v>
      </c>
      <c r="N12" s="112">
        <v>0</v>
      </c>
      <c r="O12" s="112">
        <v>0</v>
      </c>
      <c r="P12" s="112">
        <v>0</v>
      </c>
      <c r="Q12" s="3"/>
      <c r="R12" s="8">
        <f t="shared" si="0"/>
        <v>80000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</row>
    <row r="13" spans="1:27" ht="12.75" customHeight="1" x14ac:dyDescent="0.25">
      <c r="A13" s="7"/>
      <c r="C13" s="108" t="s">
        <v>58</v>
      </c>
      <c r="D13" s="140">
        <f>INDEX(Assumptions!$B$32:$B$40,MATCH($C13,Assumptions!$A$32:$A$40,0))</f>
        <v>0</v>
      </c>
      <c r="E13" s="109" t="s">
        <v>5</v>
      </c>
      <c r="F13" s="109" t="s">
        <v>2</v>
      </c>
      <c r="G13" s="110"/>
      <c r="H13" s="3"/>
      <c r="I13" s="111">
        <v>122.2</v>
      </c>
      <c r="J13" s="12" t="s">
        <v>50</v>
      </c>
      <c r="K13" s="3"/>
      <c r="L13" s="112">
        <v>818.33060556464807</v>
      </c>
      <c r="M13" s="112">
        <v>0</v>
      </c>
      <c r="N13" s="112">
        <v>0</v>
      </c>
      <c r="O13" s="112">
        <v>0</v>
      </c>
      <c r="P13" s="112">
        <v>0</v>
      </c>
      <c r="Q13" s="3"/>
      <c r="R13" s="8">
        <f t="shared" si="0"/>
        <v>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s="100" customFormat="1" ht="12.75" customHeight="1" x14ac:dyDescent="0.25">
      <c r="A14" s="7"/>
      <c r="C14" s="108" t="s">
        <v>59</v>
      </c>
      <c r="D14" s="140">
        <f>INDEX(Assumptions!$B$32:$B$40,MATCH($C14,Assumptions!$A$32:$A$40,0))</f>
        <v>0.4</v>
      </c>
      <c r="E14" s="109" t="s">
        <v>5</v>
      </c>
      <c r="F14" s="109" t="s">
        <v>2</v>
      </c>
      <c r="G14" s="110"/>
      <c r="H14" s="3"/>
      <c r="I14" s="111">
        <v>122.2</v>
      </c>
      <c r="J14" s="12" t="s">
        <v>50</v>
      </c>
      <c r="K14" s="3"/>
      <c r="L14" s="112">
        <v>0</v>
      </c>
      <c r="M14" s="112">
        <v>0</v>
      </c>
      <c r="N14" s="112">
        <v>6137.4795417348605</v>
      </c>
      <c r="O14" s="112">
        <v>0</v>
      </c>
      <c r="P14" s="112">
        <v>0</v>
      </c>
      <c r="Q14" s="3"/>
      <c r="R14" s="8">
        <f t="shared" si="0"/>
        <v>0</v>
      </c>
      <c r="S14" s="8">
        <f t="shared" si="1"/>
        <v>0</v>
      </c>
      <c r="T14" s="8">
        <f t="shared" si="2"/>
        <v>300000</v>
      </c>
      <c r="U14" s="8">
        <f t="shared" si="3"/>
        <v>0</v>
      </c>
      <c r="V14" s="8">
        <f t="shared" si="4"/>
        <v>0</v>
      </c>
      <c r="AA14"/>
    </row>
    <row r="15" spans="1:27" s="100" customFormat="1" ht="12.75" customHeight="1" x14ac:dyDescent="0.25">
      <c r="A15" s="7"/>
      <c r="C15" s="108" t="s">
        <v>60</v>
      </c>
      <c r="D15" s="140">
        <f>INDEX(Assumptions!$B$32:$B$40,MATCH($C15,Assumptions!$A$32:$A$40,0))</f>
        <v>1</v>
      </c>
      <c r="E15" s="109" t="s">
        <v>5</v>
      </c>
      <c r="F15" s="109" t="s">
        <v>2</v>
      </c>
      <c r="G15" s="110"/>
      <c r="H15" s="3"/>
      <c r="I15" s="111">
        <v>122.2</v>
      </c>
      <c r="J15" s="12" t="s">
        <v>50</v>
      </c>
      <c r="K15" s="3"/>
      <c r="L15" s="112">
        <v>1227.4959083469721</v>
      </c>
      <c r="M15" s="112">
        <v>0</v>
      </c>
      <c r="N15" s="112">
        <v>0</v>
      </c>
      <c r="O15" s="112">
        <v>2045.8265139116202</v>
      </c>
      <c r="P15" s="112">
        <v>0</v>
      </c>
      <c r="Q15" s="3"/>
      <c r="R15" s="8">
        <f t="shared" si="0"/>
        <v>150000</v>
      </c>
      <c r="S15" s="8">
        <f t="shared" si="1"/>
        <v>0</v>
      </c>
      <c r="T15" s="8">
        <f t="shared" si="2"/>
        <v>0</v>
      </c>
      <c r="U15" s="8">
        <f t="shared" si="3"/>
        <v>250000</v>
      </c>
      <c r="V15" s="8">
        <f t="shared" si="4"/>
        <v>0</v>
      </c>
      <c r="AA15"/>
    </row>
    <row r="16" spans="1:27" s="100" customFormat="1" ht="12.75" customHeight="1" x14ac:dyDescent="0.25">
      <c r="A16" s="7"/>
      <c r="C16" s="108" t="s">
        <v>61</v>
      </c>
      <c r="D16" s="140">
        <f>INDEX(Assumptions!$B$32:$B$40,MATCH($C16,Assumptions!$A$32:$A$40,0))</f>
        <v>0.05</v>
      </c>
      <c r="E16" s="109" t="s">
        <v>5</v>
      </c>
      <c r="F16" s="109" t="s">
        <v>2</v>
      </c>
      <c r="G16" s="110"/>
      <c r="H16" s="3"/>
      <c r="I16" s="111">
        <v>122.2</v>
      </c>
      <c r="J16" s="12" t="s">
        <v>50</v>
      </c>
      <c r="K16" s="3"/>
      <c r="L16" s="112">
        <v>11268.412438625204</v>
      </c>
      <c r="M16" s="112">
        <v>11268.412438625204</v>
      </c>
      <c r="N16" s="112">
        <v>11268.412438625204</v>
      </c>
      <c r="O16" s="112">
        <v>11268.412438625204</v>
      </c>
      <c r="P16" s="112">
        <v>11268.412438625204</v>
      </c>
      <c r="Q16" s="3"/>
      <c r="R16" s="8">
        <f t="shared" si="0"/>
        <v>68850</v>
      </c>
      <c r="S16" s="8">
        <f t="shared" si="1"/>
        <v>68850</v>
      </c>
      <c r="T16" s="8">
        <f t="shared" si="2"/>
        <v>68850</v>
      </c>
      <c r="U16" s="8">
        <f t="shared" si="3"/>
        <v>68850</v>
      </c>
      <c r="V16" s="8">
        <f t="shared" si="4"/>
        <v>68850</v>
      </c>
      <c r="AA16"/>
    </row>
    <row r="17" spans="1:27" s="100" customFormat="1" ht="12.75" customHeight="1" x14ac:dyDescent="0.25">
      <c r="A17" s="7"/>
      <c r="C17" s="108" t="s">
        <v>62</v>
      </c>
      <c r="D17" s="140">
        <f>INDEX(Assumptions!$B$32:$B$40,MATCH($C17,Assumptions!$A$32:$A$40,0))</f>
        <v>0.05</v>
      </c>
      <c r="E17" s="109" t="s">
        <v>5</v>
      </c>
      <c r="F17" s="109" t="s">
        <v>2</v>
      </c>
      <c r="G17" s="110"/>
      <c r="H17" s="3"/>
      <c r="I17" s="111">
        <v>122.2</v>
      </c>
      <c r="J17" s="12" t="s">
        <v>50</v>
      </c>
      <c r="K17" s="3"/>
      <c r="L17" s="112">
        <v>900.1636661211129</v>
      </c>
      <c r="M17" s="112">
        <v>900.1636661211129</v>
      </c>
      <c r="N17" s="112">
        <v>900.1636661211129</v>
      </c>
      <c r="O17" s="112">
        <v>900.1636661211129</v>
      </c>
      <c r="P17" s="112">
        <v>900.1636661211129</v>
      </c>
      <c r="Q17" s="3"/>
      <c r="R17" s="8">
        <f t="shared" si="0"/>
        <v>5500</v>
      </c>
      <c r="S17" s="8">
        <f t="shared" si="1"/>
        <v>5500</v>
      </c>
      <c r="T17" s="8">
        <f t="shared" si="2"/>
        <v>5500</v>
      </c>
      <c r="U17" s="8">
        <f t="shared" si="3"/>
        <v>5500</v>
      </c>
      <c r="V17" s="8">
        <f t="shared" si="4"/>
        <v>5500</v>
      </c>
      <c r="AA17"/>
    </row>
    <row r="18" spans="1:27" s="100" customFormat="1" ht="12.75" customHeight="1" x14ac:dyDescent="0.25">
      <c r="A18" s="7"/>
      <c r="C18" s="108" t="s">
        <v>63</v>
      </c>
      <c r="D18" s="140">
        <f>INDEX(Assumptions!$B$32:$B$40,MATCH($C18,Assumptions!$A$32:$A$40,0))</f>
        <v>0.05</v>
      </c>
      <c r="E18" s="109" t="s">
        <v>5</v>
      </c>
      <c r="F18" s="109" t="s">
        <v>2</v>
      </c>
      <c r="G18" s="110"/>
      <c r="H18" s="3"/>
      <c r="I18" s="111">
        <v>122.2</v>
      </c>
      <c r="J18" s="12" t="s">
        <v>50</v>
      </c>
      <c r="K18" s="3"/>
      <c r="L18" s="112">
        <v>11646.481178396072</v>
      </c>
      <c r="M18" s="112">
        <v>11646.481178396072</v>
      </c>
      <c r="N18" s="112">
        <v>11646.481178396072</v>
      </c>
      <c r="O18" s="112">
        <v>11646.481178396072</v>
      </c>
      <c r="P18" s="112">
        <v>11646.481178396072</v>
      </c>
      <c r="Q18" s="3"/>
      <c r="R18" s="8">
        <f t="shared" si="0"/>
        <v>71160</v>
      </c>
      <c r="S18" s="8">
        <f t="shared" si="1"/>
        <v>71160</v>
      </c>
      <c r="T18" s="8">
        <f t="shared" si="2"/>
        <v>71160</v>
      </c>
      <c r="U18" s="8">
        <f t="shared" si="3"/>
        <v>71160</v>
      </c>
      <c r="V18" s="8">
        <f t="shared" si="4"/>
        <v>71160</v>
      </c>
      <c r="AA18"/>
    </row>
    <row r="19" spans="1:27" ht="12.75" customHeight="1" x14ac:dyDescent="0.25">
      <c r="A19" s="7"/>
      <c r="C19" s="100"/>
      <c r="E19" s="100"/>
      <c r="F19" s="100"/>
      <c r="G19" s="4"/>
      <c r="H19" s="3"/>
      <c r="I19" s="100"/>
      <c r="K19" s="3"/>
      <c r="L19" s="100"/>
      <c r="M19" s="100"/>
      <c r="N19" s="100"/>
      <c r="O19" s="100"/>
      <c r="P19" s="100"/>
      <c r="Q19" s="3"/>
      <c r="AA19"/>
    </row>
    <row r="20" spans="1:27" ht="12.75" customHeight="1" x14ac:dyDescent="0.25">
      <c r="A20" s="7"/>
      <c r="C20" s="108" t="s">
        <v>55</v>
      </c>
      <c r="D20" s="140">
        <f>INDEX(Assumptions!$B$32:$B$40,MATCH($C20,Assumptions!$A$32:$A$40,0))</f>
        <v>1</v>
      </c>
      <c r="E20" s="109" t="s">
        <v>5</v>
      </c>
      <c r="F20" s="109" t="s">
        <v>1</v>
      </c>
      <c r="G20" s="110"/>
      <c r="H20" s="3"/>
      <c r="I20" s="141">
        <v>50000</v>
      </c>
      <c r="J20" s="12" t="s">
        <v>51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>L20*$I20*$D20</f>
        <v>50000</v>
      </c>
      <c r="S20" s="8">
        <f>M20*$I20*$D20</f>
        <v>50000</v>
      </c>
      <c r="T20" s="8">
        <f>N20*$I20*$D20</f>
        <v>50000</v>
      </c>
      <c r="U20" s="8">
        <f>O20*$I20*$D20</f>
        <v>1500000</v>
      </c>
      <c r="V20" s="8">
        <f>P20*$I20*$D20</f>
        <v>50000</v>
      </c>
      <c r="AA20"/>
    </row>
    <row r="21" spans="1:27" s="100" customFormat="1" ht="12.75" customHeight="1" x14ac:dyDescent="0.25">
      <c r="A21" s="7"/>
      <c r="C21" s="108" t="s">
        <v>56</v>
      </c>
      <c r="D21" s="140">
        <f>INDEX(Assumptions!$B$32:$B$40,MATCH($C21,Assumptions!$A$32:$A$40,0))</f>
        <v>0.1</v>
      </c>
      <c r="E21" s="109" t="s">
        <v>5</v>
      </c>
      <c r="F21" s="109" t="s">
        <v>1</v>
      </c>
      <c r="G21" s="110"/>
      <c r="H21" s="3"/>
      <c r="I21" s="141">
        <v>2200000</v>
      </c>
      <c r="J21" s="12" t="s">
        <v>51</v>
      </c>
      <c r="K21" s="3"/>
      <c r="L21" s="142">
        <v>1.8636363636363635</v>
      </c>
      <c r="M21" s="114">
        <v>1</v>
      </c>
      <c r="N21" s="113"/>
      <c r="O21" s="114"/>
      <c r="P21" s="113"/>
      <c r="Q21" s="3"/>
      <c r="R21" s="8">
        <f t="shared" ref="R21:R28" si="5">L21*$I21*$D21</f>
        <v>410000</v>
      </c>
      <c r="S21" s="8">
        <f t="shared" ref="S21:S28" si="6">M21*$I21*$D21</f>
        <v>220000</v>
      </c>
      <c r="T21" s="8">
        <f t="shared" ref="T21:T28" si="7">N21*$I21*$D21</f>
        <v>0</v>
      </c>
      <c r="U21" s="8">
        <f t="shared" ref="U21:U28" si="8">O21*$I21*$D21</f>
        <v>0</v>
      </c>
      <c r="V21" s="8">
        <f t="shared" ref="V21:V28" si="9">P21*$I21*$D21</f>
        <v>0</v>
      </c>
      <c r="AA21"/>
    </row>
    <row r="22" spans="1:27" s="100" customFormat="1" ht="12.75" customHeight="1" x14ac:dyDescent="0.25">
      <c r="A22" s="7"/>
      <c r="C22" s="108" t="s">
        <v>57</v>
      </c>
      <c r="D22" s="140">
        <f>INDEX(Assumptions!$B$32:$B$40,MATCH($C22,Assumptions!$A$32:$A$40,0))</f>
        <v>0.4</v>
      </c>
      <c r="E22" s="109" t="s">
        <v>5</v>
      </c>
      <c r="F22" s="109" t="s">
        <v>1</v>
      </c>
      <c r="G22" s="110"/>
      <c r="H22" s="3"/>
      <c r="I22" s="141">
        <v>750000</v>
      </c>
      <c r="J22" s="12" t="s">
        <v>51</v>
      </c>
      <c r="K22" s="3"/>
      <c r="L22" s="113">
        <v>1</v>
      </c>
      <c r="M22" s="114"/>
      <c r="N22" s="113"/>
      <c r="O22" s="114"/>
      <c r="P22" s="113"/>
      <c r="Q22" s="3"/>
      <c r="R22" s="8">
        <f t="shared" si="5"/>
        <v>300000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7" s="100" customFormat="1" ht="12.75" customHeight="1" x14ac:dyDescent="0.25">
      <c r="A23" s="7"/>
      <c r="C23" s="108" t="s">
        <v>58</v>
      </c>
      <c r="D23" s="140">
        <f>INDEX(Assumptions!$B$32:$B$40,MATCH($C23,Assumptions!$A$32:$A$40,0))</f>
        <v>0</v>
      </c>
      <c r="E23" s="109" t="s">
        <v>5</v>
      </c>
      <c r="F23" s="109" t="s">
        <v>1</v>
      </c>
      <c r="G23" s="110"/>
      <c r="H23" s="3"/>
      <c r="I23" s="141"/>
      <c r="J23" s="12" t="s">
        <v>51</v>
      </c>
      <c r="K23" s="3"/>
      <c r="L23" s="113"/>
      <c r="M23" s="114"/>
      <c r="N23" s="113"/>
      <c r="O23" s="114"/>
      <c r="P23" s="113"/>
      <c r="Q23" s="3"/>
      <c r="R23" s="8">
        <f t="shared" si="5"/>
        <v>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7" s="100" customFormat="1" ht="12.75" customHeight="1" x14ac:dyDescent="0.25">
      <c r="A24" s="7"/>
      <c r="C24" s="108" t="s">
        <v>59</v>
      </c>
      <c r="D24" s="140">
        <f>INDEX(Assumptions!$B$32:$B$40,MATCH($C24,Assumptions!$A$32:$A$40,0))</f>
        <v>0.4</v>
      </c>
      <c r="E24" s="109" t="s">
        <v>5</v>
      </c>
      <c r="F24" s="109" t="s">
        <v>1</v>
      </c>
      <c r="G24" s="110"/>
      <c r="H24" s="3"/>
      <c r="I24" s="141">
        <v>500000</v>
      </c>
      <c r="J24" s="12" t="s">
        <v>51</v>
      </c>
      <c r="K24" s="3"/>
      <c r="L24" s="113"/>
      <c r="M24" s="114"/>
      <c r="N24" s="113">
        <v>1</v>
      </c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200000</v>
      </c>
      <c r="U24" s="8">
        <f t="shared" si="8"/>
        <v>0</v>
      </c>
      <c r="V24" s="8">
        <f t="shared" si="9"/>
        <v>0</v>
      </c>
      <c r="AA24"/>
    </row>
    <row r="25" spans="1:27" s="100" customFormat="1" ht="12.75" customHeight="1" x14ac:dyDescent="0.25">
      <c r="A25" s="7"/>
      <c r="C25" s="108" t="s">
        <v>60</v>
      </c>
      <c r="D25" s="140">
        <f>INDEX(Assumptions!$B$32:$B$40,MATCH($C25,Assumptions!$A$32:$A$40,0))</f>
        <v>1</v>
      </c>
      <c r="E25" s="109" t="s">
        <v>5</v>
      </c>
      <c r="F25" s="109" t="s">
        <v>1</v>
      </c>
      <c r="G25" s="110"/>
      <c r="H25" s="3"/>
      <c r="I25" s="141">
        <v>100000</v>
      </c>
      <c r="J25" s="12" t="s">
        <v>51</v>
      </c>
      <c r="K25" s="3"/>
      <c r="L25" s="113">
        <v>1</v>
      </c>
      <c r="M25" s="114"/>
      <c r="N25" s="113"/>
      <c r="O25" s="114">
        <v>2</v>
      </c>
      <c r="P25" s="113"/>
      <c r="Q25" s="3"/>
      <c r="R25" s="8">
        <f t="shared" si="5"/>
        <v>100000</v>
      </c>
      <c r="S25" s="8">
        <f t="shared" si="6"/>
        <v>0</v>
      </c>
      <c r="T25" s="8">
        <f t="shared" si="7"/>
        <v>0</v>
      </c>
      <c r="U25" s="8">
        <f t="shared" si="8"/>
        <v>200000</v>
      </c>
      <c r="V25" s="8">
        <f t="shared" si="9"/>
        <v>0</v>
      </c>
      <c r="AA25"/>
    </row>
    <row r="26" spans="1:27" s="100" customFormat="1" ht="12.75" customHeight="1" x14ac:dyDescent="0.25">
      <c r="A26" s="7"/>
      <c r="C26" s="108" t="s">
        <v>61</v>
      </c>
      <c r="D26" s="140">
        <f>INDEX(Assumptions!$B$32:$B$40,MATCH($C26,Assumptions!$A$32:$A$40,0))</f>
        <v>0.05</v>
      </c>
      <c r="E26" s="109" t="s">
        <v>5</v>
      </c>
      <c r="F26" s="109" t="s">
        <v>1</v>
      </c>
      <c r="G26" s="110"/>
      <c r="H26" s="3"/>
      <c r="I26" s="141">
        <v>1646000</v>
      </c>
      <c r="J26" s="12" t="s">
        <v>51</v>
      </c>
      <c r="K26" s="3"/>
      <c r="L26" s="113">
        <v>1</v>
      </c>
      <c r="M26" s="113">
        <v>1</v>
      </c>
      <c r="N26" s="113">
        <v>1</v>
      </c>
      <c r="O26" s="113">
        <v>1</v>
      </c>
      <c r="P26" s="113">
        <v>1</v>
      </c>
      <c r="Q26" s="3"/>
      <c r="R26" s="8">
        <f t="shared" si="5"/>
        <v>82300</v>
      </c>
      <c r="S26" s="8">
        <f t="shared" si="6"/>
        <v>82300</v>
      </c>
      <c r="T26" s="8">
        <f t="shared" si="7"/>
        <v>82300</v>
      </c>
      <c r="U26" s="8">
        <f t="shared" si="8"/>
        <v>82300</v>
      </c>
      <c r="V26" s="8">
        <f t="shared" si="9"/>
        <v>82300</v>
      </c>
      <c r="AA26"/>
    </row>
    <row r="27" spans="1:27" s="100" customFormat="1" ht="12.75" customHeight="1" x14ac:dyDescent="0.25">
      <c r="A27" s="7"/>
      <c r="C27" s="108" t="s">
        <v>62</v>
      </c>
      <c r="D27" s="140">
        <f>INDEX(Assumptions!$B$32:$B$40,MATCH($C27,Assumptions!$A$32:$A$40,0))</f>
        <v>0.05</v>
      </c>
      <c r="E27" s="109" t="s">
        <v>5</v>
      </c>
      <c r="F27" s="109" t="s">
        <v>1</v>
      </c>
      <c r="G27" s="110"/>
      <c r="H27" s="3"/>
      <c r="I27" s="141">
        <v>53000</v>
      </c>
      <c r="J27" s="12" t="s">
        <v>51</v>
      </c>
      <c r="K27" s="3"/>
      <c r="L27" s="113">
        <v>1</v>
      </c>
      <c r="M27" s="113">
        <v>1</v>
      </c>
      <c r="N27" s="113">
        <v>1</v>
      </c>
      <c r="O27" s="113">
        <v>1</v>
      </c>
      <c r="P27" s="113">
        <v>1</v>
      </c>
      <c r="Q27" s="3"/>
      <c r="R27" s="8">
        <f t="shared" si="5"/>
        <v>2650</v>
      </c>
      <c r="S27" s="8">
        <f t="shared" si="6"/>
        <v>2650</v>
      </c>
      <c r="T27" s="8">
        <f t="shared" si="7"/>
        <v>2650</v>
      </c>
      <c r="U27" s="8">
        <f t="shared" si="8"/>
        <v>2650</v>
      </c>
      <c r="V27" s="8">
        <f t="shared" si="9"/>
        <v>2650</v>
      </c>
      <c r="AA27"/>
    </row>
    <row r="28" spans="1:27" s="100" customFormat="1" ht="12.75" customHeight="1" x14ac:dyDescent="0.25">
      <c r="A28" s="7"/>
      <c r="C28" s="108" t="s">
        <v>63</v>
      </c>
      <c r="D28" s="140">
        <f>INDEX(Assumptions!$B$32:$B$40,MATCH($C28,Assumptions!$A$32:$A$40,0))</f>
        <v>0.05</v>
      </c>
      <c r="E28" s="109" t="s">
        <v>5</v>
      </c>
      <c r="F28" s="109" t="s">
        <v>1</v>
      </c>
      <c r="G28" s="110"/>
      <c r="H28" s="3"/>
      <c r="I28" s="141">
        <v>1521400</v>
      </c>
      <c r="J28" s="12" t="s">
        <v>51</v>
      </c>
      <c r="K28" s="3"/>
      <c r="L28" s="113">
        <v>1</v>
      </c>
      <c r="M28" s="113">
        <v>1</v>
      </c>
      <c r="N28" s="113">
        <v>1</v>
      </c>
      <c r="O28" s="113">
        <v>1</v>
      </c>
      <c r="P28" s="113">
        <v>1</v>
      </c>
      <c r="Q28" s="3"/>
      <c r="R28" s="8">
        <f t="shared" si="5"/>
        <v>76070</v>
      </c>
      <c r="S28" s="8">
        <f t="shared" si="6"/>
        <v>76070</v>
      </c>
      <c r="T28" s="8">
        <f t="shared" si="7"/>
        <v>76070</v>
      </c>
      <c r="U28" s="8">
        <f t="shared" si="8"/>
        <v>76070</v>
      </c>
      <c r="V28" s="8">
        <f t="shared" si="9"/>
        <v>76070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ht="12.75" customHeight="1" x14ac:dyDescent="0.2">
      <c r="A30" s="7"/>
      <c r="C30" s="108" t="s">
        <v>55</v>
      </c>
      <c r="D30" s="140">
        <f>INDEX(Assumptions!$B$32:$B$40,MATCH($C30,Assumptions!$A$32:$A$40,0))</f>
        <v>1</v>
      </c>
      <c r="E30" s="109" t="s">
        <v>5</v>
      </c>
      <c r="F30" s="109" t="s">
        <v>4</v>
      </c>
      <c r="G30" s="110"/>
      <c r="H30" s="100"/>
      <c r="I30" s="6"/>
      <c r="J30" s="13" t="s">
        <v>42</v>
      </c>
      <c r="K30" s="100"/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R30" s="8">
        <f>L30*$D30</f>
        <v>0</v>
      </c>
      <c r="S30" s="8">
        <f t="shared" ref="S30:V30" si="10">M30*$D30</f>
        <v>250000</v>
      </c>
      <c r="T30" s="8">
        <f t="shared" si="10"/>
        <v>0</v>
      </c>
      <c r="U30" s="8">
        <f t="shared" si="10"/>
        <v>500000</v>
      </c>
      <c r="V30" s="8">
        <f t="shared" si="10"/>
        <v>0</v>
      </c>
    </row>
    <row r="31" spans="1:27" s="100" customFormat="1" ht="12.75" customHeight="1" x14ac:dyDescent="0.2">
      <c r="A31" s="7"/>
      <c r="C31" s="108" t="s">
        <v>57</v>
      </c>
      <c r="D31" s="140">
        <f>INDEX(Assumptions!$B$32:$B$40,MATCH($C31,Assumptions!$A$32:$A$40,0))</f>
        <v>0.4</v>
      </c>
      <c r="E31" s="109" t="s">
        <v>5</v>
      </c>
      <c r="F31" s="109" t="s">
        <v>4</v>
      </c>
      <c r="G31" s="110"/>
      <c r="I31" s="6"/>
      <c r="J31" s="13" t="s">
        <v>42</v>
      </c>
      <c r="L31" s="112">
        <v>200000</v>
      </c>
      <c r="M31" s="112">
        <v>0</v>
      </c>
      <c r="N31" s="112">
        <v>0</v>
      </c>
      <c r="O31" s="112">
        <v>0</v>
      </c>
      <c r="P31" s="112">
        <v>0</v>
      </c>
      <c r="R31" s="8">
        <f t="shared" ref="R31:R40" si="11">L31*$D31</f>
        <v>80000</v>
      </c>
      <c r="S31" s="8">
        <f t="shared" ref="S31:S40" si="12">M31*$D31</f>
        <v>0</v>
      </c>
      <c r="T31" s="8">
        <f t="shared" ref="T31:T40" si="13">N31*$D31</f>
        <v>0</v>
      </c>
      <c r="U31" s="8">
        <f t="shared" ref="U31:U40" si="14">O31*$D31</f>
        <v>0</v>
      </c>
      <c r="V31" s="8">
        <f t="shared" ref="V31:V40" si="15">P31*$D31</f>
        <v>0</v>
      </c>
    </row>
    <row r="32" spans="1:27" s="100" customFormat="1" ht="12.75" customHeight="1" x14ac:dyDescent="0.2">
      <c r="A32" s="7"/>
      <c r="C32" s="108" t="s">
        <v>59</v>
      </c>
      <c r="D32" s="140">
        <f>INDEX(Assumptions!$B$32:$B$40,MATCH($C32,Assumptions!$A$32:$A$40,0))</f>
        <v>0.4</v>
      </c>
      <c r="E32" s="109" t="s">
        <v>5</v>
      </c>
      <c r="F32" s="109" t="s">
        <v>4</v>
      </c>
      <c r="G32" s="110"/>
      <c r="I32" s="6"/>
      <c r="J32" s="13" t="s">
        <v>42</v>
      </c>
      <c r="L32" s="112">
        <v>0</v>
      </c>
      <c r="M32" s="112">
        <v>0</v>
      </c>
      <c r="N32" s="112">
        <v>200000</v>
      </c>
      <c r="O32" s="112">
        <v>0</v>
      </c>
      <c r="P32" s="112">
        <v>0</v>
      </c>
      <c r="R32" s="8">
        <f t="shared" si="11"/>
        <v>0</v>
      </c>
      <c r="S32" s="8">
        <f t="shared" si="12"/>
        <v>0</v>
      </c>
      <c r="T32" s="8">
        <f t="shared" si="13"/>
        <v>80000</v>
      </c>
      <c r="U32" s="8">
        <f t="shared" si="14"/>
        <v>0</v>
      </c>
      <c r="V32" s="8">
        <f t="shared" si="15"/>
        <v>0</v>
      </c>
    </row>
    <row r="33" spans="1:27" ht="12.75" customHeight="1" x14ac:dyDescent="0.2">
      <c r="A33" s="7"/>
      <c r="C33" s="108" t="s">
        <v>60</v>
      </c>
      <c r="D33" s="140">
        <f>INDEX(Assumptions!$B$32:$B$40,MATCH($C33,Assumptions!$A$32:$A$40,0))</f>
        <v>1</v>
      </c>
      <c r="E33" s="109" t="s">
        <v>5</v>
      </c>
      <c r="F33" s="109" t="s">
        <v>4</v>
      </c>
      <c r="G33" s="110"/>
      <c r="H33" s="100"/>
      <c r="I33" s="6"/>
      <c r="J33" s="13" t="s">
        <v>42</v>
      </c>
      <c r="K33" s="100"/>
      <c r="L33" s="112">
        <v>50000</v>
      </c>
      <c r="M33" s="112">
        <v>0</v>
      </c>
      <c r="N33" s="112">
        <v>0</v>
      </c>
      <c r="O33" s="112">
        <v>100000</v>
      </c>
      <c r="P33" s="112">
        <v>0</v>
      </c>
      <c r="R33" s="8">
        <f t="shared" si="11"/>
        <v>50000</v>
      </c>
      <c r="S33" s="8">
        <f t="shared" si="12"/>
        <v>0</v>
      </c>
      <c r="T33" s="8">
        <f t="shared" si="13"/>
        <v>0</v>
      </c>
      <c r="U33" s="8">
        <f t="shared" si="14"/>
        <v>100000</v>
      </c>
      <c r="V33" s="8">
        <f t="shared" si="15"/>
        <v>0</v>
      </c>
    </row>
    <row r="34" spans="1:27" s="100" customFormat="1" ht="12.75" customHeight="1" x14ac:dyDescent="0.2">
      <c r="A34" s="7"/>
      <c r="C34" s="108"/>
      <c r="D34" s="109"/>
      <c r="E34" s="109"/>
      <c r="F34" s="109"/>
      <c r="G34" s="110"/>
      <c r="I34" s="6"/>
      <c r="J34" s="13" t="s">
        <v>42</v>
      </c>
      <c r="L34" s="112"/>
      <c r="M34" s="112"/>
      <c r="N34" s="112"/>
      <c r="O34" s="112"/>
      <c r="P34" s="112"/>
      <c r="R34" s="8">
        <f t="shared" si="11"/>
        <v>0</v>
      </c>
      <c r="S34" s="8">
        <f t="shared" si="12"/>
        <v>0</v>
      </c>
      <c r="T34" s="8">
        <f t="shared" si="13"/>
        <v>0</v>
      </c>
      <c r="U34" s="8">
        <f t="shared" si="14"/>
        <v>0</v>
      </c>
      <c r="V34" s="8">
        <f t="shared" si="15"/>
        <v>0</v>
      </c>
    </row>
    <row r="35" spans="1:27" s="100" customFormat="1" ht="12.75" customHeight="1" x14ac:dyDescent="0.2">
      <c r="A35" s="7"/>
      <c r="C35" s="108"/>
      <c r="D35" s="109"/>
      <c r="E35" s="109"/>
      <c r="F35" s="109"/>
      <c r="G35" s="110"/>
      <c r="I35" s="6"/>
      <c r="J35" s="13" t="s">
        <v>42</v>
      </c>
      <c r="L35" s="112"/>
      <c r="M35" s="112"/>
      <c r="N35" s="112"/>
      <c r="O35" s="112"/>
      <c r="P35" s="112"/>
      <c r="R35" s="8">
        <f t="shared" si="11"/>
        <v>0</v>
      </c>
      <c r="S35" s="8">
        <f t="shared" si="12"/>
        <v>0</v>
      </c>
      <c r="T35" s="8">
        <f t="shared" si="13"/>
        <v>0</v>
      </c>
      <c r="U35" s="8">
        <f t="shared" si="14"/>
        <v>0</v>
      </c>
      <c r="V35" s="8">
        <f t="shared" si="15"/>
        <v>0</v>
      </c>
    </row>
    <row r="36" spans="1:27" s="100" customFormat="1" ht="12.75" customHeight="1" x14ac:dyDescent="0.2">
      <c r="A36" s="7"/>
      <c r="C36" s="108"/>
      <c r="D36" s="109"/>
      <c r="E36" s="109"/>
      <c r="F36" s="109"/>
      <c r="G36" s="110"/>
      <c r="I36" s="6"/>
      <c r="J36" s="13" t="s">
        <v>42</v>
      </c>
      <c r="L36" s="112"/>
      <c r="M36" s="112"/>
      <c r="N36" s="112"/>
      <c r="O36" s="112"/>
      <c r="P36" s="112"/>
      <c r="R36" s="8">
        <f t="shared" si="11"/>
        <v>0</v>
      </c>
      <c r="S36" s="8">
        <f t="shared" si="12"/>
        <v>0</v>
      </c>
      <c r="T36" s="8">
        <f t="shared" si="13"/>
        <v>0</v>
      </c>
      <c r="U36" s="8">
        <f t="shared" si="14"/>
        <v>0</v>
      </c>
      <c r="V36" s="8">
        <f t="shared" si="15"/>
        <v>0</v>
      </c>
    </row>
    <row r="37" spans="1:27" s="100" customFormat="1" ht="12.75" customHeight="1" x14ac:dyDescent="0.2">
      <c r="A37" s="7"/>
      <c r="C37" s="108"/>
      <c r="D37" s="109"/>
      <c r="E37" s="109"/>
      <c r="F37" s="109"/>
      <c r="G37" s="110"/>
      <c r="I37" s="6"/>
      <c r="J37" s="13" t="s">
        <v>42</v>
      </c>
      <c r="L37" s="112"/>
      <c r="M37" s="112"/>
      <c r="N37" s="112"/>
      <c r="O37" s="112"/>
      <c r="P37" s="112"/>
      <c r="R37" s="8">
        <f t="shared" si="11"/>
        <v>0</v>
      </c>
      <c r="S37" s="8">
        <f t="shared" si="12"/>
        <v>0</v>
      </c>
      <c r="T37" s="8">
        <f t="shared" si="13"/>
        <v>0</v>
      </c>
      <c r="U37" s="8">
        <f t="shared" si="14"/>
        <v>0</v>
      </c>
      <c r="V37" s="8">
        <f t="shared" si="15"/>
        <v>0</v>
      </c>
    </row>
    <row r="38" spans="1:27" s="100" customFormat="1" ht="12.75" customHeight="1" x14ac:dyDescent="0.2">
      <c r="A38" s="7"/>
      <c r="C38" s="108"/>
      <c r="D38" s="109"/>
      <c r="E38" s="109"/>
      <c r="F38" s="109"/>
      <c r="G38" s="110"/>
      <c r="I38" s="6"/>
      <c r="J38" s="13" t="s">
        <v>42</v>
      </c>
      <c r="L38" s="112"/>
      <c r="M38" s="112"/>
      <c r="N38" s="112"/>
      <c r="O38" s="112"/>
      <c r="P38" s="112"/>
      <c r="R38" s="8">
        <f t="shared" si="11"/>
        <v>0</v>
      </c>
      <c r="S38" s="8">
        <f t="shared" si="12"/>
        <v>0</v>
      </c>
      <c r="T38" s="8">
        <f t="shared" si="13"/>
        <v>0</v>
      </c>
      <c r="U38" s="8">
        <f t="shared" si="14"/>
        <v>0</v>
      </c>
      <c r="V38" s="8">
        <f t="shared" si="15"/>
        <v>0</v>
      </c>
    </row>
    <row r="39" spans="1:27" s="100" customFormat="1" ht="12.75" customHeight="1" x14ac:dyDescent="0.2">
      <c r="A39" s="7"/>
      <c r="C39" s="108"/>
      <c r="D39" s="109"/>
      <c r="E39" s="109"/>
      <c r="F39" s="109"/>
      <c r="G39" s="110"/>
      <c r="I39" s="6"/>
      <c r="J39" s="13" t="s">
        <v>42</v>
      </c>
      <c r="L39" s="112"/>
      <c r="M39" s="112"/>
      <c r="N39" s="112"/>
      <c r="O39" s="112"/>
      <c r="P39" s="112"/>
      <c r="R39" s="8">
        <f t="shared" si="11"/>
        <v>0</v>
      </c>
      <c r="S39" s="8">
        <f t="shared" si="12"/>
        <v>0</v>
      </c>
      <c r="T39" s="8">
        <f t="shared" si="13"/>
        <v>0</v>
      </c>
      <c r="U39" s="8">
        <f t="shared" si="14"/>
        <v>0</v>
      </c>
      <c r="V39" s="8">
        <f t="shared" si="15"/>
        <v>0</v>
      </c>
    </row>
    <row r="40" spans="1:27" ht="12.75" customHeight="1" x14ac:dyDescent="0.2">
      <c r="A40" s="7"/>
      <c r="B40" s="100"/>
      <c r="C40" s="108"/>
      <c r="D40" s="109"/>
      <c r="E40" s="109"/>
      <c r="F40" s="109"/>
      <c r="G40" s="110"/>
      <c r="H40" s="100"/>
      <c r="I40" s="6"/>
      <c r="J40" s="13" t="s">
        <v>42</v>
      </c>
      <c r="K40" s="100"/>
      <c r="L40" s="112"/>
      <c r="M40" s="112"/>
      <c r="N40" s="112"/>
      <c r="O40" s="112"/>
      <c r="P40" s="112"/>
      <c r="Q40" s="100"/>
      <c r="R40" s="8">
        <f t="shared" si="11"/>
        <v>0</v>
      </c>
      <c r="S40" s="8">
        <f t="shared" si="12"/>
        <v>0</v>
      </c>
      <c r="T40" s="8">
        <f t="shared" si="13"/>
        <v>0</v>
      </c>
      <c r="U40" s="8">
        <f t="shared" si="14"/>
        <v>0</v>
      </c>
      <c r="V40" s="8">
        <f t="shared" si="15"/>
        <v>0</v>
      </c>
    </row>
    <row r="41" spans="1:27" ht="12.75" customHeight="1" x14ac:dyDescent="0.25">
      <c r="H41" s="3"/>
      <c r="K41" s="3"/>
      <c r="Q41" s="3"/>
      <c r="AA41"/>
    </row>
    <row r="42" spans="1:27" ht="12.75" customHeight="1" x14ac:dyDescent="0.25">
      <c r="H42" s="3"/>
      <c r="K42" s="3"/>
      <c r="Q42" s="3"/>
      <c r="AA42"/>
    </row>
    <row r="43" spans="1:27" ht="12.75" customHeight="1" x14ac:dyDescent="0.25">
      <c r="C43" s="5" t="s">
        <v>13</v>
      </c>
      <c r="D43" s="7"/>
      <c r="H43" s="3"/>
      <c r="K43" s="3"/>
      <c r="Q43" s="3"/>
      <c r="AA43"/>
    </row>
    <row r="44" spans="1:27" ht="12.75" customHeight="1" x14ac:dyDescent="0.2">
      <c r="C44" s="28" t="s">
        <v>2</v>
      </c>
      <c r="D44" s="28"/>
      <c r="E44" s="28" t="s">
        <v>5</v>
      </c>
      <c r="F44" s="28"/>
      <c r="G44" s="28"/>
      <c r="H44" s="28"/>
      <c r="I44" s="28"/>
      <c r="J44" s="29"/>
      <c r="K44" s="3"/>
      <c r="L44" s="28"/>
      <c r="M44" s="28"/>
      <c r="N44" s="28"/>
      <c r="O44" s="28"/>
      <c r="P44" s="28"/>
      <c r="Q44" s="3"/>
      <c r="R44" s="30">
        <f t="shared" ref="R44:V49" si="16">SUMIFS(R$10:R$40,$F$10:$F$40,$C44,$E$10:$E$40,$E44)</f>
        <v>465510</v>
      </c>
      <c r="S44" s="30">
        <f t="shared" si="16"/>
        <v>485510</v>
      </c>
      <c r="T44" s="30">
        <f t="shared" si="16"/>
        <v>495510</v>
      </c>
      <c r="U44" s="30">
        <f t="shared" si="16"/>
        <v>1395510</v>
      </c>
      <c r="V44" s="30">
        <f t="shared" si="16"/>
        <v>195510</v>
      </c>
    </row>
    <row r="45" spans="1:27" ht="12.75" customHeight="1" x14ac:dyDescent="0.2">
      <c r="C45" s="4" t="s">
        <v>1</v>
      </c>
      <c r="D45" s="4"/>
      <c r="E45" s="4" t="s">
        <v>5</v>
      </c>
      <c r="F45" s="4"/>
      <c r="G45" s="4"/>
      <c r="H45" s="4"/>
      <c r="I45" s="4"/>
      <c r="J45" s="13"/>
      <c r="K45" s="3"/>
      <c r="L45" s="4"/>
      <c r="M45" s="4"/>
      <c r="N45" s="4"/>
      <c r="O45" s="4"/>
      <c r="P45" s="4"/>
      <c r="Q45" s="3"/>
      <c r="R45" s="9">
        <f t="shared" si="16"/>
        <v>1021020</v>
      </c>
      <c r="S45" s="9">
        <f t="shared" si="16"/>
        <v>431020</v>
      </c>
      <c r="T45" s="9">
        <f t="shared" si="16"/>
        <v>411020</v>
      </c>
      <c r="U45" s="9">
        <f t="shared" si="16"/>
        <v>1861020</v>
      </c>
      <c r="V45" s="9">
        <f t="shared" si="16"/>
        <v>211020</v>
      </c>
    </row>
    <row r="46" spans="1:27" ht="12.75" customHeight="1" x14ac:dyDescent="0.2">
      <c r="C46" s="4" t="s">
        <v>4</v>
      </c>
      <c r="D46" s="4"/>
      <c r="E46" s="4" t="s">
        <v>5</v>
      </c>
      <c r="F46" s="4"/>
      <c r="G46" s="4"/>
      <c r="H46" s="4"/>
      <c r="I46" s="4"/>
      <c r="J46" s="13"/>
      <c r="K46" s="3"/>
      <c r="L46" s="4"/>
      <c r="M46" s="4"/>
      <c r="N46" s="4"/>
      <c r="O46" s="4"/>
      <c r="P46" s="4"/>
      <c r="Q46" s="3"/>
      <c r="R46" s="9">
        <f t="shared" si="16"/>
        <v>130000</v>
      </c>
      <c r="S46" s="9">
        <f t="shared" si="16"/>
        <v>250000</v>
      </c>
      <c r="T46" s="9">
        <f t="shared" si="16"/>
        <v>80000</v>
      </c>
      <c r="U46" s="9">
        <f t="shared" si="16"/>
        <v>600000</v>
      </c>
      <c r="V46" s="9">
        <f t="shared" si="16"/>
        <v>0</v>
      </c>
    </row>
    <row r="47" spans="1:27" ht="12.75" customHeight="1" x14ac:dyDescent="0.2">
      <c r="C47" s="4" t="s">
        <v>2</v>
      </c>
      <c r="D47" s="4"/>
      <c r="E47" s="4" t="s">
        <v>41</v>
      </c>
      <c r="F47" s="4"/>
      <c r="G47" s="4"/>
      <c r="H47" s="4"/>
      <c r="I47" s="4"/>
      <c r="J47" s="13"/>
      <c r="K47" s="3"/>
      <c r="L47" s="4"/>
      <c r="M47" s="4"/>
      <c r="N47" s="4"/>
      <c r="O47" s="4"/>
      <c r="P47" s="4"/>
      <c r="Q47" s="3"/>
      <c r="R47" s="9">
        <f t="shared" si="16"/>
        <v>0</v>
      </c>
      <c r="S47" s="9">
        <f t="shared" si="16"/>
        <v>0</v>
      </c>
      <c r="T47" s="9">
        <f t="shared" si="16"/>
        <v>0</v>
      </c>
      <c r="U47" s="9">
        <f t="shared" si="16"/>
        <v>0</v>
      </c>
      <c r="V47" s="9">
        <f t="shared" si="16"/>
        <v>0</v>
      </c>
    </row>
    <row r="48" spans="1:27" ht="12.75" customHeight="1" x14ac:dyDescent="0.2">
      <c r="C48" s="4" t="s">
        <v>1</v>
      </c>
      <c r="D48" s="4"/>
      <c r="E48" s="4" t="s">
        <v>41</v>
      </c>
      <c r="F48" s="4"/>
      <c r="G48" s="4"/>
      <c r="H48" s="4"/>
      <c r="I48" s="4"/>
      <c r="J48" s="13"/>
      <c r="K48" s="3"/>
      <c r="L48" s="4"/>
      <c r="M48" s="4"/>
      <c r="N48" s="4"/>
      <c r="O48" s="4"/>
      <c r="P48" s="4"/>
      <c r="Q48" s="3"/>
      <c r="R48" s="9">
        <f t="shared" si="16"/>
        <v>0</v>
      </c>
      <c r="S48" s="9">
        <f t="shared" si="16"/>
        <v>0</v>
      </c>
      <c r="T48" s="9">
        <f t="shared" si="16"/>
        <v>0</v>
      </c>
      <c r="U48" s="9">
        <f t="shared" si="16"/>
        <v>0</v>
      </c>
      <c r="V48" s="9">
        <f t="shared" si="16"/>
        <v>0</v>
      </c>
    </row>
    <row r="49" spans="3:24" ht="12.75" customHeight="1" x14ac:dyDescent="0.2">
      <c r="C49" s="4" t="s">
        <v>4</v>
      </c>
      <c r="D49" s="4"/>
      <c r="E49" s="4" t="s">
        <v>41</v>
      </c>
      <c r="F49" s="7"/>
      <c r="G49" s="7"/>
      <c r="H49" s="7"/>
      <c r="I49" s="7"/>
      <c r="J49" s="31"/>
      <c r="K49" s="3"/>
      <c r="L49" s="7"/>
      <c r="M49" s="7"/>
      <c r="N49" s="7"/>
      <c r="O49" s="7"/>
      <c r="P49" s="7"/>
      <c r="Q49" s="3"/>
      <c r="R49" s="9">
        <f t="shared" si="16"/>
        <v>0</v>
      </c>
      <c r="S49" s="9">
        <f t="shared" si="16"/>
        <v>0</v>
      </c>
      <c r="T49" s="9">
        <f t="shared" si="16"/>
        <v>0</v>
      </c>
      <c r="U49" s="9">
        <f t="shared" si="16"/>
        <v>0</v>
      </c>
      <c r="V49" s="9">
        <f t="shared" si="16"/>
        <v>0</v>
      </c>
    </row>
    <row r="50" spans="3:24" ht="12.75" customHeight="1" x14ac:dyDescent="0.2">
      <c r="C50" s="10" t="str">
        <f>"Total Expenditure ($ "&amp;Assumptions!$B$8&amp;")"</f>
        <v>Total Expenditure ($ 2018)</v>
      </c>
      <c r="D50" s="10"/>
      <c r="E50" s="10"/>
      <c r="F50" s="10"/>
      <c r="G50" s="10"/>
      <c r="H50" s="10"/>
      <c r="I50" s="10"/>
      <c r="J50" s="14"/>
      <c r="K50" s="3"/>
      <c r="L50" s="10"/>
      <c r="M50" s="10"/>
      <c r="N50" s="10"/>
      <c r="O50" s="10"/>
      <c r="P50" s="10"/>
      <c r="Q50" s="3"/>
      <c r="R50" s="11">
        <f>SUM(R44:R49)</f>
        <v>1616530</v>
      </c>
      <c r="S50" s="11">
        <f t="shared" ref="S50:V50" si="17">SUM(S44:S49)</f>
        <v>1166530</v>
      </c>
      <c r="T50" s="11">
        <f t="shared" si="17"/>
        <v>986530</v>
      </c>
      <c r="U50" s="11">
        <f t="shared" si="17"/>
        <v>3856530</v>
      </c>
      <c r="V50" s="11">
        <f t="shared" si="17"/>
        <v>406530</v>
      </c>
      <c r="W50" s="44"/>
    </row>
    <row r="51" spans="3:24" ht="12.75" customHeight="1" x14ac:dyDescent="0.2">
      <c r="C51" s="28" t="str">
        <f>"Total Expenditure ($ "&amp;Assumptions!B17&amp;")"</f>
        <v>Total Expenditure ($ 2020/21)</v>
      </c>
      <c r="D51" s="28"/>
      <c r="E51" s="28"/>
      <c r="F51" s="28"/>
      <c r="G51" s="28"/>
      <c r="H51" s="28"/>
      <c r="I51" s="28"/>
      <c r="J51" s="29"/>
      <c r="K51" s="3"/>
      <c r="L51" s="28"/>
      <c r="M51" s="28"/>
      <c r="N51" s="28"/>
      <c r="O51" s="28"/>
      <c r="P51" s="28"/>
      <c r="Q51" s="3"/>
      <c r="R51" s="45">
        <f>R50*Assumptions!$B$18</f>
        <v>1711975.1219650325</v>
      </c>
      <c r="S51" s="45">
        <f>S50*Assumptions!$B$18</f>
        <v>1235405.6769907577</v>
      </c>
      <c r="T51" s="45">
        <f>T50*Assumptions!$B$18</f>
        <v>1044777.8990010476</v>
      </c>
      <c r="U51" s="45">
        <f>U50*Assumptions!$B$18</f>
        <v>4084231.9147258676</v>
      </c>
      <c r="V51" s="45">
        <f>V50*Assumptions!$B$18</f>
        <v>430532.83658975997</v>
      </c>
      <c r="W51" s="44"/>
    </row>
    <row r="52" spans="3:24" ht="12.75" customHeight="1" x14ac:dyDescent="0.2">
      <c r="C52" s="101" t="s">
        <v>12</v>
      </c>
      <c r="D52" s="101"/>
      <c r="E52" s="101"/>
      <c r="F52" s="101"/>
      <c r="G52" s="101"/>
      <c r="H52" s="101"/>
      <c r="I52" s="101"/>
      <c r="J52" s="101"/>
      <c r="K52" s="3"/>
      <c r="L52" s="101"/>
      <c r="M52" s="101"/>
      <c r="N52" s="101"/>
      <c r="O52" s="101"/>
      <c r="P52" s="101"/>
      <c r="Q52" s="3"/>
      <c r="R52" s="102">
        <f>R50-SUM(R10:R40)</f>
        <v>0</v>
      </c>
      <c r="S52" s="102">
        <f>S50-SUM(S10:S40)</f>
        <v>0</v>
      </c>
      <c r="T52" s="102">
        <f>T50-SUM(T10:T40)</f>
        <v>0</v>
      </c>
      <c r="U52" s="102">
        <f>U50-SUM(U10:U40)</f>
        <v>0</v>
      </c>
      <c r="V52" s="102">
        <f>V50-SUM(V10:V40)</f>
        <v>0</v>
      </c>
      <c r="X52" s="102">
        <f>SUM(R52:V52)</f>
        <v>0</v>
      </c>
    </row>
    <row r="53" spans="3:24" ht="12.75" customHeight="1" x14ac:dyDescent="0.2">
      <c r="H53" s="100"/>
      <c r="I53" s="100"/>
      <c r="K53" s="3"/>
      <c r="Q53" s="3"/>
    </row>
    <row r="54" spans="3:24" ht="12.75" customHeight="1" x14ac:dyDescent="0.2">
      <c r="C54" s="171" t="str">
        <f>"NPV ($ "&amp;Assumptions!$B$17&amp;")"</f>
        <v>NPV ($ 2020/21)</v>
      </c>
      <c r="D54" s="171"/>
      <c r="E54" s="172">
        <f>NPV(Assumptions!$B$6,$R$51:$V$51)</f>
        <v>7839587.8184402455</v>
      </c>
      <c r="H54" s="3"/>
      <c r="K54" s="3"/>
      <c r="Q54" s="3"/>
    </row>
    <row r="55" spans="3:24" ht="12.75" customHeight="1" x14ac:dyDescent="0.2">
      <c r="Q55" s="3"/>
    </row>
    <row r="56" spans="3:24" ht="12.75" customHeight="1" x14ac:dyDescent="0.2">
      <c r="Q56" s="3"/>
    </row>
    <row r="57" spans="3:24" ht="12.75" customHeight="1" x14ac:dyDescent="0.2"/>
    <row r="58" spans="3:24" ht="12.75" customHeight="1" x14ac:dyDescent="0.2"/>
    <row r="59" spans="3:24" ht="12.75" customHeight="1" x14ac:dyDescent="0.2"/>
  </sheetData>
  <sortState ref="B54:B56">
    <sortCondition ref="B54:B56"/>
  </sortState>
  <conditionalFormatting sqref="X52">
    <cfRule type="expression" dxfId="13" priority="2">
      <formula>ABS(X52)&gt;0.001</formula>
    </cfRule>
  </conditionalFormatting>
  <conditionalFormatting sqref="R52:V52">
    <cfRule type="expression" dxfId="12" priority="1">
      <formula>ABS(R52)&gt;0.001</formula>
    </cfRule>
  </conditionalFormatting>
  <dataValidations count="4">
    <dataValidation type="list" allowBlank="1" showInputMessage="1" showErrorMessage="1" sqref="E10:E18 E20:E28 E30:E40">
      <formula1>"CapEx, OpEx"</formula1>
    </dataValidation>
    <dataValidation type="list" allowBlank="1" showInputMessage="1" showErrorMessage="1" sqref="F10:F18 F20:F28 F30:F40">
      <formula1>"Labour, Materials, Contracts"</formula1>
    </dataValidation>
    <dataValidation type="list" allowBlank="1" showInputMessage="1" showErrorMessage="1" sqref="D34:D40">
      <formula1>"VPN, UE, Combined"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A73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100" customWidth="1"/>
    <col min="5" max="6" width="11.140625" style="1" customWidth="1"/>
    <col min="7" max="7" width="11.140625" style="100" customWidth="1"/>
    <col min="8" max="8" width="2.85546875" style="1" customWidth="1"/>
    <col min="9" max="9" width="12.140625" style="1" customWidth="1"/>
    <col min="10" max="10" width="12.7109375" style="12" customWidth="1"/>
    <col min="11" max="11" width="2.85546875" style="1" customWidth="1"/>
    <col min="12" max="16" width="12.140625" style="1" customWidth="1"/>
    <col min="17" max="17" width="2.85546875" style="1" customWidth="1"/>
    <col min="18" max="22" width="12.140625" style="1" customWidth="1"/>
    <col min="23" max="23" width="2.140625" style="1" customWidth="1"/>
    <col min="24" max="16384" width="9.140625" style="1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75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SUM(X7:X58)=0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B7" s="100"/>
      <c r="C7" s="121" t="s">
        <v>44</v>
      </c>
      <c r="D7" s="143" t="s">
        <v>66</v>
      </c>
      <c r="E7" s="23" t="s">
        <v>23</v>
      </c>
      <c r="F7" s="23" t="s">
        <v>9</v>
      </c>
      <c r="G7" s="23" t="s">
        <v>73</v>
      </c>
      <c r="H7" s="20"/>
      <c r="I7" s="23" t="s">
        <v>15</v>
      </c>
      <c r="J7" s="23" t="s">
        <v>10</v>
      </c>
      <c r="K7" s="100"/>
      <c r="L7" s="23" t="s">
        <v>43</v>
      </c>
      <c r="M7" s="24"/>
      <c r="N7" s="24"/>
      <c r="O7" s="24"/>
      <c r="P7" s="24"/>
      <c r="Q7" s="4"/>
      <c r="R7" s="23" t="s">
        <v>11</v>
      </c>
      <c r="S7" s="24"/>
      <c r="T7" s="24"/>
      <c r="U7" s="24"/>
      <c r="V7" s="24"/>
    </row>
    <row r="8" spans="1:27" s="100" customFormat="1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22" t="s">
        <v>16</v>
      </c>
      <c r="M8" s="122" t="s">
        <v>17</v>
      </c>
      <c r="N8" s="122" t="s">
        <v>18</v>
      </c>
      <c r="O8" s="122" t="s">
        <v>19</v>
      </c>
      <c r="P8" s="122" t="s">
        <v>20</v>
      </c>
      <c r="Q8" s="4"/>
      <c r="R8" s="122" t="s">
        <v>16</v>
      </c>
      <c r="S8" s="122" t="s">
        <v>17</v>
      </c>
      <c r="T8" s="122" t="s">
        <v>18</v>
      </c>
      <c r="U8" s="122" t="s">
        <v>19</v>
      </c>
      <c r="V8" s="122" t="s">
        <v>20</v>
      </c>
    </row>
    <row r="9" spans="1:27" ht="12.75" customHeight="1" x14ac:dyDescent="0.2">
      <c r="A9" s="100"/>
      <c r="B9" s="100"/>
      <c r="C9" s="100"/>
      <c r="D9" s="4"/>
      <c r="E9" s="100"/>
      <c r="F9" s="100"/>
      <c r="H9" s="20"/>
      <c r="I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</row>
    <row r="10" spans="1:27" ht="12.75" customHeight="1" x14ac:dyDescent="0.2">
      <c r="A10" s="7" t="str">
        <f>IF(ISBLANK(B10),"",1+MAX(A$6:A9))</f>
        <v/>
      </c>
      <c r="C10" s="108" t="s">
        <v>55</v>
      </c>
      <c r="D10" s="140">
        <f>INDEX(Assumptions!$C$32:$C$40,MATCH($C10,Assumptions!$A$32:$A$40,0))</f>
        <v>0</v>
      </c>
      <c r="E10" s="109" t="s">
        <v>5</v>
      </c>
      <c r="F10" s="109" t="s">
        <v>2</v>
      </c>
      <c r="G10" s="110" t="s">
        <v>69</v>
      </c>
      <c r="H10" s="3"/>
      <c r="I10" s="111">
        <v>122.2</v>
      </c>
      <c r="J10" s="12" t="s">
        <v>50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>L10*$I10*$D10</f>
        <v>0</v>
      </c>
      <c r="S10" s="8">
        <f>M10*$I10*$D10</f>
        <v>0</v>
      </c>
      <c r="T10" s="8">
        <f>N10*$I10*$D10</f>
        <v>0</v>
      </c>
      <c r="U10" s="8">
        <f>O10*$I10*$D10</f>
        <v>0</v>
      </c>
      <c r="V10" s="8">
        <f>P10*$I10*$D10</f>
        <v>0</v>
      </c>
    </row>
    <row r="11" spans="1:27" ht="12.75" customHeight="1" x14ac:dyDescent="0.2">
      <c r="A11" s="7" t="str">
        <f>IF(ISBLANK(B11),"",1+MAX(A$6:A10))</f>
        <v/>
      </c>
      <c r="C11" s="108" t="s">
        <v>56</v>
      </c>
      <c r="D11" s="140">
        <f>INDEX(Assumptions!$C$32:$C$40,MATCH($C11,Assumptions!$A$32:$A$40,0))</f>
        <v>0.9</v>
      </c>
      <c r="E11" s="109" t="s">
        <v>5</v>
      </c>
      <c r="F11" s="109" t="s">
        <v>2</v>
      </c>
      <c r="G11" s="110" t="s">
        <v>69</v>
      </c>
      <c r="H11" s="3"/>
      <c r="I11" s="111">
        <v>122.2</v>
      </c>
      <c r="J11" s="12" t="s">
        <v>50</v>
      </c>
      <c r="K11" s="3"/>
      <c r="L11" s="112">
        <v>3273.3224222585923</v>
      </c>
      <c r="M11" s="112">
        <v>3273.3224222585923</v>
      </c>
      <c r="N11" s="112">
        <v>0</v>
      </c>
      <c r="O11" s="112">
        <v>0</v>
      </c>
      <c r="P11" s="112">
        <v>0</v>
      </c>
      <c r="Q11" s="3"/>
      <c r="R11" s="8">
        <f t="shared" ref="R11:R18" si="0">L11*$I11*$D11</f>
        <v>360000</v>
      </c>
      <c r="S11" s="8">
        <f t="shared" ref="S11:S18" si="1">M11*$I11*$D11</f>
        <v>360000</v>
      </c>
      <c r="T11" s="8">
        <f t="shared" ref="T11:T18" si="2">N11*$I11*$D11</f>
        <v>0</v>
      </c>
      <c r="U11" s="8">
        <f t="shared" ref="U11:U18" si="3">O11*$I11*$D11</f>
        <v>0</v>
      </c>
      <c r="V11" s="8">
        <f t="shared" ref="V11:V18" si="4">P11*$I11*$D11</f>
        <v>0</v>
      </c>
    </row>
    <row r="12" spans="1:27" ht="12.75" customHeight="1" x14ac:dyDescent="0.2">
      <c r="A12" s="7" t="str">
        <f>IF(ISBLANK(B12),"",1+MAX(A$6:A11))</f>
        <v/>
      </c>
      <c r="C12" s="108" t="s">
        <v>57</v>
      </c>
      <c r="D12" s="140">
        <f>INDEX(Assumptions!$C$32:$C$40,MATCH($C12,Assumptions!$A$32:$A$40,0))</f>
        <v>0.6</v>
      </c>
      <c r="E12" s="109" t="s">
        <v>5</v>
      </c>
      <c r="F12" s="109" t="s">
        <v>2</v>
      </c>
      <c r="G12" s="110" t="s">
        <v>69</v>
      </c>
      <c r="H12" s="3"/>
      <c r="I12" s="111">
        <v>122.2</v>
      </c>
      <c r="J12" s="12" t="s">
        <v>50</v>
      </c>
      <c r="K12" s="3"/>
      <c r="L12" s="112">
        <v>1636.6612111292961</v>
      </c>
      <c r="M12" s="112">
        <v>0</v>
      </c>
      <c r="N12" s="112">
        <v>0</v>
      </c>
      <c r="O12" s="112">
        <v>0</v>
      </c>
      <c r="P12" s="112">
        <v>0</v>
      </c>
      <c r="Q12" s="3"/>
      <c r="R12" s="8">
        <f t="shared" si="0"/>
        <v>120000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</row>
    <row r="13" spans="1:27" ht="12.75" customHeight="1" x14ac:dyDescent="0.25">
      <c r="A13" s="7" t="str">
        <f>IF(ISBLANK(B13),"",1+MAX(A$6:A12))</f>
        <v/>
      </c>
      <c r="C13" s="108" t="s">
        <v>58</v>
      </c>
      <c r="D13" s="140">
        <f>INDEX(Assumptions!$C$32:$C$40,MATCH($C13,Assumptions!$A$32:$A$40,0))</f>
        <v>1</v>
      </c>
      <c r="E13" s="109" t="s">
        <v>5</v>
      </c>
      <c r="F13" s="109" t="s">
        <v>2</v>
      </c>
      <c r="G13" s="110" t="s">
        <v>69</v>
      </c>
      <c r="H13" s="3"/>
      <c r="I13" s="111">
        <v>122.2</v>
      </c>
      <c r="J13" s="12" t="s">
        <v>50</v>
      </c>
      <c r="K13" s="3"/>
      <c r="L13" s="112">
        <v>818.33060556464807</v>
      </c>
      <c r="M13" s="112">
        <v>0</v>
      </c>
      <c r="N13" s="112">
        <v>0</v>
      </c>
      <c r="O13" s="112">
        <v>0</v>
      </c>
      <c r="P13" s="112">
        <v>0</v>
      </c>
      <c r="Q13" s="3"/>
      <c r="R13" s="8">
        <f t="shared" si="0"/>
        <v>100000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s="100" customFormat="1" ht="12.75" customHeight="1" x14ac:dyDescent="0.25">
      <c r="A14" s="7"/>
      <c r="C14" s="108" t="s">
        <v>59</v>
      </c>
      <c r="D14" s="140">
        <f>INDEX(Assumptions!$C$32:$C$40,MATCH($C14,Assumptions!$A$32:$A$40,0))</f>
        <v>0.6</v>
      </c>
      <c r="E14" s="109" t="s">
        <v>5</v>
      </c>
      <c r="F14" s="109" t="s">
        <v>2</v>
      </c>
      <c r="G14" s="110" t="s">
        <v>69</v>
      </c>
      <c r="H14" s="3"/>
      <c r="I14" s="111">
        <v>122.2</v>
      </c>
      <c r="J14" s="12" t="s">
        <v>50</v>
      </c>
      <c r="K14" s="3"/>
      <c r="L14" s="112">
        <v>0</v>
      </c>
      <c r="M14" s="112">
        <v>0</v>
      </c>
      <c r="N14" s="112">
        <v>6137.4795417348605</v>
      </c>
      <c r="O14" s="112">
        <v>0</v>
      </c>
      <c r="P14" s="112">
        <v>0</v>
      </c>
      <c r="Q14" s="3"/>
      <c r="R14" s="8">
        <f t="shared" si="0"/>
        <v>0</v>
      </c>
      <c r="S14" s="8">
        <f t="shared" si="1"/>
        <v>0</v>
      </c>
      <c r="T14" s="8">
        <f t="shared" si="2"/>
        <v>450000</v>
      </c>
      <c r="U14" s="8">
        <f t="shared" si="3"/>
        <v>0</v>
      </c>
      <c r="V14" s="8">
        <f t="shared" si="4"/>
        <v>0</v>
      </c>
      <c r="AA14"/>
    </row>
    <row r="15" spans="1:27" s="100" customFormat="1" ht="12.75" customHeight="1" x14ac:dyDescent="0.25">
      <c r="A15" s="7"/>
      <c r="C15" s="108" t="s">
        <v>60</v>
      </c>
      <c r="D15" s="140">
        <f>INDEX(Assumptions!$C$32:$C$40,MATCH($C15,Assumptions!$A$32:$A$40,0))</f>
        <v>0</v>
      </c>
      <c r="E15" s="109" t="s">
        <v>5</v>
      </c>
      <c r="F15" s="109" t="s">
        <v>2</v>
      </c>
      <c r="G15" s="110" t="s">
        <v>69</v>
      </c>
      <c r="H15" s="3"/>
      <c r="I15" s="111">
        <v>122.2</v>
      </c>
      <c r="J15" s="12" t="s">
        <v>50</v>
      </c>
      <c r="K15" s="3"/>
      <c r="L15" s="112">
        <v>1227.4959083469721</v>
      </c>
      <c r="M15" s="112">
        <v>0</v>
      </c>
      <c r="N15" s="112">
        <v>0</v>
      </c>
      <c r="O15" s="112">
        <v>2045.8265139116202</v>
      </c>
      <c r="P15" s="112">
        <v>0</v>
      </c>
      <c r="Q15" s="3"/>
      <c r="R15" s="8">
        <f t="shared" si="0"/>
        <v>0</v>
      </c>
      <c r="S15" s="8">
        <f t="shared" si="1"/>
        <v>0</v>
      </c>
      <c r="T15" s="8">
        <f t="shared" si="2"/>
        <v>0</v>
      </c>
      <c r="U15" s="8">
        <f t="shared" si="3"/>
        <v>0</v>
      </c>
      <c r="V15" s="8">
        <f t="shared" si="4"/>
        <v>0</v>
      </c>
      <c r="AA15"/>
    </row>
    <row r="16" spans="1:27" ht="12.75" customHeight="1" x14ac:dyDescent="0.25">
      <c r="A16" s="7" t="str">
        <f>IF(ISBLANK(B16),"",1+MAX(A$6:A13))</f>
        <v/>
      </c>
      <c r="C16" s="108" t="s">
        <v>61</v>
      </c>
      <c r="D16" s="140">
        <f>INDEX(Assumptions!$C$32:$C$40,MATCH($C16,Assumptions!$A$32:$A$40,0))</f>
        <v>0.95</v>
      </c>
      <c r="E16" s="109" t="s">
        <v>5</v>
      </c>
      <c r="F16" s="109" t="s">
        <v>2</v>
      </c>
      <c r="G16" s="110" t="s">
        <v>70</v>
      </c>
      <c r="H16" s="3"/>
      <c r="I16" s="111">
        <v>122.2</v>
      </c>
      <c r="J16" s="12" t="s">
        <v>50</v>
      </c>
      <c r="K16" s="3"/>
      <c r="L16" s="112">
        <v>11268.412438625204</v>
      </c>
      <c r="M16" s="112">
        <v>11268.412438625204</v>
      </c>
      <c r="N16" s="112">
        <v>11268.412438625204</v>
      </c>
      <c r="O16" s="112">
        <v>11268.412438625204</v>
      </c>
      <c r="P16" s="112">
        <v>11268.412438625204</v>
      </c>
      <c r="Q16" s="3"/>
      <c r="R16" s="8">
        <f t="shared" si="0"/>
        <v>1308150</v>
      </c>
      <c r="S16" s="8">
        <f t="shared" si="1"/>
        <v>1308150</v>
      </c>
      <c r="T16" s="8">
        <f t="shared" si="2"/>
        <v>1308150</v>
      </c>
      <c r="U16" s="8">
        <f t="shared" si="3"/>
        <v>1308150</v>
      </c>
      <c r="V16" s="8">
        <f t="shared" si="4"/>
        <v>1308150</v>
      </c>
      <c r="AA16"/>
    </row>
    <row r="17" spans="1:27" ht="12.75" customHeight="1" x14ac:dyDescent="0.25">
      <c r="A17" s="7" t="str">
        <f>IF(ISBLANK(B17),"",1+MAX(A$6:A16))</f>
        <v/>
      </c>
      <c r="C17" s="108" t="s">
        <v>62</v>
      </c>
      <c r="D17" s="140">
        <f>INDEX(Assumptions!$C$32:$C$40,MATCH($C17,Assumptions!$A$32:$A$40,0))</f>
        <v>0.95</v>
      </c>
      <c r="E17" s="109" t="s">
        <v>5</v>
      </c>
      <c r="F17" s="109" t="s">
        <v>2</v>
      </c>
      <c r="G17" s="110" t="s">
        <v>71</v>
      </c>
      <c r="H17" s="3"/>
      <c r="I17" s="111">
        <v>122.2</v>
      </c>
      <c r="J17" s="12" t="s">
        <v>50</v>
      </c>
      <c r="K17" s="3"/>
      <c r="L17" s="112">
        <v>900.1636661211129</v>
      </c>
      <c r="M17" s="112">
        <v>900.1636661211129</v>
      </c>
      <c r="N17" s="112">
        <v>900.1636661211129</v>
      </c>
      <c r="O17" s="112">
        <v>900.1636661211129</v>
      </c>
      <c r="P17" s="112">
        <v>900.1636661211129</v>
      </c>
      <c r="Q17" s="3"/>
      <c r="R17" s="8">
        <f t="shared" si="0"/>
        <v>104500</v>
      </c>
      <c r="S17" s="8">
        <f t="shared" si="1"/>
        <v>104500</v>
      </c>
      <c r="T17" s="8">
        <f t="shared" si="2"/>
        <v>104500</v>
      </c>
      <c r="U17" s="8">
        <f t="shared" si="3"/>
        <v>104500</v>
      </c>
      <c r="V17" s="8">
        <f t="shared" si="4"/>
        <v>104500</v>
      </c>
      <c r="AA17"/>
    </row>
    <row r="18" spans="1:27" ht="12.75" customHeight="1" x14ac:dyDescent="0.25">
      <c r="A18" s="7" t="str">
        <f>IF(ISBLANK(B18),"",1+MAX(A$6:A17))</f>
        <v/>
      </c>
      <c r="C18" s="115" t="s">
        <v>63</v>
      </c>
      <c r="D18" s="140">
        <f>INDEX(Assumptions!$C$32:$C$40,MATCH($C18,Assumptions!$A$32:$A$40,0))</f>
        <v>0.95</v>
      </c>
      <c r="E18" s="109" t="s">
        <v>5</v>
      </c>
      <c r="F18" s="109" t="s">
        <v>2</v>
      </c>
      <c r="G18" s="110" t="s">
        <v>72</v>
      </c>
      <c r="H18" s="3"/>
      <c r="I18" s="111">
        <v>122.2</v>
      </c>
      <c r="J18" s="12" t="s">
        <v>50</v>
      </c>
      <c r="K18" s="3"/>
      <c r="L18" s="112">
        <v>11646.481178396072</v>
      </c>
      <c r="M18" s="112">
        <v>11646.481178396072</v>
      </c>
      <c r="N18" s="112">
        <v>11646.481178396072</v>
      </c>
      <c r="O18" s="112">
        <v>11646.481178396072</v>
      </c>
      <c r="P18" s="112">
        <v>11646.481178396072</v>
      </c>
      <c r="Q18" s="3"/>
      <c r="R18" s="8">
        <f t="shared" si="0"/>
        <v>1352040</v>
      </c>
      <c r="S18" s="8">
        <f t="shared" si="1"/>
        <v>1352040</v>
      </c>
      <c r="T18" s="8">
        <f t="shared" si="2"/>
        <v>1352040</v>
      </c>
      <c r="U18" s="8">
        <f t="shared" si="3"/>
        <v>1352040</v>
      </c>
      <c r="V18" s="8">
        <f t="shared" si="4"/>
        <v>1352040</v>
      </c>
      <c r="AA18"/>
    </row>
    <row r="19" spans="1:27" ht="12.75" customHeight="1" x14ac:dyDescent="0.25">
      <c r="A19" s="7" t="str">
        <f>IF(ISBLANK(B19),"",1+MAX(A$6:A18))</f>
        <v/>
      </c>
      <c r="C19" s="100"/>
      <c r="E19" s="100"/>
      <c r="F19" s="100"/>
      <c r="G19" s="4"/>
      <c r="H19" s="3"/>
      <c r="I19" s="100"/>
      <c r="K19" s="3"/>
      <c r="L19" s="100"/>
      <c r="M19" s="100"/>
      <c r="N19" s="100"/>
      <c r="O19" s="100"/>
      <c r="P19" s="100"/>
      <c r="Q19" s="3"/>
      <c r="R19" s="100"/>
      <c r="S19" s="100"/>
      <c r="T19" s="100"/>
      <c r="U19" s="100"/>
      <c r="V19" s="100"/>
      <c r="AA19"/>
    </row>
    <row r="20" spans="1:27" ht="12.75" customHeight="1" x14ac:dyDescent="0.25">
      <c r="A20" s="7" t="str">
        <f>IF(ISBLANK(B20),"",1+MAX(A$6:A19))</f>
        <v/>
      </c>
      <c r="C20" s="108" t="s">
        <v>55</v>
      </c>
      <c r="D20" s="140">
        <f>INDEX(Assumptions!$C$32:$C$40,MATCH($C20,Assumptions!$A$32:$A$40,0))</f>
        <v>0</v>
      </c>
      <c r="E20" s="109" t="s">
        <v>5</v>
      </c>
      <c r="F20" s="109" t="s">
        <v>1</v>
      </c>
      <c r="G20" s="110" t="s">
        <v>69</v>
      </c>
      <c r="H20" s="3"/>
      <c r="I20" s="141">
        <v>50000</v>
      </c>
      <c r="J20" s="12" t="s">
        <v>51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 t="shared" ref="R20:R28" si="5">L20*$I20*$D20</f>
        <v>0</v>
      </c>
      <c r="S20" s="8">
        <f t="shared" ref="S20:S28" si="6">M20*$I20*$D20</f>
        <v>0</v>
      </c>
      <c r="T20" s="8">
        <f t="shared" ref="T20:T28" si="7">N20*$I20*$D20</f>
        <v>0</v>
      </c>
      <c r="U20" s="8">
        <f t="shared" ref="U20:U28" si="8">O20*$I20*$D20</f>
        <v>0</v>
      </c>
      <c r="V20" s="8">
        <f t="shared" ref="V20:V28" si="9">P20*$I20*$D20</f>
        <v>0</v>
      </c>
      <c r="AA20"/>
    </row>
    <row r="21" spans="1:27" s="100" customFormat="1" ht="12.75" customHeight="1" x14ac:dyDescent="0.25">
      <c r="A21" s="7"/>
      <c r="C21" s="108" t="s">
        <v>56</v>
      </c>
      <c r="D21" s="140">
        <f>INDEX(Assumptions!$C$32:$C$40,MATCH($C21,Assumptions!$A$32:$A$40,0))</f>
        <v>0.9</v>
      </c>
      <c r="E21" s="109" t="s">
        <v>5</v>
      </c>
      <c r="F21" s="109" t="s">
        <v>1</v>
      </c>
      <c r="G21" s="110" t="s">
        <v>69</v>
      </c>
      <c r="H21" s="3"/>
      <c r="I21" s="141">
        <v>2200000</v>
      </c>
      <c r="J21" s="12" t="s">
        <v>51</v>
      </c>
      <c r="K21" s="3"/>
      <c r="L21" s="142">
        <v>1.8636363636363635</v>
      </c>
      <c r="M21" s="113">
        <v>1</v>
      </c>
      <c r="N21" s="113"/>
      <c r="O21" s="114"/>
      <c r="P21" s="113"/>
      <c r="Q21" s="3"/>
      <c r="R21" s="8">
        <f t="shared" si="5"/>
        <v>3690000</v>
      </c>
      <c r="S21" s="8">
        <f t="shared" si="6"/>
        <v>1980000</v>
      </c>
      <c r="T21" s="8">
        <f t="shared" si="7"/>
        <v>0</v>
      </c>
      <c r="U21" s="8">
        <f t="shared" si="8"/>
        <v>0</v>
      </c>
      <c r="V21" s="8">
        <f t="shared" si="9"/>
        <v>0</v>
      </c>
      <c r="AA21"/>
    </row>
    <row r="22" spans="1:27" s="100" customFormat="1" ht="12.75" customHeight="1" x14ac:dyDescent="0.25">
      <c r="A22" s="7"/>
      <c r="C22" s="108" t="s">
        <v>57</v>
      </c>
      <c r="D22" s="140">
        <f>INDEX(Assumptions!$C$32:$C$40,MATCH($C22,Assumptions!$A$32:$A$40,0))</f>
        <v>0.6</v>
      </c>
      <c r="E22" s="109" t="s">
        <v>5</v>
      </c>
      <c r="F22" s="109" t="s">
        <v>1</v>
      </c>
      <c r="G22" s="110" t="s">
        <v>69</v>
      </c>
      <c r="H22" s="3"/>
      <c r="I22" s="141">
        <v>750000</v>
      </c>
      <c r="J22" s="12" t="s">
        <v>51</v>
      </c>
      <c r="K22" s="3"/>
      <c r="L22" s="113">
        <v>1</v>
      </c>
      <c r="M22" s="114"/>
      <c r="N22" s="113"/>
      <c r="O22" s="114"/>
      <c r="P22" s="113"/>
      <c r="Q22" s="3"/>
      <c r="R22" s="8">
        <f t="shared" si="5"/>
        <v>450000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7" s="100" customFormat="1" ht="12.75" customHeight="1" x14ac:dyDescent="0.25">
      <c r="A23" s="7"/>
      <c r="C23" s="108" t="s">
        <v>58</v>
      </c>
      <c r="D23" s="140">
        <f>INDEX(Assumptions!$C$32:$C$40,MATCH($C23,Assumptions!$A$32:$A$40,0))</f>
        <v>1</v>
      </c>
      <c r="E23" s="109" t="s">
        <v>5</v>
      </c>
      <c r="F23" s="109" t="s">
        <v>1</v>
      </c>
      <c r="G23" s="110" t="s">
        <v>69</v>
      </c>
      <c r="H23" s="3"/>
      <c r="I23" s="141">
        <v>250000</v>
      </c>
      <c r="J23" s="12" t="s">
        <v>51</v>
      </c>
      <c r="K23" s="3"/>
      <c r="L23" s="113">
        <v>1</v>
      </c>
      <c r="M23" s="114"/>
      <c r="N23" s="113"/>
      <c r="O23" s="114"/>
      <c r="P23" s="113"/>
      <c r="Q23" s="3"/>
      <c r="R23" s="8">
        <f t="shared" si="5"/>
        <v>250000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7" s="100" customFormat="1" ht="12.75" customHeight="1" x14ac:dyDescent="0.25">
      <c r="A24" s="7"/>
      <c r="C24" s="108" t="s">
        <v>59</v>
      </c>
      <c r="D24" s="140">
        <f>INDEX(Assumptions!$C$32:$C$40,MATCH($C24,Assumptions!$A$32:$A$40,0))</f>
        <v>0.6</v>
      </c>
      <c r="E24" s="109" t="s">
        <v>5</v>
      </c>
      <c r="F24" s="109" t="s">
        <v>1</v>
      </c>
      <c r="G24" s="110" t="s">
        <v>69</v>
      </c>
      <c r="H24" s="3"/>
      <c r="I24" s="141">
        <v>500000</v>
      </c>
      <c r="J24" s="12" t="s">
        <v>51</v>
      </c>
      <c r="K24" s="3"/>
      <c r="L24" s="113"/>
      <c r="M24" s="114"/>
      <c r="N24" s="113">
        <v>1</v>
      </c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300000</v>
      </c>
      <c r="U24" s="8">
        <f t="shared" si="8"/>
        <v>0</v>
      </c>
      <c r="V24" s="8">
        <f t="shared" si="9"/>
        <v>0</v>
      </c>
      <c r="AA24"/>
    </row>
    <row r="25" spans="1:27" s="100" customFormat="1" ht="12.75" customHeight="1" x14ac:dyDescent="0.25">
      <c r="A25" s="7"/>
      <c r="C25" s="108" t="s">
        <v>60</v>
      </c>
      <c r="D25" s="140">
        <f>INDEX(Assumptions!$C$32:$C$40,MATCH($C25,Assumptions!$A$32:$A$40,0))</f>
        <v>0</v>
      </c>
      <c r="E25" s="109" t="s">
        <v>5</v>
      </c>
      <c r="F25" s="109" t="s">
        <v>1</v>
      </c>
      <c r="G25" s="110" t="s">
        <v>69</v>
      </c>
      <c r="H25" s="3"/>
      <c r="I25" s="141">
        <v>100000</v>
      </c>
      <c r="J25" s="12" t="s">
        <v>51</v>
      </c>
      <c r="K25" s="3"/>
      <c r="L25" s="113">
        <v>1</v>
      </c>
      <c r="M25" s="114"/>
      <c r="N25" s="113"/>
      <c r="O25" s="113">
        <v>2</v>
      </c>
      <c r="P25" s="113"/>
      <c r="Q25" s="3"/>
      <c r="R25" s="8">
        <f t="shared" si="5"/>
        <v>0</v>
      </c>
      <c r="S25" s="8">
        <f t="shared" si="6"/>
        <v>0</v>
      </c>
      <c r="T25" s="8">
        <f t="shared" si="7"/>
        <v>0</v>
      </c>
      <c r="U25" s="8">
        <f t="shared" si="8"/>
        <v>0</v>
      </c>
      <c r="V25" s="8">
        <f t="shared" si="9"/>
        <v>0</v>
      </c>
      <c r="AA25"/>
    </row>
    <row r="26" spans="1:27" s="100" customFormat="1" ht="12.75" customHeight="1" x14ac:dyDescent="0.25">
      <c r="A26" s="7"/>
      <c r="C26" s="108" t="s">
        <v>61</v>
      </c>
      <c r="D26" s="140">
        <f>INDEX(Assumptions!$C$32:$C$40,MATCH($C26,Assumptions!$A$32:$A$40,0))</f>
        <v>0.95</v>
      </c>
      <c r="E26" s="109" t="s">
        <v>5</v>
      </c>
      <c r="F26" s="109" t="s">
        <v>1</v>
      </c>
      <c r="G26" s="110" t="s">
        <v>70</v>
      </c>
      <c r="H26" s="3"/>
      <c r="I26" s="141">
        <v>1646000</v>
      </c>
      <c r="J26" s="12" t="s">
        <v>51</v>
      </c>
      <c r="K26" s="3"/>
      <c r="L26" s="113">
        <v>1</v>
      </c>
      <c r="M26" s="113">
        <v>1</v>
      </c>
      <c r="N26" s="113">
        <v>1</v>
      </c>
      <c r="O26" s="113">
        <v>1</v>
      </c>
      <c r="P26" s="113">
        <v>1</v>
      </c>
      <c r="Q26" s="3"/>
      <c r="R26" s="8">
        <f t="shared" si="5"/>
        <v>1563700</v>
      </c>
      <c r="S26" s="8">
        <f t="shared" si="6"/>
        <v>1563700</v>
      </c>
      <c r="T26" s="8">
        <f t="shared" si="7"/>
        <v>1563700</v>
      </c>
      <c r="U26" s="8">
        <f t="shared" si="8"/>
        <v>1563700</v>
      </c>
      <c r="V26" s="8">
        <f t="shared" si="9"/>
        <v>1563700</v>
      </c>
      <c r="AA26"/>
    </row>
    <row r="27" spans="1:27" s="100" customFormat="1" ht="12.75" customHeight="1" x14ac:dyDescent="0.25">
      <c r="A27" s="7"/>
      <c r="C27" s="108" t="s">
        <v>62</v>
      </c>
      <c r="D27" s="140">
        <f>INDEX(Assumptions!$C$32:$C$40,MATCH($C27,Assumptions!$A$32:$A$40,0))</f>
        <v>0.95</v>
      </c>
      <c r="E27" s="109" t="s">
        <v>5</v>
      </c>
      <c r="F27" s="109" t="s">
        <v>1</v>
      </c>
      <c r="G27" s="110" t="s">
        <v>71</v>
      </c>
      <c r="H27" s="3"/>
      <c r="I27" s="141">
        <v>53000</v>
      </c>
      <c r="J27" s="12" t="s">
        <v>51</v>
      </c>
      <c r="K27" s="3"/>
      <c r="L27" s="113">
        <v>1</v>
      </c>
      <c r="M27" s="113">
        <v>1</v>
      </c>
      <c r="N27" s="113">
        <v>1</v>
      </c>
      <c r="O27" s="113">
        <v>1</v>
      </c>
      <c r="P27" s="113">
        <v>1</v>
      </c>
      <c r="Q27" s="3"/>
      <c r="R27" s="8">
        <f t="shared" si="5"/>
        <v>50350</v>
      </c>
      <c r="S27" s="8">
        <f t="shared" si="6"/>
        <v>50350</v>
      </c>
      <c r="T27" s="8">
        <f t="shared" si="7"/>
        <v>50350</v>
      </c>
      <c r="U27" s="8">
        <f t="shared" si="8"/>
        <v>50350</v>
      </c>
      <c r="V27" s="8">
        <f t="shared" si="9"/>
        <v>50350</v>
      </c>
      <c r="AA27"/>
    </row>
    <row r="28" spans="1:27" ht="12.75" customHeight="1" x14ac:dyDescent="0.25">
      <c r="A28" s="7" t="str">
        <f>IF(ISBLANK(B28),"",1+MAX(A$6:A20))</f>
        <v/>
      </c>
      <c r="C28" s="108" t="s">
        <v>63</v>
      </c>
      <c r="D28" s="140">
        <f>INDEX(Assumptions!$C$32:$C$40,MATCH($C28,Assumptions!$A$32:$A$40,0))</f>
        <v>0.95</v>
      </c>
      <c r="E28" s="109" t="s">
        <v>5</v>
      </c>
      <c r="F28" s="109" t="s">
        <v>1</v>
      </c>
      <c r="G28" s="110" t="s">
        <v>72</v>
      </c>
      <c r="H28" s="3"/>
      <c r="I28" s="141">
        <v>1521400</v>
      </c>
      <c r="J28" s="12" t="s">
        <v>51</v>
      </c>
      <c r="K28" s="3"/>
      <c r="L28" s="113">
        <v>1</v>
      </c>
      <c r="M28" s="113">
        <v>1</v>
      </c>
      <c r="N28" s="113">
        <v>1</v>
      </c>
      <c r="O28" s="113">
        <v>1</v>
      </c>
      <c r="P28" s="113">
        <v>1</v>
      </c>
      <c r="Q28" s="3"/>
      <c r="R28" s="8">
        <f t="shared" si="5"/>
        <v>1445330</v>
      </c>
      <c r="S28" s="8">
        <f t="shared" si="6"/>
        <v>1445330</v>
      </c>
      <c r="T28" s="8">
        <f t="shared" si="7"/>
        <v>1445330</v>
      </c>
      <c r="U28" s="8">
        <f t="shared" si="8"/>
        <v>1445330</v>
      </c>
      <c r="V28" s="8">
        <f t="shared" si="9"/>
        <v>1445330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ht="12.75" customHeight="1" x14ac:dyDescent="0.2">
      <c r="A30" s="7" t="str">
        <f>IF(ISBLANK(B30),"",1+MAX(A$6:A29))</f>
        <v/>
      </c>
      <c r="C30" s="108" t="s">
        <v>55</v>
      </c>
      <c r="D30" s="140">
        <f>INDEX(Assumptions!$C$32:$C$40,MATCH($C30,Assumptions!$A$32:$A$40,0))</f>
        <v>0</v>
      </c>
      <c r="E30" s="109" t="s">
        <v>5</v>
      </c>
      <c r="F30" s="109" t="s">
        <v>4</v>
      </c>
      <c r="G30" s="110" t="s">
        <v>69</v>
      </c>
      <c r="H30" s="100"/>
      <c r="I30" s="6"/>
      <c r="J30" s="13" t="s">
        <v>42</v>
      </c>
      <c r="K30" s="100"/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Q30" s="100"/>
      <c r="R30" s="8">
        <f>L30*$D30</f>
        <v>0</v>
      </c>
      <c r="S30" s="8">
        <f t="shared" ref="S30:V30" si="10">M30*$D30</f>
        <v>0</v>
      </c>
      <c r="T30" s="8">
        <f t="shared" si="10"/>
        <v>0</v>
      </c>
      <c r="U30" s="8">
        <f t="shared" si="10"/>
        <v>0</v>
      </c>
      <c r="V30" s="8">
        <f t="shared" si="10"/>
        <v>0</v>
      </c>
    </row>
    <row r="31" spans="1:27" s="100" customFormat="1" ht="12.75" customHeight="1" x14ac:dyDescent="0.2">
      <c r="A31" s="7"/>
      <c r="C31" s="108" t="s">
        <v>57</v>
      </c>
      <c r="D31" s="140">
        <f>INDEX(Assumptions!$C$32:$C$40,MATCH($C31,Assumptions!$A$32:$A$40,0))</f>
        <v>0.6</v>
      </c>
      <c r="E31" s="109" t="s">
        <v>5</v>
      </c>
      <c r="F31" s="109" t="s">
        <v>4</v>
      </c>
      <c r="G31" s="110" t="s">
        <v>69</v>
      </c>
      <c r="I31" s="6"/>
      <c r="J31" s="13" t="s">
        <v>42</v>
      </c>
      <c r="L31" s="112">
        <v>200000</v>
      </c>
      <c r="M31" s="112">
        <v>0</v>
      </c>
      <c r="N31" s="112">
        <v>0</v>
      </c>
      <c r="O31" s="112">
        <v>0</v>
      </c>
      <c r="P31" s="112">
        <v>0</v>
      </c>
      <c r="R31" s="8">
        <f t="shared" ref="R31:R40" si="11">L31*$D31</f>
        <v>120000</v>
      </c>
      <c r="S31" s="8">
        <f t="shared" ref="S31:S40" si="12">M31*$D31</f>
        <v>0</v>
      </c>
      <c r="T31" s="8">
        <f t="shared" ref="T31:T40" si="13">N31*$D31</f>
        <v>0</v>
      </c>
      <c r="U31" s="8">
        <f t="shared" ref="U31:U40" si="14">O31*$D31</f>
        <v>0</v>
      </c>
      <c r="V31" s="8">
        <f t="shared" ref="V31:V40" si="15">P31*$D31</f>
        <v>0</v>
      </c>
    </row>
    <row r="32" spans="1:27" s="100" customFormat="1" ht="12.75" customHeight="1" x14ac:dyDescent="0.2">
      <c r="A32" s="7"/>
      <c r="C32" s="108" t="s">
        <v>59</v>
      </c>
      <c r="D32" s="140">
        <f>INDEX(Assumptions!$C$32:$C$40,MATCH($C32,Assumptions!$A$32:$A$40,0))</f>
        <v>0.6</v>
      </c>
      <c r="E32" s="109" t="s">
        <v>5</v>
      </c>
      <c r="F32" s="109" t="s">
        <v>4</v>
      </c>
      <c r="G32" s="110" t="s">
        <v>69</v>
      </c>
      <c r="I32" s="6"/>
      <c r="J32" s="13" t="s">
        <v>42</v>
      </c>
      <c r="L32" s="112">
        <v>0</v>
      </c>
      <c r="M32" s="112">
        <v>0</v>
      </c>
      <c r="N32" s="112">
        <v>200000</v>
      </c>
      <c r="O32" s="112">
        <v>0</v>
      </c>
      <c r="P32" s="112">
        <v>0</v>
      </c>
      <c r="R32" s="8">
        <f t="shared" si="11"/>
        <v>0</v>
      </c>
      <c r="S32" s="8">
        <f t="shared" si="12"/>
        <v>0</v>
      </c>
      <c r="T32" s="8">
        <f t="shared" si="13"/>
        <v>120000</v>
      </c>
      <c r="U32" s="8">
        <f t="shared" si="14"/>
        <v>0</v>
      </c>
      <c r="V32" s="8">
        <f t="shared" si="15"/>
        <v>0</v>
      </c>
    </row>
    <row r="33" spans="1:27" ht="12.75" customHeight="1" x14ac:dyDescent="0.2">
      <c r="A33" s="7"/>
      <c r="C33" s="108" t="s">
        <v>60</v>
      </c>
      <c r="D33" s="140">
        <f>INDEX(Assumptions!$C$32:$C$40,MATCH($C33,Assumptions!$A$32:$A$40,0))</f>
        <v>0</v>
      </c>
      <c r="E33" s="109" t="s">
        <v>5</v>
      </c>
      <c r="F33" s="109" t="s">
        <v>4</v>
      </c>
      <c r="G33" s="110" t="s">
        <v>69</v>
      </c>
      <c r="H33" s="100"/>
      <c r="I33" s="6"/>
      <c r="J33" s="13" t="s">
        <v>42</v>
      </c>
      <c r="K33" s="100"/>
      <c r="L33" s="112">
        <v>50000</v>
      </c>
      <c r="M33" s="112">
        <v>0</v>
      </c>
      <c r="N33" s="112">
        <v>0</v>
      </c>
      <c r="O33" s="112">
        <v>100000</v>
      </c>
      <c r="P33" s="112">
        <v>0</v>
      </c>
      <c r="Q33" s="100"/>
      <c r="R33" s="8">
        <f t="shared" si="11"/>
        <v>0</v>
      </c>
      <c r="S33" s="8">
        <f t="shared" si="12"/>
        <v>0</v>
      </c>
      <c r="T33" s="8">
        <f t="shared" si="13"/>
        <v>0</v>
      </c>
      <c r="U33" s="8">
        <f t="shared" si="14"/>
        <v>0</v>
      </c>
      <c r="V33" s="8">
        <f t="shared" si="15"/>
        <v>0</v>
      </c>
    </row>
    <row r="34" spans="1:27" s="100" customFormat="1" ht="12.75" customHeight="1" x14ac:dyDescent="0.2">
      <c r="A34" s="7"/>
      <c r="C34" s="108"/>
      <c r="D34" s="109"/>
      <c r="E34" s="109"/>
      <c r="F34" s="109"/>
      <c r="G34" s="110"/>
      <c r="I34" s="6"/>
      <c r="J34" s="13" t="s">
        <v>42</v>
      </c>
      <c r="L34" s="112"/>
      <c r="M34" s="112"/>
      <c r="N34" s="112"/>
      <c r="O34" s="112"/>
      <c r="P34" s="112"/>
      <c r="R34" s="8">
        <f t="shared" si="11"/>
        <v>0</v>
      </c>
      <c r="S34" s="8">
        <f t="shared" si="12"/>
        <v>0</v>
      </c>
      <c r="T34" s="8">
        <f t="shared" si="13"/>
        <v>0</v>
      </c>
      <c r="U34" s="8">
        <f t="shared" si="14"/>
        <v>0</v>
      </c>
      <c r="V34" s="8">
        <f t="shared" si="15"/>
        <v>0</v>
      </c>
    </row>
    <row r="35" spans="1:27" s="100" customFormat="1" ht="12.75" customHeight="1" x14ac:dyDescent="0.2">
      <c r="A35" s="7"/>
      <c r="C35" s="108"/>
      <c r="D35" s="109"/>
      <c r="E35" s="109"/>
      <c r="F35" s="109"/>
      <c r="G35" s="110"/>
      <c r="I35" s="6"/>
      <c r="J35" s="13" t="s">
        <v>42</v>
      </c>
      <c r="L35" s="112"/>
      <c r="M35" s="112"/>
      <c r="N35" s="112"/>
      <c r="O35" s="112"/>
      <c r="P35" s="112"/>
      <c r="R35" s="8">
        <f t="shared" si="11"/>
        <v>0</v>
      </c>
      <c r="S35" s="8">
        <f t="shared" si="12"/>
        <v>0</v>
      </c>
      <c r="T35" s="8">
        <f t="shared" si="13"/>
        <v>0</v>
      </c>
      <c r="U35" s="8">
        <f t="shared" si="14"/>
        <v>0</v>
      </c>
      <c r="V35" s="8">
        <f t="shared" si="15"/>
        <v>0</v>
      </c>
    </row>
    <row r="36" spans="1:27" s="100" customFormat="1" ht="12.75" customHeight="1" x14ac:dyDescent="0.2">
      <c r="A36" s="7"/>
      <c r="C36" s="108"/>
      <c r="D36" s="109"/>
      <c r="E36" s="109"/>
      <c r="F36" s="109"/>
      <c r="G36" s="110"/>
      <c r="I36" s="6"/>
      <c r="J36" s="13" t="s">
        <v>42</v>
      </c>
      <c r="L36" s="112"/>
      <c r="M36" s="112"/>
      <c r="N36" s="112"/>
      <c r="O36" s="112"/>
      <c r="P36" s="112"/>
      <c r="R36" s="8">
        <f t="shared" si="11"/>
        <v>0</v>
      </c>
      <c r="S36" s="8">
        <f t="shared" si="12"/>
        <v>0</v>
      </c>
      <c r="T36" s="8">
        <f t="shared" si="13"/>
        <v>0</v>
      </c>
      <c r="U36" s="8">
        <f t="shared" si="14"/>
        <v>0</v>
      </c>
      <c r="V36" s="8">
        <f t="shared" si="15"/>
        <v>0</v>
      </c>
    </row>
    <row r="37" spans="1:27" s="100" customFormat="1" ht="12.75" customHeight="1" x14ac:dyDescent="0.2">
      <c r="A37" s="7"/>
      <c r="C37" s="108"/>
      <c r="D37" s="109"/>
      <c r="E37" s="109"/>
      <c r="F37" s="109"/>
      <c r="G37" s="110"/>
      <c r="I37" s="6"/>
      <c r="J37" s="13" t="s">
        <v>42</v>
      </c>
      <c r="L37" s="112"/>
      <c r="M37" s="112"/>
      <c r="N37" s="112"/>
      <c r="O37" s="112"/>
      <c r="P37" s="112"/>
      <c r="R37" s="8">
        <f t="shared" si="11"/>
        <v>0</v>
      </c>
      <c r="S37" s="8">
        <f t="shared" si="12"/>
        <v>0</v>
      </c>
      <c r="T37" s="8">
        <f t="shared" si="13"/>
        <v>0</v>
      </c>
      <c r="U37" s="8">
        <f t="shared" si="14"/>
        <v>0</v>
      </c>
      <c r="V37" s="8">
        <f t="shared" si="15"/>
        <v>0</v>
      </c>
    </row>
    <row r="38" spans="1:27" s="100" customFormat="1" ht="12.75" customHeight="1" x14ac:dyDescent="0.2">
      <c r="A38" s="7"/>
      <c r="C38" s="108"/>
      <c r="D38" s="109"/>
      <c r="E38" s="109"/>
      <c r="F38" s="109"/>
      <c r="G38" s="110"/>
      <c r="I38" s="6"/>
      <c r="J38" s="13" t="s">
        <v>42</v>
      </c>
      <c r="L38" s="112"/>
      <c r="M38" s="112"/>
      <c r="N38" s="112"/>
      <c r="O38" s="112"/>
      <c r="P38" s="112"/>
      <c r="R38" s="8">
        <f t="shared" si="11"/>
        <v>0</v>
      </c>
      <c r="S38" s="8">
        <f t="shared" si="12"/>
        <v>0</v>
      </c>
      <c r="T38" s="8">
        <f t="shared" si="13"/>
        <v>0</v>
      </c>
      <c r="U38" s="8">
        <f t="shared" si="14"/>
        <v>0</v>
      </c>
      <c r="V38" s="8">
        <f t="shared" si="15"/>
        <v>0</v>
      </c>
    </row>
    <row r="39" spans="1:27" s="100" customFormat="1" ht="12.75" customHeight="1" x14ac:dyDescent="0.2">
      <c r="A39" s="7"/>
      <c r="C39" s="108"/>
      <c r="D39" s="109"/>
      <c r="E39" s="109"/>
      <c r="F39" s="109"/>
      <c r="G39" s="110"/>
      <c r="I39" s="6"/>
      <c r="J39" s="13" t="s">
        <v>42</v>
      </c>
      <c r="L39" s="112"/>
      <c r="M39" s="112"/>
      <c r="N39" s="112"/>
      <c r="O39" s="112"/>
      <c r="P39" s="112"/>
      <c r="R39" s="8">
        <f t="shared" si="11"/>
        <v>0</v>
      </c>
      <c r="S39" s="8">
        <f t="shared" si="12"/>
        <v>0</v>
      </c>
      <c r="T39" s="8">
        <f t="shared" si="13"/>
        <v>0</v>
      </c>
      <c r="U39" s="8">
        <f t="shared" si="14"/>
        <v>0</v>
      </c>
      <c r="V39" s="8">
        <f t="shared" si="15"/>
        <v>0</v>
      </c>
    </row>
    <row r="40" spans="1:27" ht="12.75" customHeight="1" x14ac:dyDescent="0.2">
      <c r="A40" s="7"/>
      <c r="B40" s="100"/>
      <c r="C40" s="108"/>
      <c r="D40" s="109"/>
      <c r="E40" s="109"/>
      <c r="F40" s="109"/>
      <c r="G40" s="110"/>
      <c r="H40" s="100"/>
      <c r="I40" s="6"/>
      <c r="J40" s="13" t="s">
        <v>42</v>
      </c>
      <c r="K40" s="100"/>
      <c r="L40" s="112"/>
      <c r="M40" s="112"/>
      <c r="N40" s="112"/>
      <c r="O40" s="112"/>
      <c r="P40" s="112"/>
      <c r="Q40" s="100"/>
      <c r="R40" s="8">
        <f t="shared" si="11"/>
        <v>0</v>
      </c>
      <c r="S40" s="8">
        <f t="shared" si="12"/>
        <v>0</v>
      </c>
      <c r="T40" s="8">
        <f t="shared" si="13"/>
        <v>0</v>
      </c>
      <c r="U40" s="8">
        <f t="shared" si="14"/>
        <v>0</v>
      </c>
      <c r="V40" s="8">
        <f t="shared" si="15"/>
        <v>0</v>
      </c>
    </row>
    <row r="41" spans="1:27" ht="12.75" customHeight="1" x14ac:dyDescent="0.25">
      <c r="H41" s="100"/>
      <c r="K41" s="100"/>
      <c r="Q41" s="100"/>
      <c r="AA41"/>
    </row>
    <row r="42" spans="1:27" ht="12.75" customHeight="1" x14ac:dyDescent="0.25">
      <c r="H42" s="100"/>
      <c r="K42" s="100"/>
      <c r="Q42" s="100"/>
      <c r="AA42"/>
    </row>
    <row r="43" spans="1:27" ht="12.75" customHeight="1" x14ac:dyDescent="0.25">
      <c r="C43" s="5" t="s">
        <v>13</v>
      </c>
      <c r="D43" s="7"/>
      <c r="H43" s="100"/>
      <c r="K43" s="100"/>
      <c r="Q43" s="100"/>
      <c r="AA43"/>
    </row>
    <row r="44" spans="1:27" ht="12.75" customHeight="1" x14ac:dyDescent="0.2">
      <c r="C44" s="28" t="s">
        <v>2</v>
      </c>
      <c r="D44" s="28"/>
      <c r="E44" s="28" t="s">
        <v>5</v>
      </c>
      <c r="F44" s="28"/>
      <c r="G44" s="28" t="s">
        <v>69</v>
      </c>
      <c r="H44" s="28"/>
      <c r="I44" s="28"/>
      <c r="J44" s="29"/>
      <c r="K44" s="100"/>
      <c r="L44" s="28"/>
      <c r="M44" s="28"/>
      <c r="N44" s="28"/>
      <c r="O44" s="28"/>
      <c r="P44" s="28"/>
      <c r="Q44" s="100"/>
      <c r="R44" s="30">
        <f>SUMIFS(R$10:R$40,$F$10:$F$40,$C44,$E$10:$E$40,$E44,$G$10:$G$40,$G44)</f>
        <v>580000</v>
      </c>
      <c r="S44" s="30">
        <f t="shared" ref="S44:V55" si="16">SUMIFS(S$10:S$40,$F$10:$F$40,$C44,$E$10:$E$40,$E44,$G$10:$G$40,$G44)</f>
        <v>360000</v>
      </c>
      <c r="T44" s="30">
        <f t="shared" si="16"/>
        <v>450000</v>
      </c>
      <c r="U44" s="30">
        <f t="shared" si="16"/>
        <v>0</v>
      </c>
      <c r="V44" s="30">
        <f t="shared" si="16"/>
        <v>0</v>
      </c>
    </row>
    <row r="45" spans="1:27" ht="12.75" customHeight="1" x14ac:dyDescent="0.2">
      <c r="C45" s="4" t="s">
        <v>2</v>
      </c>
      <c r="D45" s="4"/>
      <c r="E45" s="4" t="s">
        <v>5</v>
      </c>
      <c r="F45" s="4"/>
      <c r="G45" s="4" t="s">
        <v>70</v>
      </c>
      <c r="H45" s="4"/>
      <c r="I45" s="4"/>
      <c r="J45" s="13"/>
      <c r="K45" s="100"/>
      <c r="L45" s="4"/>
      <c r="M45" s="4"/>
      <c r="N45" s="4"/>
      <c r="O45" s="4"/>
      <c r="P45" s="4"/>
      <c r="Q45" s="100"/>
      <c r="R45" s="9">
        <f t="shared" ref="R45:R55" si="17">SUMIFS(R$10:R$40,$F$10:$F$40,$C45,$E$10:$E$40,$E45,$G$10:$G$40,$G45)</f>
        <v>1308150</v>
      </c>
      <c r="S45" s="9">
        <f t="shared" si="16"/>
        <v>1308150</v>
      </c>
      <c r="T45" s="9">
        <f t="shared" si="16"/>
        <v>1308150</v>
      </c>
      <c r="U45" s="9">
        <f t="shared" si="16"/>
        <v>1308150</v>
      </c>
      <c r="V45" s="9">
        <f t="shared" si="16"/>
        <v>1308150</v>
      </c>
    </row>
    <row r="46" spans="1:27" ht="12.75" customHeight="1" x14ac:dyDescent="0.2">
      <c r="C46" s="4" t="s">
        <v>2</v>
      </c>
      <c r="D46" s="4"/>
      <c r="E46" s="4" t="s">
        <v>5</v>
      </c>
      <c r="F46" s="4"/>
      <c r="G46" s="4" t="s">
        <v>71</v>
      </c>
      <c r="H46" s="4"/>
      <c r="I46" s="4"/>
      <c r="J46" s="13"/>
      <c r="K46" s="100"/>
      <c r="L46" s="4"/>
      <c r="M46" s="4"/>
      <c r="N46" s="4"/>
      <c r="O46" s="4"/>
      <c r="P46" s="4"/>
      <c r="Q46" s="100"/>
      <c r="R46" s="9">
        <f t="shared" si="17"/>
        <v>104500</v>
      </c>
      <c r="S46" s="9">
        <f t="shared" si="16"/>
        <v>104500</v>
      </c>
      <c r="T46" s="9">
        <f t="shared" si="16"/>
        <v>104500</v>
      </c>
      <c r="U46" s="9">
        <f t="shared" si="16"/>
        <v>104500</v>
      </c>
      <c r="V46" s="9">
        <f t="shared" si="16"/>
        <v>104500</v>
      </c>
    </row>
    <row r="47" spans="1:27" ht="12.75" customHeight="1" x14ac:dyDescent="0.2">
      <c r="C47" s="4" t="s">
        <v>2</v>
      </c>
      <c r="D47" s="4"/>
      <c r="E47" s="4" t="s">
        <v>5</v>
      </c>
      <c r="F47" s="4"/>
      <c r="G47" s="4" t="s">
        <v>72</v>
      </c>
      <c r="H47" s="4"/>
      <c r="I47" s="4"/>
      <c r="J47" s="13"/>
      <c r="K47" s="100"/>
      <c r="L47" s="4"/>
      <c r="M47" s="4"/>
      <c r="N47" s="4"/>
      <c r="O47" s="4"/>
      <c r="P47" s="4"/>
      <c r="Q47" s="100"/>
      <c r="R47" s="9">
        <f t="shared" si="17"/>
        <v>1352040</v>
      </c>
      <c r="S47" s="9">
        <f t="shared" si="16"/>
        <v>1352040</v>
      </c>
      <c r="T47" s="9">
        <f t="shared" si="16"/>
        <v>1352040</v>
      </c>
      <c r="U47" s="9">
        <f t="shared" si="16"/>
        <v>1352040</v>
      </c>
      <c r="V47" s="9">
        <f t="shared" si="16"/>
        <v>1352040</v>
      </c>
    </row>
    <row r="48" spans="1:27" s="100" customFormat="1" ht="12.75" customHeight="1" x14ac:dyDescent="0.2">
      <c r="C48" s="4" t="s">
        <v>1</v>
      </c>
      <c r="D48" s="4"/>
      <c r="E48" s="4" t="s">
        <v>5</v>
      </c>
      <c r="F48" s="4"/>
      <c r="G48" s="4" t="s">
        <v>69</v>
      </c>
      <c r="H48" s="4"/>
      <c r="I48" s="4"/>
      <c r="J48" s="13"/>
      <c r="L48" s="4"/>
      <c r="M48" s="4"/>
      <c r="N48" s="4"/>
      <c r="O48" s="4"/>
      <c r="P48" s="4"/>
      <c r="R48" s="9">
        <f t="shared" si="17"/>
        <v>4390000</v>
      </c>
      <c r="S48" s="9">
        <f t="shared" si="16"/>
        <v>1980000</v>
      </c>
      <c r="T48" s="9">
        <f t="shared" si="16"/>
        <v>300000</v>
      </c>
      <c r="U48" s="9">
        <f t="shared" si="16"/>
        <v>0</v>
      </c>
      <c r="V48" s="9">
        <f t="shared" si="16"/>
        <v>0</v>
      </c>
    </row>
    <row r="49" spans="3:26" s="100" customFormat="1" ht="12.75" customHeight="1" x14ac:dyDescent="0.2">
      <c r="C49" s="4" t="s">
        <v>1</v>
      </c>
      <c r="D49" s="4"/>
      <c r="E49" s="4" t="s">
        <v>5</v>
      </c>
      <c r="F49" s="4"/>
      <c r="G49" s="4" t="s">
        <v>70</v>
      </c>
      <c r="H49" s="4"/>
      <c r="I49" s="4"/>
      <c r="J49" s="13"/>
      <c r="L49" s="4"/>
      <c r="M49" s="4"/>
      <c r="N49" s="4"/>
      <c r="O49" s="4"/>
      <c r="P49" s="4"/>
      <c r="R49" s="9">
        <f t="shared" si="17"/>
        <v>1563700</v>
      </c>
      <c r="S49" s="9">
        <f t="shared" si="16"/>
        <v>1563700</v>
      </c>
      <c r="T49" s="9">
        <f t="shared" si="16"/>
        <v>1563700</v>
      </c>
      <c r="U49" s="9">
        <f t="shared" si="16"/>
        <v>1563700</v>
      </c>
      <c r="V49" s="9">
        <f t="shared" si="16"/>
        <v>1563700</v>
      </c>
    </row>
    <row r="50" spans="3:26" s="100" customFormat="1" ht="12.75" customHeight="1" x14ac:dyDescent="0.2">
      <c r="C50" s="4" t="s">
        <v>1</v>
      </c>
      <c r="D50" s="4"/>
      <c r="E50" s="4" t="s">
        <v>5</v>
      </c>
      <c r="F50" s="4"/>
      <c r="G50" s="4" t="s">
        <v>71</v>
      </c>
      <c r="H50" s="4"/>
      <c r="I50" s="4"/>
      <c r="J50" s="13"/>
      <c r="L50" s="4"/>
      <c r="M50" s="4"/>
      <c r="N50" s="4"/>
      <c r="O50" s="4"/>
      <c r="P50" s="4"/>
      <c r="R50" s="9">
        <f t="shared" si="17"/>
        <v>50350</v>
      </c>
      <c r="S50" s="9">
        <f t="shared" si="16"/>
        <v>50350</v>
      </c>
      <c r="T50" s="9">
        <f t="shared" si="16"/>
        <v>50350</v>
      </c>
      <c r="U50" s="9">
        <f t="shared" si="16"/>
        <v>50350</v>
      </c>
      <c r="V50" s="9">
        <f t="shared" si="16"/>
        <v>50350</v>
      </c>
    </row>
    <row r="51" spans="3:26" ht="12.75" customHeight="1" x14ac:dyDescent="0.2">
      <c r="C51" s="4" t="s">
        <v>1</v>
      </c>
      <c r="D51" s="4"/>
      <c r="E51" s="4" t="s">
        <v>5</v>
      </c>
      <c r="F51" s="4"/>
      <c r="G51" s="4" t="s">
        <v>72</v>
      </c>
      <c r="H51" s="4"/>
      <c r="I51" s="4"/>
      <c r="J51" s="13"/>
      <c r="K51" s="100"/>
      <c r="L51" s="4"/>
      <c r="M51" s="4"/>
      <c r="N51" s="4"/>
      <c r="O51" s="4"/>
      <c r="P51" s="4"/>
      <c r="Q51" s="100"/>
      <c r="R51" s="9">
        <f t="shared" si="17"/>
        <v>1445330</v>
      </c>
      <c r="S51" s="9">
        <f t="shared" si="16"/>
        <v>1445330</v>
      </c>
      <c r="T51" s="9">
        <f t="shared" si="16"/>
        <v>1445330</v>
      </c>
      <c r="U51" s="9">
        <f t="shared" si="16"/>
        <v>1445330</v>
      </c>
      <c r="V51" s="9">
        <f t="shared" si="16"/>
        <v>1445330</v>
      </c>
    </row>
    <row r="52" spans="3:26" s="100" customFormat="1" ht="12.75" customHeight="1" x14ac:dyDescent="0.2">
      <c r="C52" s="4" t="s">
        <v>4</v>
      </c>
      <c r="D52" s="4"/>
      <c r="E52" s="4" t="s">
        <v>5</v>
      </c>
      <c r="F52" s="4"/>
      <c r="G52" s="4" t="s">
        <v>69</v>
      </c>
      <c r="H52" s="4"/>
      <c r="I52" s="4"/>
      <c r="J52" s="13"/>
      <c r="L52" s="4"/>
      <c r="M52" s="4"/>
      <c r="N52" s="4"/>
      <c r="O52" s="4"/>
      <c r="P52" s="4"/>
      <c r="R52" s="9">
        <f t="shared" si="17"/>
        <v>120000</v>
      </c>
      <c r="S52" s="9">
        <f t="shared" si="16"/>
        <v>0</v>
      </c>
      <c r="T52" s="9">
        <f t="shared" si="16"/>
        <v>120000</v>
      </c>
      <c r="U52" s="9">
        <f t="shared" si="16"/>
        <v>0</v>
      </c>
      <c r="V52" s="9">
        <f t="shared" si="16"/>
        <v>0</v>
      </c>
    </row>
    <row r="53" spans="3:26" s="100" customFormat="1" ht="12.75" customHeight="1" x14ac:dyDescent="0.2">
      <c r="C53" s="4" t="s">
        <v>4</v>
      </c>
      <c r="D53" s="4"/>
      <c r="E53" s="4" t="s">
        <v>5</v>
      </c>
      <c r="F53" s="4"/>
      <c r="G53" s="4" t="s">
        <v>70</v>
      </c>
      <c r="H53" s="4"/>
      <c r="I53" s="4"/>
      <c r="J53" s="13"/>
      <c r="L53" s="4"/>
      <c r="M53" s="4"/>
      <c r="N53" s="4"/>
      <c r="O53" s="4"/>
      <c r="P53" s="4"/>
      <c r="R53" s="9">
        <f t="shared" si="17"/>
        <v>0</v>
      </c>
      <c r="S53" s="9">
        <f t="shared" si="16"/>
        <v>0</v>
      </c>
      <c r="T53" s="9">
        <f t="shared" si="16"/>
        <v>0</v>
      </c>
      <c r="U53" s="9">
        <f t="shared" si="16"/>
        <v>0</v>
      </c>
      <c r="V53" s="9">
        <f t="shared" si="16"/>
        <v>0</v>
      </c>
    </row>
    <row r="54" spans="3:26" s="100" customFormat="1" ht="12.75" customHeight="1" x14ac:dyDescent="0.2">
      <c r="C54" s="4" t="s">
        <v>4</v>
      </c>
      <c r="D54" s="4"/>
      <c r="E54" s="4" t="s">
        <v>5</v>
      </c>
      <c r="F54" s="4"/>
      <c r="G54" s="4" t="s">
        <v>71</v>
      </c>
      <c r="H54" s="4"/>
      <c r="I54" s="4"/>
      <c r="J54" s="13"/>
      <c r="L54" s="4"/>
      <c r="M54" s="4"/>
      <c r="N54" s="4"/>
      <c r="O54" s="4"/>
      <c r="P54" s="4"/>
      <c r="R54" s="9">
        <f t="shared" si="17"/>
        <v>0</v>
      </c>
      <c r="S54" s="9">
        <f t="shared" si="16"/>
        <v>0</v>
      </c>
      <c r="T54" s="9">
        <f t="shared" si="16"/>
        <v>0</v>
      </c>
      <c r="U54" s="9">
        <f t="shared" si="16"/>
        <v>0</v>
      </c>
      <c r="V54" s="9">
        <f t="shared" si="16"/>
        <v>0</v>
      </c>
    </row>
    <row r="55" spans="3:26" ht="12.75" customHeight="1" x14ac:dyDescent="0.2">
      <c r="C55" s="4" t="s">
        <v>4</v>
      </c>
      <c r="D55" s="4"/>
      <c r="E55" s="4" t="s">
        <v>5</v>
      </c>
      <c r="F55" s="7"/>
      <c r="G55" s="4" t="s">
        <v>72</v>
      </c>
      <c r="H55" s="7"/>
      <c r="I55" s="7"/>
      <c r="J55" s="31"/>
      <c r="K55" s="100"/>
      <c r="L55" s="7"/>
      <c r="M55" s="7"/>
      <c r="N55" s="7"/>
      <c r="O55" s="7"/>
      <c r="P55" s="7"/>
      <c r="Q55" s="100"/>
      <c r="R55" s="9">
        <f t="shared" si="17"/>
        <v>0</v>
      </c>
      <c r="S55" s="9">
        <f t="shared" si="16"/>
        <v>0</v>
      </c>
      <c r="T55" s="9">
        <f t="shared" si="16"/>
        <v>0</v>
      </c>
      <c r="U55" s="9">
        <f t="shared" si="16"/>
        <v>0</v>
      </c>
      <c r="V55" s="9">
        <f t="shared" si="16"/>
        <v>0</v>
      </c>
    </row>
    <row r="56" spans="3:26" ht="12.75" customHeight="1" x14ac:dyDescent="0.2">
      <c r="C56" s="10" t="str">
        <f>"Total Expenditure ($ "&amp;Assumptions!$B$8&amp;")"</f>
        <v>Total Expenditure ($ 2018)</v>
      </c>
      <c r="D56" s="10"/>
      <c r="E56" s="10"/>
      <c r="F56" s="10"/>
      <c r="G56" s="10"/>
      <c r="H56" s="10"/>
      <c r="I56" s="10"/>
      <c r="J56" s="14"/>
      <c r="K56" s="100"/>
      <c r="L56" s="10"/>
      <c r="M56" s="10"/>
      <c r="N56" s="10"/>
      <c r="O56" s="10"/>
      <c r="P56" s="10"/>
      <c r="Q56" s="100"/>
      <c r="R56" s="11">
        <f>SUM(R44:R55)</f>
        <v>10914070</v>
      </c>
      <c r="S56" s="11">
        <f t="shared" ref="S56:V56" si="18">SUM(S44:S55)</f>
        <v>8164070</v>
      </c>
      <c r="T56" s="11">
        <f t="shared" si="18"/>
        <v>6694070</v>
      </c>
      <c r="U56" s="11">
        <f t="shared" si="18"/>
        <v>5824070</v>
      </c>
      <c r="V56" s="11">
        <f t="shared" si="18"/>
        <v>5824070</v>
      </c>
      <c r="W56" s="44"/>
      <c r="X56" s="100"/>
      <c r="Y56" s="100"/>
      <c r="Z56" s="100"/>
    </row>
    <row r="57" spans="3:26" ht="12.75" customHeight="1" x14ac:dyDescent="0.2">
      <c r="C57" s="28" t="str">
        <f>"Total Expenditure ($ "&amp;Assumptions!B17&amp;")"</f>
        <v>Total Expenditure ($ 2020/21)</v>
      </c>
      <c r="D57" s="28"/>
      <c r="E57" s="28"/>
      <c r="F57" s="28"/>
      <c r="G57" s="28"/>
      <c r="H57" s="28"/>
      <c r="I57" s="28"/>
      <c r="J57" s="29"/>
      <c r="K57" s="100"/>
      <c r="L57" s="28"/>
      <c r="M57" s="28"/>
      <c r="N57" s="28"/>
      <c r="O57" s="28"/>
      <c r="P57" s="28"/>
      <c r="Q57" s="100"/>
      <c r="R57" s="45">
        <f>R56*Assumptions!$B$18</f>
        <v>11558471.738467522</v>
      </c>
      <c r="S57" s="45">
        <f>S56*Assumptions!$B$18</f>
        <v>8646102.9080691747</v>
      </c>
      <c r="T57" s="45">
        <f>T56*Assumptions!$B$18</f>
        <v>7089309.3878198769</v>
      </c>
      <c r="U57" s="45">
        <f>U56*Assumptions!$B$18</f>
        <v>6167941.7942029452</v>
      </c>
      <c r="V57" s="45">
        <f>V56*Assumptions!$B$18</f>
        <v>6167941.7942029452</v>
      </c>
      <c r="W57" s="44"/>
      <c r="X57" s="100"/>
      <c r="Y57" s="100"/>
      <c r="Z57" s="100"/>
    </row>
    <row r="58" spans="3:26" x14ac:dyDescent="0.2">
      <c r="C58" s="101" t="s">
        <v>12</v>
      </c>
      <c r="D58" s="101"/>
      <c r="E58" s="101"/>
      <c r="F58" s="101"/>
      <c r="G58" s="101"/>
      <c r="H58" s="101"/>
      <c r="I58" s="101"/>
      <c r="J58" s="101"/>
      <c r="K58" s="100"/>
      <c r="L58" s="101"/>
      <c r="M58" s="101"/>
      <c r="N58" s="101"/>
      <c r="O58" s="101"/>
      <c r="P58" s="101"/>
      <c r="Q58" s="100"/>
      <c r="R58" s="102">
        <f>R56-SUM(R10:R40)</f>
        <v>0</v>
      </c>
      <c r="S58" s="102">
        <f>S56-SUM(S10:S40)</f>
        <v>0</v>
      </c>
      <c r="T58" s="102">
        <f>T56-SUM(T10:T40)</f>
        <v>0</v>
      </c>
      <c r="U58" s="102">
        <f>U56-SUM(U10:U40)</f>
        <v>0</v>
      </c>
      <c r="V58" s="102">
        <f>V56-SUM(V10:V40)</f>
        <v>0</v>
      </c>
      <c r="W58" s="100"/>
      <c r="X58" s="102">
        <f>SUM(R58:V58)</f>
        <v>0</v>
      </c>
      <c r="Y58" s="100"/>
      <c r="Z58" s="100"/>
    </row>
    <row r="59" spans="3:26" ht="12.75" customHeight="1" x14ac:dyDescent="0.2">
      <c r="C59" s="100"/>
      <c r="E59" s="100"/>
      <c r="F59" s="100"/>
      <c r="H59" s="100"/>
      <c r="I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</row>
    <row r="60" spans="3:26" ht="12.75" customHeight="1" x14ac:dyDescent="0.2">
      <c r="F60" s="40"/>
      <c r="G60" s="40"/>
      <c r="H60" s="100"/>
      <c r="I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</row>
    <row r="61" spans="3:26" ht="12.75" customHeight="1" x14ac:dyDescent="0.2">
      <c r="H61" s="100"/>
      <c r="K61" s="100"/>
      <c r="Q61" s="100"/>
    </row>
    <row r="62" spans="3:26" ht="12.75" customHeight="1" x14ac:dyDescent="0.2">
      <c r="D62" s="4"/>
      <c r="E62" s="4"/>
      <c r="F62" s="4"/>
      <c r="G62" s="4"/>
      <c r="H62" s="4"/>
      <c r="I62" s="4"/>
      <c r="J62" s="13"/>
      <c r="K62" s="100"/>
      <c r="Q62" s="100"/>
    </row>
    <row r="63" spans="3:26" ht="12.75" customHeight="1" x14ac:dyDescent="0.2">
      <c r="C63" s="5" t="s">
        <v>83</v>
      </c>
      <c r="D63" s="5"/>
      <c r="E63" s="165"/>
      <c r="F63" s="165"/>
      <c r="G63" s="165"/>
      <c r="H63" s="165"/>
      <c r="I63" s="165"/>
      <c r="J63" s="166"/>
      <c r="K63" s="100"/>
      <c r="L63" s="165"/>
      <c r="M63" s="165"/>
      <c r="N63" s="165"/>
      <c r="O63" s="165"/>
      <c r="P63" s="165"/>
      <c r="Q63" s="100"/>
      <c r="R63" s="165"/>
      <c r="S63" s="165"/>
      <c r="T63" s="165"/>
      <c r="U63" s="165"/>
      <c r="V63" s="165"/>
    </row>
    <row r="64" spans="3:26" ht="12.75" customHeight="1" x14ac:dyDescent="0.2">
      <c r="C64" s="1" t="s">
        <v>2</v>
      </c>
      <c r="D64" s="100" t="s">
        <v>80</v>
      </c>
      <c r="E64" s="1" t="s">
        <v>82</v>
      </c>
      <c r="F64" s="169" t="str">
        <f t="shared" ref="F64:F66" si="19">C64&amp;D64</f>
        <v>LabourCP</v>
      </c>
      <c r="H64" s="100"/>
      <c r="K64" s="100"/>
      <c r="Q64" s="100"/>
      <c r="R64" s="164">
        <f>((INDEX(Assumptions!$E$46:$E$50,MATCH($G44,Assumptions!$A$46:$A$50,0))*R44)+(INDEX(Assumptions!$E$46:$E$50,MATCH($G45,Assumptions!$A$46:$A$50,0))*R45)+(INDEX(Assumptions!$E$46:$E$50,MATCH($G46,Assumptions!$A$46:$A$50,0))*R46)+(INDEX(Assumptions!$E$46:$E$50,MATCH($G47,Assumptions!$A$46:$A$50,0))*R47))*Assumptions!$B$18</f>
        <v>836881.66499566659</v>
      </c>
      <c r="S64" s="164">
        <f>((INDEX(Assumptions!$E$46:$E$50,MATCH($G44,Assumptions!$A$46:$A$50,0))*S44)+(INDEX(Assumptions!$E$46:$E$50,MATCH($G45,Assumptions!$A$46:$A$50,0))*S45)+(INDEX(Assumptions!$E$46:$E$50,MATCH($G46,Assumptions!$A$46:$A$50,0))*S46)+(INDEX(Assumptions!$E$46:$E$50,MATCH($G47,Assumptions!$A$46:$A$50,0))*S47))*Assumptions!$B$18</f>
        <v>766984.81306610629</v>
      </c>
      <c r="T64" s="164">
        <f>((INDEX(Assumptions!$E$46:$E$50,MATCH($G44,Assumptions!$A$46:$A$50,0))*T44)+(INDEX(Assumptions!$E$46:$E$50,MATCH($G45,Assumptions!$A$46:$A$50,0))*T45)+(INDEX(Assumptions!$E$46:$E$50,MATCH($G46,Assumptions!$A$46:$A$50,0))*T46)+(INDEX(Assumptions!$E$46:$E$50,MATCH($G47,Assumptions!$A$46:$A$50,0))*T47))*Assumptions!$B$18</f>
        <v>795578.9797645628</v>
      </c>
      <c r="U64" s="164">
        <f>((INDEX(Assumptions!$E$46:$E$50,MATCH($G44,Assumptions!$A$46:$A$50,0))*U44)+(INDEX(Assumptions!$E$46:$E$50,MATCH($G45,Assumptions!$A$46:$A$50,0))*U45)+(INDEX(Assumptions!$E$46:$E$50,MATCH($G46,Assumptions!$A$46:$A$50,0))*U46)+(INDEX(Assumptions!$E$46:$E$50,MATCH($G47,Assumptions!$A$46:$A$50,0))*U47))*Assumptions!$B$18</f>
        <v>652608.14627228025</v>
      </c>
      <c r="V64" s="164">
        <f>((INDEX(Assumptions!$E$46:$E$50,MATCH($G44,Assumptions!$A$46:$A$50,0))*V44)+(INDEX(Assumptions!$E$46:$E$50,MATCH($G45,Assumptions!$A$46:$A$50,0))*V45)+(INDEX(Assumptions!$E$46:$E$50,MATCH($G46,Assumptions!$A$46:$A$50,0))*V46)+(INDEX(Assumptions!$E$46:$E$50,MATCH($G47,Assumptions!$A$46:$A$50,0))*V47))*Assumptions!$B$18</f>
        <v>652608.14627228025</v>
      </c>
    </row>
    <row r="65" spans="3:24" ht="12.75" customHeight="1" x14ac:dyDescent="0.2">
      <c r="C65" s="1" t="s">
        <v>1</v>
      </c>
      <c r="D65" s="100" t="s">
        <v>80</v>
      </c>
      <c r="E65" s="100" t="s">
        <v>82</v>
      </c>
      <c r="F65" s="169" t="str">
        <f t="shared" si="19"/>
        <v>MaterialsCP</v>
      </c>
      <c r="R65" s="164">
        <f>((INDEX(Assumptions!$E$46:$E$50,MATCH($G48,Assumptions!$A$46:$A$50,0))*R48)+(INDEX(Assumptions!$E$46:$E$50,MATCH($G49,Assumptions!$A$46:$A$50,0))*R49)+(INDEX(Assumptions!$E$46:$E$50,MATCH($G50,Assumptions!$A$46:$A$50,0))*R50)+(INDEX(Assumptions!$E$46:$E$50,MATCH($G51,Assumptions!$A$46:$A$50,0))*R51))*Assumptions!$B$18</f>
        <v>2098760.1442718813</v>
      </c>
      <c r="S65" s="164">
        <f>((INDEX(Assumptions!$E$46:$E$50,MATCH($G48,Assumptions!$A$46:$A$50,0))*S48)+(INDEX(Assumptions!$E$46:$E$50,MATCH($G49,Assumptions!$A$46:$A$50,0))*S49)+(INDEX(Assumptions!$E$46:$E$50,MATCH($G50,Assumptions!$A$46:$A$50,0))*S50)+(INDEX(Assumptions!$E$46:$E$50,MATCH($G51,Assumptions!$A$46:$A$50,0))*S51))*Assumptions!$B$18</f>
        <v>1333071.9026798797</v>
      </c>
      <c r="T65" s="164">
        <f>((INDEX(Assumptions!$E$46:$E$50,MATCH($G48,Assumptions!$A$46:$A$50,0))*T48)+(INDEX(Assumptions!$E$46:$E$50,MATCH($G49,Assumptions!$A$46:$A$50,0))*T49)+(INDEX(Assumptions!$E$46:$E$50,MATCH($G50,Assumptions!$A$46:$A$50,0))*T50)+(INDEX(Assumptions!$E$46:$E$50,MATCH($G51,Assumptions!$A$46:$A$50,0))*T51))*Assumptions!$B$18</f>
        <v>799314.12430869183</v>
      </c>
      <c r="U65" s="164">
        <f>((INDEX(Assumptions!$E$46:$E$50,MATCH($G48,Assumptions!$A$46:$A$50,0))*U48)+(INDEX(Assumptions!$E$46:$E$50,MATCH($G49,Assumptions!$A$46:$A$50,0))*U49)+(INDEX(Assumptions!$E$46:$E$50,MATCH($G50,Assumptions!$A$46:$A$50,0))*U50)+(INDEX(Assumptions!$E$46:$E$50,MATCH($G51,Assumptions!$A$46:$A$50,0))*U51))*Assumptions!$B$18</f>
        <v>704000.23531383683</v>
      </c>
      <c r="V65" s="164">
        <f>((INDEX(Assumptions!$E$46:$E$50,MATCH($G48,Assumptions!$A$46:$A$50,0))*V48)+(INDEX(Assumptions!$E$46:$E$50,MATCH($G49,Assumptions!$A$46:$A$50,0))*V49)+(INDEX(Assumptions!$E$46:$E$50,MATCH($G50,Assumptions!$A$46:$A$50,0))*V50)+(INDEX(Assumptions!$E$46:$E$50,MATCH($G51,Assumptions!$A$46:$A$50,0))*V51))*Assumptions!$B$18</f>
        <v>704000.23531383683</v>
      </c>
    </row>
    <row r="66" spans="3:24" x14ac:dyDescent="0.2">
      <c r="C66" s="1" t="s">
        <v>4</v>
      </c>
      <c r="D66" s="100" t="s">
        <v>80</v>
      </c>
      <c r="E66" s="100" t="s">
        <v>82</v>
      </c>
      <c r="F66" s="169" t="str">
        <f t="shared" si="19"/>
        <v>ContractsCP</v>
      </c>
      <c r="R66" s="164">
        <f>((INDEX(Assumptions!$E$46:$E$50,MATCH($G52,Assumptions!$A$46:$A$50,0))*R52)+(INDEX(Assumptions!$E$46:$E$50,MATCH($G53,Assumptions!$A$46:$A$50,0))*R53)+(INDEX(Assumptions!$E$46:$E$50,MATCH($G54,Assumptions!$A$46:$A$50,0))*R54)+(INDEX(Assumptions!$E$46:$E$50,MATCH($G55,Assumptions!$A$46:$A$50,0))*R55))*Assumptions!$B$18</f>
        <v>38125.555597941995</v>
      </c>
      <c r="S66" s="164">
        <f>((INDEX(Assumptions!$E$46:$E$50,MATCH($G52,Assumptions!$A$46:$A$50,0))*S52)+(INDEX(Assumptions!$E$46:$E$50,MATCH($G53,Assumptions!$A$46:$A$50,0))*S53)+(INDEX(Assumptions!$E$46:$E$50,MATCH($G54,Assumptions!$A$46:$A$50,0))*S54)+(INDEX(Assumptions!$E$46:$E$50,MATCH($G55,Assumptions!$A$46:$A$50,0))*S55))*Assumptions!$B$18</f>
        <v>0</v>
      </c>
      <c r="T66" s="164">
        <f>((INDEX(Assumptions!$E$46:$E$50,MATCH($G52,Assumptions!$A$46:$A$50,0))*T52)+(INDEX(Assumptions!$E$46:$E$50,MATCH($G53,Assumptions!$A$46:$A$50,0))*T53)+(INDEX(Assumptions!$E$46:$E$50,MATCH($G54,Assumptions!$A$46:$A$50,0))*T54)+(INDEX(Assumptions!$E$46:$E$50,MATCH($G55,Assumptions!$A$46:$A$50,0))*T55))*Assumptions!$B$18</f>
        <v>38125.555597941995</v>
      </c>
      <c r="U66" s="164">
        <f>((INDEX(Assumptions!$E$46:$E$50,MATCH($G52,Assumptions!$A$46:$A$50,0))*U52)+(INDEX(Assumptions!$E$46:$E$50,MATCH($G53,Assumptions!$A$46:$A$50,0))*U53)+(INDEX(Assumptions!$E$46:$E$50,MATCH($G54,Assumptions!$A$46:$A$50,0))*U54)+(INDEX(Assumptions!$E$46:$E$50,MATCH($G55,Assumptions!$A$46:$A$50,0))*U55))*Assumptions!$B$18</f>
        <v>0</v>
      </c>
      <c r="V66" s="164">
        <f>((INDEX(Assumptions!$E$46:$E$50,MATCH($G52,Assumptions!$A$46:$A$50,0))*V52)+(INDEX(Assumptions!$E$46:$E$50,MATCH($G53,Assumptions!$A$46:$A$50,0))*V53)+(INDEX(Assumptions!$E$46:$E$50,MATCH($G54,Assumptions!$A$46:$A$50,0))*V54)+(INDEX(Assumptions!$E$46:$E$50,MATCH($G55,Assumptions!$A$46:$A$50,0))*V55))*Assumptions!$B$18</f>
        <v>0</v>
      </c>
    </row>
    <row r="67" spans="3:24" x14ac:dyDescent="0.2">
      <c r="C67" s="100" t="s">
        <v>2</v>
      </c>
      <c r="D67" s="100" t="s">
        <v>81</v>
      </c>
      <c r="E67" s="100" t="s">
        <v>82</v>
      </c>
      <c r="F67" s="169" t="str">
        <f>C67&amp;D67</f>
        <v>LabourPAL</v>
      </c>
      <c r="R67" s="164">
        <f>((INDEX(Assumptions!$F$46:$F$50,MATCH($G44,Assumptions!$A$46:$A$50,0))*R44)+(INDEX(Assumptions!$F$46:$F$50,MATCH($G45,Assumptions!$A$46:$A$50,0))*R45)+(INDEX(Assumptions!$F$46:$F$50,MATCH($G46,Assumptions!$A$46:$A$50,0))*R46)+(INDEX(Assumptions!$F$46:$F$50,MATCH($G47,Assumptions!$A$46:$A$50,0))*R47))*Assumptions!$B$18</f>
        <v>2705289.5725843506</v>
      </c>
      <c r="S67" s="164">
        <f>((INDEX(Assumptions!$F$46:$F$50,MATCH($G44,Assumptions!$A$46:$A$50,0))*S44)+(INDEX(Assumptions!$F$46:$F$50,MATCH($G45,Assumptions!$A$46:$A$50,0))*S45)+(INDEX(Assumptions!$F$46:$F$50,MATCH($G46,Assumptions!$A$46:$A$50,0))*S46)+(INDEX(Assumptions!$F$46:$F$50,MATCH($G47,Assumptions!$A$46:$A$50,0))*S47))*Assumptions!$B$18</f>
        <v>2542196.9180820431</v>
      </c>
      <c r="T67" s="164">
        <f>((INDEX(Assumptions!$F$46:$F$50,MATCH($G44,Assumptions!$A$46:$A$50,0))*T44)+(INDEX(Assumptions!$F$46:$F$50,MATCH($G45,Assumptions!$A$46:$A$50,0))*T45)+(INDEX(Assumptions!$F$46:$F$50,MATCH($G46,Assumptions!$A$46:$A$50,0))*T46)+(INDEX(Assumptions!$F$46:$F$50,MATCH($G47,Assumptions!$A$46:$A$50,0))*T47))*Assumptions!$B$18</f>
        <v>2608916.6403784417</v>
      </c>
      <c r="U67" s="164">
        <f>((INDEX(Assumptions!$F$46:$F$50,MATCH($G44,Assumptions!$A$46:$A$50,0))*U44)+(INDEX(Assumptions!$F$46:$F$50,MATCH($G45,Assumptions!$A$46:$A$50,0))*U45)+(INDEX(Assumptions!$F$46:$F$50,MATCH($G46,Assumptions!$A$46:$A$50,0))*U46)+(INDEX(Assumptions!$F$46:$F$50,MATCH($G47,Assumptions!$A$46:$A$50,0))*U47))*Assumptions!$B$18</f>
        <v>2275318.0288964491</v>
      </c>
      <c r="V67" s="164">
        <f>((INDEX(Assumptions!$F$46:$F$50,MATCH($G44,Assumptions!$A$46:$A$50,0))*V44)+(INDEX(Assumptions!$F$46:$F$50,MATCH($G45,Assumptions!$A$46:$A$50,0))*V45)+(INDEX(Assumptions!$F$46:$F$50,MATCH($G46,Assumptions!$A$46:$A$50,0))*V46)+(INDEX(Assumptions!$F$46:$F$50,MATCH($G47,Assumptions!$A$46:$A$50,0))*V47))*Assumptions!$B$18</f>
        <v>2275318.0288964491</v>
      </c>
    </row>
    <row r="68" spans="3:24" x14ac:dyDescent="0.2">
      <c r="C68" s="100" t="s">
        <v>1</v>
      </c>
      <c r="D68" s="100" t="s">
        <v>81</v>
      </c>
      <c r="E68" s="100" t="s">
        <v>82</v>
      </c>
      <c r="F68" s="169" t="str">
        <f t="shared" ref="F68:F69" si="20">C68&amp;D68</f>
        <v>MaterialsPAL</v>
      </c>
      <c r="R68" s="164">
        <f>((INDEX(Assumptions!$F$46:$F$50,MATCH($G48,Assumptions!$A$46:$A$50,0))*R48)+(INDEX(Assumptions!$F$46:$F$50,MATCH($G49,Assumptions!$A$46:$A$50,0))*R49)+(INDEX(Assumptions!$F$46:$F$50,MATCH($G50,Assumptions!$A$46:$A$50,0))*R50)+(INDEX(Assumptions!$F$46:$F$50,MATCH($G51,Assumptions!$A$46:$A$50,0))*R51))*Assumptions!$B$18</f>
        <v>5790455.1712891497</v>
      </c>
      <c r="S68" s="164">
        <f>((INDEX(Assumptions!$F$46:$F$50,MATCH($G48,Assumptions!$A$46:$A$50,0))*S48)+(INDEX(Assumptions!$F$46:$F$50,MATCH($G49,Assumptions!$A$46:$A$50,0))*S49)+(INDEX(Assumptions!$F$46:$F$50,MATCH($G50,Assumptions!$A$46:$A$50,0))*S50)+(INDEX(Assumptions!$F$46:$F$50,MATCH($G51,Assumptions!$A$46:$A$50,0))*S51))*Assumptions!$B$18</f>
        <v>4003849.2742411462</v>
      </c>
      <c r="T68" s="164">
        <f>((INDEX(Assumptions!$F$46:$F$50,MATCH($G48,Assumptions!$A$46:$A$50,0))*T48)+(INDEX(Assumptions!$F$46:$F$50,MATCH($G49,Assumptions!$A$46:$A$50,0))*T49)+(INDEX(Assumptions!$F$46:$F$50,MATCH($G50,Assumptions!$A$46:$A$50,0))*T50)+(INDEX(Assumptions!$F$46:$F$50,MATCH($G51,Assumptions!$A$46:$A$50,0))*T51))*Assumptions!$B$18</f>
        <v>2758414.4580417075</v>
      </c>
      <c r="U68" s="164">
        <f>((INDEX(Assumptions!$F$46:$F$50,MATCH($G48,Assumptions!$A$46:$A$50,0))*U48)+(INDEX(Assumptions!$F$46:$F$50,MATCH($G49,Assumptions!$A$46:$A$50,0))*U49)+(INDEX(Assumptions!$F$46:$F$50,MATCH($G50,Assumptions!$A$46:$A$50,0))*U50)+(INDEX(Assumptions!$F$46:$F$50,MATCH($G51,Assumptions!$A$46:$A$50,0))*U51))*Assumptions!$B$18</f>
        <v>2536015.3837203793</v>
      </c>
      <c r="V68" s="164">
        <f>((INDEX(Assumptions!$F$46:$F$50,MATCH($G48,Assumptions!$A$46:$A$50,0))*V48)+(INDEX(Assumptions!$F$46:$F$50,MATCH($G49,Assumptions!$A$46:$A$50,0))*V49)+(INDEX(Assumptions!$F$46:$F$50,MATCH($G50,Assumptions!$A$46:$A$50,0))*V50)+(INDEX(Assumptions!$F$46:$F$50,MATCH($G51,Assumptions!$A$46:$A$50,0))*V51))*Assumptions!$B$18</f>
        <v>2536015.3837203793</v>
      </c>
    </row>
    <row r="69" spans="3:24" x14ac:dyDescent="0.2">
      <c r="C69" s="100" t="s">
        <v>4</v>
      </c>
      <c r="D69" s="100" t="s">
        <v>81</v>
      </c>
      <c r="E69" s="100" t="s">
        <v>82</v>
      </c>
      <c r="F69" s="169" t="str">
        <f t="shared" si="20"/>
        <v>ContractsPAL</v>
      </c>
      <c r="R69" s="164">
        <f>((INDEX(Assumptions!$F$46:$F$50,MATCH($G52,Assumptions!$A$46:$A$50,0))*R52)+(INDEX(Assumptions!$F$46:$F$50,MATCH($G53,Assumptions!$A$46:$A$50,0))*R53)+(INDEX(Assumptions!$F$46:$F$50,MATCH($G54,Assumptions!$A$46:$A$50,0))*R54)+(INDEX(Assumptions!$F$46:$F$50,MATCH($G55,Assumptions!$A$46:$A$50,0))*R55))*Assumptions!$B$18</f>
        <v>88959.629728531319</v>
      </c>
      <c r="S69" s="164">
        <f>((INDEX(Assumptions!$F$46:$F$50,MATCH($G52,Assumptions!$A$46:$A$50,0))*S52)+(INDEX(Assumptions!$F$46:$F$50,MATCH($G53,Assumptions!$A$46:$A$50,0))*S53)+(INDEX(Assumptions!$F$46:$F$50,MATCH($G54,Assumptions!$A$46:$A$50,0))*S54)+(INDEX(Assumptions!$F$46:$F$50,MATCH($G55,Assumptions!$A$46:$A$50,0))*S55))*Assumptions!$B$18</f>
        <v>0</v>
      </c>
      <c r="T69" s="164">
        <f>((INDEX(Assumptions!$F$46:$F$50,MATCH($G52,Assumptions!$A$46:$A$50,0))*T52)+(INDEX(Assumptions!$F$46:$F$50,MATCH($G53,Assumptions!$A$46:$A$50,0))*T53)+(INDEX(Assumptions!$F$46:$F$50,MATCH($G54,Assumptions!$A$46:$A$50,0))*T54)+(INDEX(Assumptions!$F$46:$F$50,MATCH($G55,Assumptions!$A$46:$A$50,0))*T55))*Assumptions!$B$18</f>
        <v>88959.629728531319</v>
      </c>
      <c r="U69" s="164">
        <f>((INDEX(Assumptions!$F$46:$F$50,MATCH($G52,Assumptions!$A$46:$A$50,0))*U52)+(INDEX(Assumptions!$F$46:$F$50,MATCH($G53,Assumptions!$A$46:$A$50,0))*U53)+(INDEX(Assumptions!$F$46:$F$50,MATCH($G54,Assumptions!$A$46:$A$50,0))*U54)+(INDEX(Assumptions!$F$46:$F$50,MATCH($G55,Assumptions!$A$46:$A$50,0))*U55))*Assumptions!$B$18</f>
        <v>0</v>
      </c>
      <c r="V69" s="164">
        <f>((INDEX(Assumptions!$F$46:$F$50,MATCH($G52,Assumptions!$A$46:$A$50,0))*V52)+(INDEX(Assumptions!$F$46:$F$50,MATCH($G53,Assumptions!$A$46:$A$50,0))*V53)+(INDEX(Assumptions!$F$46:$F$50,MATCH($G54,Assumptions!$A$46:$A$50,0))*V54)+(INDEX(Assumptions!$F$46:$F$50,MATCH($G55,Assumptions!$A$46:$A$50,0))*V55))*Assumptions!$B$18</f>
        <v>0</v>
      </c>
    </row>
    <row r="70" spans="3:24" x14ac:dyDescent="0.2">
      <c r="C70" s="10" t="str">
        <f>"Total Expenditure ($ "&amp;Assumptions!B17&amp;")"</f>
        <v>Total Expenditure ($ 2020/21)</v>
      </c>
      <c r="D70" s="10"/>
      <c r="E70" s="10"/>
      <c r="F70" s="10"/>
      <c r="G70" s="10"/>
      <c r="H70" s="10"/>
      <c r="I70" s="10"/>
      <c r="J70" s="14"/>
      <c r="K70" s="100"/>
      <c r="L70" s="10"/>
      <c r="M70" s="10"/>
      <c r="N70" s="10"/>
      <c r="O70" s="10"/>
      <c r="P70" s="10"/>
      <c r="R70" s="11">
        <f>SUM(R64:R69)</f>
        <v>11558471.738467522</v>
      </c>
      <c r="S70" s="11">
        <f t="shared" ref="S70:V70" si="21">SUM(S64:S69)</f>
        <v>8646102.9080691747</v>
      </c>
      <c r="T70" s="11">
        <f t="shared" si="21"/>
        <v>7089309.3878198769</v>
      </c>
      <c r="U70" s="11">
        <f t="shared" si="21"/>
        <v>6167941.7942029461</v>
      </c>
      <c r="V70" s="11">
        <f t="shared" si="21"/>
        <v>6167941.7942029461</v>
      </c>
    </row>
    <row r="71" spans="3:24" x14ac:dyDescent="0.2">
      <c r="C71" s="101" t="s">
        <v>12</v>
      </c>
      <c r="D71" s="101"/>
      <c r="E71" s="101"/>
      <c r="F71" s="101"/>
      <c r="G71" s="101"/>
      <c r="H71" s="101"/>
      <c r="I71" s="101"/>
      <c r="J71" s="101"/>
      <c r="K71" s="100"/>
      <c r="L71" s="101"/>
      <c r="M71" s="101"/>
      <c r="N71" s="101"/>
      <c r="O71" s="101"/>
      <c r="P71" s="101"/>
      <c r="R71" s="102">
        <f>R57-R70</f>
        <v>0</v>
      </c>
      <c r="S71" s="102">
        <f t="shared" ref="S71:V71" si="22">S57-S70</f>
        <v>0</v>
      </c>
      <c r="T71" s="102">
        <f t="shared" si="22"/>
        <v>0</v>
      </c>
      <c r="U71" s="102">
        <f t="shared" si="22"/>
        <v>0</v>
      </c>
      <c r="V71" s="102">
        <f t="shared" si="22"/>
        <v>0</v>
      </c>
      <c r="X71" s="102">
        <f>SUM(R71:V71)</f>
        <v>0</v>
      </c>
    </row>
    <row r="73" spans="3:24" x14ac:dyDescent="0.2">
      <c r="C73" s="171" t="str">
        <f>"NPV ($ "&amp;Assumptions!$B$17&amp;")"</f>
        <v>NPV ($ 2020/21)</v>
      </c>
      <c r="D73" s="171"/>
      <c r="E73" s="172">
        <f>NPV(Assumptions!$B$6,$R$70:$V$70)</f>
        <v>36893031.068627991</v>
      </c>
    </row>
  </sheetData>
  <conditionalFormatting sqref="X58">
    <cfRule type="expression" dxfId="11" priority="5">
      <formula>ABS(X58)&gt;0.001</formula>
    </cfRule>
  </conditionalFormatting>
  <conditionalFormatting sqref="R58:V58">
    <cfRule type="expression" dxfId="10" priority="4">
      <formula>ABS(R58)&gt;0.001</formula>
    </cfRule>
  </conditionalFormatting>
  <conditionalFormatting sqref="R71">
    <cfRule type="expression" dxfId="9" priority="3">
      <formula>ABS(R71)&gt;0.001</formula>
    </cfRule>
  </conditionalFormatting>
  <conditionalFormatting sqref="S71:V71">
    <cfRule type="expression" dxfId="8" priority="2">
      <formula>ABS(S71)&gt;0.001</formula>
    </cfRule>
  </conditionalFormatting>
  <conditionalFormatting sqref="X71">
    <cfRule type="expression" dxfId="7" priority="1">
      <formula>ABS(X71)&gt;0.001</formula>
    </cfRule>
  </conditionalFormatting>
  <dataValidations count="4">
    <dataValidation type="list" allowBlank="1" showInputMessage="1" showErrorMessage="1" sqref="F20:F28 F10:F18 F30:F40">
      <formula1>"Labour, Materials, Contracts"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D34:D40">
      <formula1>"VPN, UE, All"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60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100" customWidth="1"/>
    <col min="5" max="6" width="11.140625" style="1" customWidth="1"/>
    <col min="7" max="7" width="11.140625" style="100" customWidth="1"/>
    <col min="8" max="8" width="2.85546875" style="1" customWidth="1"/>
    <col min="9" max="9" width="12.140625" style="1" customWidth="1"/>
    <col min="10" max="10" width="12.7109375" style="12" customWidth="1"/>
    <col min="11" max="11" width="2.85546875" style="1" customWidth="1"/>
    <col min="12" max="16" width="12.140625" style="1" customWidth="1"/>
    <col min="17" max="17" width="2.85546875" style="1" customWidth="1"/>
    <col min="18" max="22" width="12.140625" style="1" customWidth="1"/>
    <col min="23" max="23" width="2.140625" style="1" customWidth="1"/>
    <col min="24" max="16384" width="9.140625" style="1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74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</row>
    <row r="7" spans="1:27" ht="12.75" customHeight="1" x14ac:dyDescent="0.2">
      <c r="A7" s="7"/>
      <c r="C7" s="121" t="s">
        <v>44</v>
      </c>
      <c r="D7" s="143" t="s">
        <v>66</v>
      </c>
      <c r="E7" s="23" t="s">
        <v>23</v>
      </c>
      <c r="F7" s="23" t="s">
        <v>9</v>
      </c>
      <c r="G7" s="23" t="s">
        <v>9</v>
      </c>
      <c r="H7" s="100"/>
      <c r="I7" s="23" t="s">
        <v>15</v>
      </c>
      <c r="J7" s="23" t="s">
        <v>10</v>
      </c>
      <c r="K7" s="100"/>
      <c r="L7" s="23" t="s">
        <v>43</v>
      </c>
      <c r="M7" s="24"/>
      <c r="N7" s="24"/>
      <c r="O7" s="24"/>
      <c r="P7" s="24"/>
      <c r="Q7" s="4"/>
      <c r="R7" s="23" t="s">
        <v>11</v>
      </c>
      <c r="S7" s="24"/>
      <c r="T7" s="24"/>
      <c r="U7" s="24"/>
      <c r="V7" s="24"/>
    </row>
    <row r="8" spans="1:27" ht="12.75" customHeight="1" x14ac:dyDescent="0.2">
      <c r="A8" s="7"/>
      <c r="B8" s="7"/>
      <c r="C8" s="7"/>
      <c r="D8" s="7"/>
      <c r="E8" s="7"/>
      <c r="F8" s="7"/>
      <c r="G8" s="7"/>
      <c r="H8" s="100"/>
      <c r="I8" s="7"/>
      <c r="J8" s="7"/>
      <c r="K8" s="4"/>
      <c r="L8" s="122" t="s">
        <v>16</v>
      </c>
      <c r="M8" s="122" t="s">
        <v>17</v>
      </c>
      <c r="N8" s="122" t="s">
        <v>18</v>
      </c>
      <c r="O8" s="122" t="s">
        <v>19</v>
      </c>
      <c r="P8" s="122" t="s">
        <v>20</v>
      </c>
      <c r="Q8" s="4"/>
      <c r="R8" s="122" t="s">
        <v>16</v>
      </c>
      <c r="S8" s="122" t="s">
        <v>17</v>
      </c>
      <c r="T8" s="122" t="s">
        <v>18</v>
      </c>
      <c r="U8" s="122" t="s">
        <v>19</v>
      </c>
      <c r="V8" s="122" t="s">
        <v>20</v>
      </c>
    </row>
    <row r="9" spans="1:27" x14ac:dyDescent="0.2">
      <c r="D9" s="4"/>
      <c r="H9" s="100"/>
    </row>
    <row r="10" spans="1:27" ht="12.75" customHeight="1" x14ac:dyDescent="0.2">
      <c r="C10" s="108" t="s">
        <v>55</v>
      </c>
      <c r="D10" s="140">
        <f>INDEX(Assumptions!$B$32:$B$40,MATCH($C10,Assumptions!$A$32:$A$40,0))</f>
        <v>1</v>
      </c>
      <c r="E10" s="109" t="s">
        <v>5</v>
      </c>
      <c r="F10" s="109" t="s">
        <v>2</v>
      </c>
      <c r="G10" s="110"/>
      <c r="H10" s="3"/>
      <c r="I10" s="111">
        <v>122.2</v>
      </c>
      <c r="J10" s="12" t="s">
        <v>50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 t="shared" ref="R10:R18" si="0">L10*$I10*$D10</f>
        <v>50000</v>
      </c>
      <c r="S10" s="8">
        <f t="shared" ref="S10:S18" si="1">M10*$I10*$D10</f>
        <v>300000</v>
      </c>
      <c r="T10" s="8">
        <f t="shared" ref="T10:T18" si="2">N10*$I10*$D10</f>
        <v>50000</v>
      </c>
      <c r="U10" s="8">
        <f t="shared" ref="U10:U18" si="3">O10*$I10*$D10</f>
        <v>1000000</v>
      </c>
      <c r="V10" s="8">
        <f t="shared" ref="V10:V18" si="4">P10*$I10*$D10</f>
        <v>50000</v>
      </c>
    </row>
    <row r="11" spans="1:27" ht="12.75" customHeight="1" x14ac:dyDescent="0.2">
      <c r="A11" s="7"/>
      <c r="C11" s="108" t="s">
        <v>56</v>
      </c>
      <c r="D11" s="140">
        <f>INDEX(Assumptions!$B$32:$B$40,MATCH($C11,Assumptions!$A$32:$A$40,0))</f>
        <v>0.1</v>
      </c>
      <c r="E11" s="109" t="s">
        <v>5</v>
      </c>
      <c r="F11" s="109" t="s">
        <v>2</v>
      </c>
      <c r="G11" s="110"/>
      <c r="H11" s="3"/>
      <c r="I11" s="111">
        <v>122.2</v>
      </c>
      <c r="J11" s="12" t="s">
        <v>50</v>
      </c>
      <c r="K11" s="3"/>
      <c r="L11" s="112">
        <v>3273.3224222585923</v>
      </c>
      <c r="M11" s="112">
        <v>3273.3224222585923</v>
      </c>
      <c r="N11" s="112">
        <v>0</v>
      </c>
      <c r="O11" s="112">
        <v>0</v>
      </c>
      <c r="P11" s="112">
        <v>0</v>
      </c>
      <c r="Q11" s="3"/>
      <c r="R11" s="8">
        <f t="shared" si="0"/>
        <v>40000</v>
      </c>
      <c r="S11" s="8">
        <f t="shared" si="1"/>
        <v>40000</v>
      </c>
      <c r="T11" s="8">
        <f t="shared" si="2"/>
        <v>0</v>
      </c>
      <c r="U11" s="8">
        <f t="shared" si="3"/>
        <v>0</v>
      </c>
      <c r="V11" s="8">
        <f t="shared" si="4"/>
        <v>0</v>
      </c>
    </row>
    <row r="12" spans="1:27" ht="12.75" customHeight="1" x14ac:dyDescent="0.25">
      <c r="A12" s="7"/>
      <c r="C12" s="108" t="s">
        <v>57</v>
      </c>
      <c r="D12" s="140">
        <f>INDEX(Assumptions!$B$32:$B$40,MATCH($C12,Assumptions!$A$32:$A$40,0))</f>
        <v>0.4</v>
      </c>
      <c r="E12" s="109" t="s">
        <v>5</v>
      </c>
      <c r="F12" s="109" t="s">
        <v>2</v>
      </c>
      <c r="G12" s="110"/>
      <c r="H12" s="3"/>
      <c r="I12" s="111">
        <v>122.2</v>
      </c>
      <c r="J12" s="12" t="s">
        <v>50</v>
      </c>
      <c r="K12" s="3"/>
      <c r="L12" s="112">
        <v>1636.6612111292961</v>
      </c>
      <c r="M12" s="112">
        <v>0</v>
      </c>
      <c r="N12" s="112">
        <v>0</v>
      </c>
      <c r="O12" s="112">
        <v>0</v>
      </c>
      <c r="P12" s="112">
        <v>0</v>
      </c>
      <c r="Q12" s="3"/>
      <c r="R12" s="8">
        <f t="shared" si="0"/>
        <v>80000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  <c r="AA12"/>
    </row>
    <row r="13" spans="1:27" s="100" customFormat="1" ht="12.75" customHeight="1" x14ac:dyDescent="0.25">
      <c r="A13" s="7"/>
      <c r="C13" s="108" t="s">
        <v>58</v>
      </c>
      <c r="D13" s="140">
        <f>INDEX(Assumptions!$B$32:$B$40,MATCH($C13,Assumptions!$A$32:$A$40,0))</f>
        <v>0</v>
      </c>
      <c r="E13" s="109" t="s">
        <v>5</v>
      </c>
      <c r="F13" s="109" t="s">
        <v>2</v>
      </c>
      <c r="G13" s="110"/>
      <c r="H13" s="3"/>
      <c r="I13" s="111">
        <v>122.2</v>
      </c>
      <c r="J13" s="12" t="s">
        <v>50</v>
      </c>
      <c r="K13" s="3"/>
      <c r="L13" s="112">
        <v>818.33060556464807</v>
      </c>
      <c r="M13" s="112">
        <v>0</v>
      </c>
      <c r="N13" s="112">
        <v>0</v>
      </c>
      <c r="O13" s="112">
        <v>0</v>
      </c>
      <c r="P13" s="112">
        <v>0</v>
      </c>
      <c r="Q13" s="3"/>
      <c r="R13" s="8">
        <f t="shared" si="0"/>
        <v>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s="100" customFormat="1" ht="12.75" customHeight="1" x14ac:dyDescent="0.25">
      <c r="A14" s="7"/>
      <c r="C14" s="108" t="s">
        <v>59</v>
      </c>
      <c r="D14" s="140">
        <f>INDEX(Assumptions!$B$32:$B$40,MATCH($C14,Assumptions!$A$32:$A$40,0))</f>
        <v>0.4</v>
      </c>
      <c r="E14" s="109" t="s">
        <v>5</v>
      </c>
      <c r="F14" s="109" t="s">
        <v>2</v>
      </c>
      <c r="G14" s="110"/>
      <c r="H14" s="3"/>
      <c r="I14" s="111">
        <v>122.2</v>
      </c>
      <c r="J14" s="12" t="s">
        <v>50</v>
      </c>
      <c r="K14" s="3"/>
      <c r="L14" s="112">
        <v>0</v>
      </c>
      <c r="M14" s="112">
        <v>0</v>
      </c>
      <c r="N14" s="112">
        <v>6137.4795417348605</v>
      </c>
      <c r="O14" s="112">
        <v>0</v>
      </c>
      <c r="P14" s="112">
        <v>0</v>
      </c>
      <c r="Q14" s="3"/>
      <c r="R14" s="8">
        <f t="shared" si="0"/>
        <v>0</v>
      </c>
      <c r="S14" s="8">
        <f t="shared" si="1"/>
        <v>0</v>
      </c>
      <c r="T14" s="8">
        <f t="shared" si="2"/>
        <v>300000</v>
      </c>
      <c r="U14" s="8">
        <f t="shared" si="3"/>
        <v>0</v>
      </c>
      <c r="V14" s="8">
        <f t="shared" si="4"/>
        <v>0</v>
      </c>
      <c r="AA14"/>
    </row>
    <row r="15" spans="1:27" s="100" customFormat="1" ht="12.75" customHeight="1" x14ac:dyDescent="0.25">
      <c r="A15" s="7"/>
      <c r="C15" s="108" t="s">
        <v>60</v>
      </c>
      <c r="D15" s="140">
        <f>INDEX(Assumptions!$B$32:$B$40,MATCH($C15,Assumptions!$A$32:$A$40,0))</f>
        <v>1</v>
      </c>
      <c r="E15" s="109" t="s">
        <v>5</v>
      </c>
      <c r="F15" s="109" t="s">
        <v>2</v>
      </c>
      <c r="G15" s="110"/>
      <c r="H15" s="3"/>
      <c r="I15" s="111">
        <v>122.2</v>
      </c>
      <c r="J15" s="12" t="s">
        <v>50</v>
      </c>
      <c r="K15" s="3"/>
      <c r="L15" s="112">
        <v>1227.4959083469721</v>
      </c>
      <c r="M15" s="112">
        <v>0</v>
      </c>
      <c r="N15" s="112">
        <v>0</v>
      </c>
      <c r="O15" s="112">
        <v>2045.8265139116202</v>
      </c>
      <c r="P15" s="112">
        <v>0</v>
      </c>
      <c r="Q15" s="3"/>
      <c r="R15" s="8">
        <f t="shared" si="0"/>
        <v>150000</v>
      </c>
      <c r="S15" s="8">
        <f t="shared" si="1"/>
        <v>0</v>
      </c>
      <c r="T15" s="8">
        <f t="shared" si="2"/>
        <v>0</v>
      </c>
      <c r="U15" s="8">
        <f t="shared" si="3"/>
        <v>250000</v>
      </c>
      <c r="V15" s="8">
        <f t="shared" si="4"/>
        <v>0</v>
      </c>
      <c r="AA15"/>
    </row>
    <row r="16" spans="1:27" s="100" customFormat="1" ht="12.75" customHeight="1" x14ac:dyDescent="0.25">
      <c r="A16" s="7"/>
      <c r="C16" s="108" t="s">
        <v>61</v>
      </c>
      <c r="D16" s="140">
        <f>INDEX(Assumptions!$B$32:$B$40,MATCH($C16,Assumptions!$A$32:$A$40,0))</f>
        <v>0.05</v>
      </c>
      <c r="E16" s="109" t="s">
        <v>5</v>
      </c>
      <c r="F16" s="109" t="s">
        <v>2</v>
      </c>
      <c r="G16" s="110"/>
      <c r="H16" s="3"/>
      <c r="I16" s="111">
        <v>122.2</v>
      </c>
      <c r="J16" s="12" t="s">
        <v>50</v>
      </c>
      <c r="K16" s="3"/>
      <c r="L16" s="112">
        <v>56837.753058520801</v>
      </c>
      <c r="M16" s="112">
        <v>56837.753058520801</v>
      </c>
      <c r="N16" s="112">
        <v>56837.753058520801</v>
      </c>
      <c r="O16" s="112">
        <v>56837.753058520801</v>
      </c>
      <c r="P16" s="112">
        <v>56837.753058520801</v>
      </c>
      <c r="Q16" s="3"/>
      <c r="R16" s="8">
        <f t="shared" si="0"/>
        <v>347278.67118756211</v>
      </c>
      <c r="S16" s="8">
        <f t="shared" si="1"/>
        <v>347278.67118756211</v>
      </c>
      <c r="T16" s="8">
        <f t="shared" si="2"/>
        <v>347278.67118756211</v>
      </c>
      <c r="U16" s="8">
        <f t="shared" si="3"/>
        <v>347278.67118756211</v>
      </c>
      <c r="V16" s="8">
        <f t="shared" si="4"/>
        <v>347278.67118756211</v>
      </c>
      <c r="AA16"/>
    </row>
    <row r="17" spans="1:27" s="100" customFormat="1" ht="12.75" customHeight="1" x14ac:dyDescent="0.25">
      <c r="A17" s="7"/>
      <c r="C17" s="108" t="s">
        <v>62</v>
      </c>
      <c r="D17" s="140">
        <f>INDEX(Assumptions!$B$32:$B$40,MATCH($C17,Assumptions!$A$32:$A$40,0))</f>
        <v>0.05</v>
      </c>
      <c r="E17" s="109" t="s">
        <v>5</v>
      </c>
      <c r="F17" s="109" t="s">
        <v>2</v>
      </c>
      <c r="G17" s="110"/>
      <c r="H17" s="3"/>
      <c r="I17" s="111">
        <v>122.2</v>
      </c>
      <c r="J17" s="12" t="s">
        <v>50</v>
      </c>
      <c r="K17" s="3"/>
      <c r="L17" s="112">
        <v>7395.7005010392295</v>
      </c>
      <c r="M17" s="112">
        <v>7395.7005010392295</v>
      </c>
      <c r="N17" s="112">
        <v>7395.7005010392295</v>
      </c>
      <c r="O17" s="112">
        <v>7395.7005010392295</v>
      </c>
      <c r="P17" s="112">
        <v>7395.7005010392295</v>
      </c>
      <c r="Q17" s="3"/>
      <c r="R17" s="8">
        <f t="shared" si="0"/>
        <v>45187.730061349692</v>
      </c>
      <c r="S17" s="8">
        <f t="shared" si="1"/>
        <v>45187.730061349692</v>
      </c>
      <c r="T17" s="8">
        <f t="shared" si="2"/>
        <v>45187.730061349692</v>
      </c>
      <c r="U17" s="8">
        <f t="shared" si="3"/>
        <v>45187.730061349692</v>
      </c>
      <c r="V17" s="8">
        <f t="shared" si="4"/>
        <v>45187.730061349692</v>
      </c>
      <c r="AA17"/>
    </row>
    <row r="18" spans="1:27" s="100" customFormat="1" ht="12.75" customHeight="1" x14ac:dyDescent="0.25">
      <c r="A18" s="7"/>
      <c r="C18" s="108" t="s">
        <v>63</v>
      </c>
      <c r="D18" s="140">
        <f>INDEX(Assumptions!$B$32:$B$40,MATCH($C18,Assumptions!$A$32:$A$40,0))</f>
        <v>0.05</v>
      </c>
      <c r="E18" s="109" t="s">
        <v>5</v>
      </c>
      <c r="F18" s="109" t="s">
        <v>2</v>
      </c>
      <c r="G18" s="110"/>
      <c r="H18" s="3"/>
      <c r="I18" s="111">
        <v>122.2</v>
      </c>
      <c r="J18" s="12" t="s">
        <v>50</v>
      </c>
      <c r="K18" s="3"/>
      <c r="L18" s="112">
        <v>11646.481178396072</v>
      </c>
      <c r="M18" s="112">
        <v>11646.481178396072</v>
      </c>
      <c r="N18" s="112">
        <v>11646.481178396072</v>
      </c>
      <c r="O18" s="112">
        <v>11646.481178396072</v>
      </c>
      <c r="P18" s="112">
        <v>11646.481178396072</v>
      </c>
      <c r="Q18" s="3"/>
      <c r="R18" s="8">
        <f t="shared" si="0"/>
        <v>71160</v>
      </c>
      <c r="S18" s="8">
        <f t="shared" si="1"/>
        <v>71160</v>
      </c>
      <c r="T18" s="8">
        <f t="shared" si="2"/>
        <v>71160</v>
      </c>
      <c r="U18" s="8">
        <f t="shared" si="3"/>
        <v>71160</v>
      </c>
      <c r="V18" s="8">
        <f t="shared" si="4"/>
        <v>71160</v>
      </c>
      <c r="AA18"/>
    </row>
    <row r="19" spans="1:27" s="100" customFormat="1" ht="12.75" customHeight="1" x14ac:dyDescent="0.25">
      <c r="A19" s="7"/>
      <c r="H19" s="3"/>
      <c r="J19" s="12"/>
      <c r="K19" s="3"/>
      <c r="Q19" s="3"/>
      <c r="AA19"/>
    </row>
    <row r="20" spans="1:27" ht="12.75" customHeight="1" x14ac:dyDescent="0.25">
      <c r="A20" s="7"/>
      <c r="C20" s="108" t="s">
        <v>55</v>
      </c>
      <c r="D20" s="140">
        <f>INDEX(Assumptions!$B$32:$B$40,MATCH($C20,Assumptions!$A$32:$A$40,0))</f>
        <v>1</v>
      </c>
      <c r="E20" s="109" t="s">
        <v>5</v>
      </c>
      <c r="F20" s="109" t="s">
        <v>1</v>
      </c>
      <c r="G20" s="110"/>
      <c r="H20" s="3"/>
      <c r="I20" s="141">
        <v>50000</v>
      </c>
      <c r="J20" s="12" t="s">
        <v>51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 t="shared" ref="R20:R28" si="5">L20*$I20*$D20</f>
        <v>50000</v>
      </c>
      <c r="S20" s="8">
        <f t="shared" ref="S20:S28" si="6">M20*$I20*$D20</f>
        <v>50000</v>
      </c>
      <c r="T20" s="8">
        <f t="shared" ref="T20:T28" si="7">N20*$I20*$D20</f>
        <v>50000</v>
      </c>
      <c r="U20" s="8">
        <f t="shared" ref="U20:U28" si="8">O20*$I20*$D20</f>
        <v>1500000</v>
      </c>
      <c r="V20" s="8">
        <f t="shared" ref="V20:V28" si="9">P20*$I20*$D20</f>
        <v>50000</v>
      </c>
      <c r="AA20"/>
    </row>
    <row r="21" spans="1:27" s="100" customFormat="1" ht="12.75" customHeight="1" x14ac:dyDescent="0.25">
      <c r="A21" s="7"/>
      <c r="C21" s="108" t="s">
        <v>56</v>
      </c>
      <c r="D21" s="140">
        <f>INDEX(Assumptions!$B$32:$B$40,MATCH($C21,Assumptions!$A$32:$A$40,0))</f>
        <v>0.1</v>
      </c>
      <c r="E21" s="109" t="s">
        <v>5</v>
      </c>
      <c r="F21" s="109" t="s">
        <v>1</v>
      </c>
      <c r="G21" s="110"/>
      <c r="H21" s="3"/>
      <c r="I21" s="141">
        <v>2200000</v>
      </c>
      <c r="J21" s="12" t="s">
        <v>51</v>
      </c>
      <c r="K21" s="3"/>
      <c r="L21" s="142">
        <v>1.8636363636363635</v>
      </c>
      <c r="M21" s="113">
        <v>1</v>
      </c>
      <c r="N21" s="113"/>
      <c r="O21" s="114"/>
      <c r="P21" s="113"/>
      <c r="Q21" s="3"/>
      <c r="R21" s="8">
        <f t="shared" si="5"/>
        <v>410000</v>
      </c>
      <c r="S21" s="8">
        <f t="shared" si="6"/>
        <v>220000</v>
      </c>
      <c r="T21" s="8">
        <f t="shared" si="7"/>
        <v>0</v>
      </c>
      <c r="U21" s="8">
        <f t="shared" si="8"/>
        <v>0</v>
      </c>
      <c r="V21" s="8">
        <f t="shared" si="9"/>
        <v>0</v>
      </c>
      <c r="AA21"/>
    </row>
    <row r="22" spans="1:27" s="100" customFormat="1" ht="12.75" customHeight="1" x14ac:dyDescent="0.25">
      <c r="A22" s="7"/>
      <c r="C22" s="108" t="s">
        <v>57</v>
      </c>
      <c r="D22" s="140">
        <f>INDEX(Assumptions!$B$32:$B$40,MATCH($C22,Assumptions!$A$32:$A$40,0))</f>
        <v>0.4</v>
      </c>
      <c r="E22" s="109" t="s">
        <v>5</v>
      </c>
      <c r="F22" s="109" t="s">
        <v>1</v>
      </c>
      <c r="G22" s="110"/>
      <c r="H22" s="3"/>
      <c r="I22" s="141">
        <v>750000</v>
      </c>
      <c r="J22" s="12" t="s">
        <v>51</v>
      </c>
      <c r="K22" s="3"/>
      <c r="L22" s="113">
        <v>1</v>
      </c>
      <c r="M22" s="114"/>
      <c r="N22" s="113"/>
      <c r="O22" s="114"/>
      <c r="P22" s="113"/>
      <c r="Q22" s="3"/>
      <c r="R22" s="8">
        <f t="shared" si="5"/>
        <v>300000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7" s="100" customFormat="1" ht="12.75" customHeight="1" x14ac:dyDescent="0.25">
      <c r="A23" s="7"/>
      <c r="C23" s="108" t="s">
        <v>58</v>
      </c>
      <c r="D23" s="140">
        <f>INDEX(Assumptions!$B$32:$B$40,MATCH($C23,Assumptions!$A$32:$A$40,0))</f>
        <v>0</v>
      </c>
      <c r="E23" s="109" t="s">
        <v>5</v>
      </c>
      <c r="F23" s="109" t="s">
        <v>1</v>
      </c>
      <c r="G23" s="110"/>
      <c r="H23" s="3"/>
      <c r="I23" s="141"/>
      <c r="J23" s="12" t="s">
        <v>51</v>
      </c>
      <c r="K23" s="3"/>
      <c r="L23" s="113"/>
      <c r="M23" s="114"/>
      <c r="N23" s="113"/>
      <c r="O23" s="114"/>
      <c r="P23" s="113"/>
      <c r="Q23" s="3"/>
      <c r="R23" s="8">
        <f t="shared" si="5"/>
        <v>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7" s="100" customFormat="1" ht="12.75" customHeight="1" x14ac:dyDescent="0.25">
      <c r="A24" s="7"/>
      <c r="C24" s="108" t="s">
        <v>59</v>
      </c>
      <c r="D24" s="140">
        <f>INDEX(Assumptions!$B$32:$B$40,MATCH($C24,Assumptions!$A$32:$A$40,0))</f>
        <v>0.4</v>
      </c>
      <c r="E24" s="109" t="s">
        <v>5</v>
      </c>
      <c r="F24" s="109" t="s">
        <v>1</v>
      </c>
      <c r="G24" s="110"/>
      <c r="H24" s="3"/>
      <c r="I24" s="141">
        <v>500000</v>
      </c>
      <c r="J24" s="12" t="s">
        <v>51</v>
      </c>
      <c r="K24" s="3"/>
      <c r="L24" s="113"/>
      <c r="M24" s="114"/>
      <c r="N24" s="113">
        <v>1</v>
      </c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200000</v>
      </c>
      <c r="U24" s="8">
        <f t="shared" si="8"/>
        <v>0</v>
      </c>
      <c r="V24" s="8">
        <f t="shared" si="9"/>
        <v>0</v>
      </c>
      <c r="AA24"/>
    </row>
    <row r="25" spans="1:27" s="100" customFormat="1" ht="12.75" customHeight="1" x14ac:dyDescent="0.25">
      <c r="A25" s="7"/>
      <c r="C25" s="108" t="s">
        <v>60</v>
      </c>
      <c r="D25" s="140">
        <f>INDEX(Assumptions!$B$32:$B$40,MATCH($C25,Assumptions!$A$32:$A$40,0))</f>
        <v>1</v>
      </c>
      <c r="E25" s="109" t="s">
        <v>5</v>
      </c>
      <c r="F25" s="109" t="s">
        <v>1</v>
      </c>
      <c r="G25" s="110"/>
      <c r="H25" s="3"/>
      <c r="I25" s="141">
        <v>100000</v>
      </c>
      <c r="J25" s="12" t="s">
        <v>51</v>
      </c>
      <c r="K25" s="3"/>
      <c r="L25" s="113">
        <v>1</v>
      </c>
      <c r="M25" s="114"/>
      <c r="N25" s="113"/>
      <c r="O25" s="113">
        <v>2</v>
      </c>
      <c r="P25" s="113"/>
      <c r="Q25" s="3"/>
      <c r="R25" s="8">
        <f t="shared" si="5"/>
        <v>100000</v>
      </c>
      <c r="S25" s="8">
        <f t="shared" si="6"/>
        <v>0</v>
      </c>
      <c r="T25" s="8">
        <f t="shared" si="7"/>
        <v>0</v>
      </c>
      <c r="U25" s="8">
        <f t="shared" si="8"/>
        <v>200000</v>
      </c>
      <c r="V25" s="8">
        <f t="shared" si="9"/>
        <v>0</v>
      </c>
      <c r="AA25"/>
    </row>
    <row r="26" spans="1:27" s="100" customFormat="1" ht="12.75" customHeight="1" x14ac:dyDescent="0.25">
      <c r="A26" s="7"/>
      <c r="C26" s="108" t="s">
        <v>61</v>
      </c>
      <c r="D26" s="140">
        <f>INDEX(Assumptions!$B$32:$B$40,MATCH($C26,Assumptions!$A$32:$A$40,0))</f>
        <v>0.05</v>
      </c>
      <c r="E26" s="109" t="s">
        <v>5</v>
      </c>
      <c r="F26" s="109" t="s">
        <v>1</v>
      </c>
      <c r="G26" s="110"/>
      <c r="H26" s="3"/>
      <c r="I26" s="141">
        <v>8302406.5762487594</v>
      </c>
      <c r="J26" s="12" t="s">
        <v>51</v>
      </c>
      <c r="K26" s="3"/>
      <c r="L26" s="113">
        <v>1</v>
      </c>
      <c r="M26" s="113">
        <v>1</v>
      </c>
      <c r="N26" s="113">
        <v>1</v>
      </c>
      <c r="O26" s="113">
        <v>1</v>
      </c>
      <c r="P26" s="113">
        <v>1</v>
      </c>
      <c r="Q26" s="3"/>
      <c r="R26" s="8">
        <f t="shared" si="5"/>
        <v>415120.32881243801</v>
      </c>
      <c r="S26" s="8">
        <f t="shared" si="6"/>
        <v>415120.32881243801</v>
      </c>
      <c r="T26" s="8">
        <f t="shared" si="7"/>
        <v>415120.32881243801</v>
      </c>
      <c r="U26" s="8">
        <f t="shared" si="8"/>
        <v>415120.32881243801</v>
      </c>
      <c r="V26" s="8">
        <f t="shared" si="9"/>
        <v>415120.32881243801</v>
      </c>
      <c r="AA26"/>
    </row>
    <row r="27" spans="1:27" s="100" customFormat="1" ht="12.75" customHeight="1" x14ac:dyDescent="0.25">
      <c r="A27" s="7"/>
      <c r="C27" s="108" t="s">
        <v>62</v>
      </c>
      <c r="D27" s="140">
        <f>INDEX(Assumptions!$B$32:$B$40,MATCH($C27,Assumptions!$A$32:$A$40,0))</f>
        <v>0.05</v>
      </c>
      <c r="E27" s="109" t="s">
        <v>5</v>
      </c>
      <c r="F27" s="109" t="s">
        <v>1</v>
      </c>
      <c r="G27" s="110"/>
      <c r="H27" s="3"/>
      <c r="I27" s="141">
        <v>435445.39877300616</v>
      </c>
      <c r="J27" s="12" t="s">
        <v>51</v>
      </c>
      <c r="K27" s="3"/>
      <c r="L27" s="113">
        <v>1</v>
      </c>
      <c r="M27" s="113">
        <v>1</v>
      </c>
      <c r="N27" s="113">
        <v>1</v>
      </c>
      <c r="O27" s="113">
        <v>1</v>
      </c>
      <c r="P27" s="113">
        <v>1</v>
      </c>
      <c r="Q27" s="3"/>
      <c r="R27" s="8">
        <f t="shared" si="5"/>
        <v>21772.269938650308</v>
      </c>
      <c r="S27" s="8">
        <f t="shared" si="6"/>
        <v>21772.269938650308</v>
      </c>
      <c r="T27" s="8">
        <f t="shared" si="7"/>
        <v>21772.269938650308</v>
      </c>
      <c r="U27" s="8">
        <f t="shared" si="8"/>
        <v>21772.269938650308</v>
      </c>
      <c r="V27" s="8">
        <f t="shared" si="9"/>
        <v>21772.269938650308</v>
      </c>
      <c r="AA27"/>
    </row>
    <row r="28" spans="1:27" s="100" customFormat="1" ht="12.75" customHeight="1" x14ac:dyDescent="0.25">
      <c r="A28" s="7"/>
      <c r="C28" s="108" t="s">
        <v>63</v>
      </c>
      <c r="D28" s="140">
        <f>INDEX(Assumptions!$B$32:$B$40,MATCH($C28,Assumptions!$A$32:$A$40,0))</f>
        <v>0.05</v>
      </c>
      <c r="E28" s="109" t="s">
        <v>5</v>
      </c>
      <c r="F28" s="109" t="s">
        <v>1</v>
      </c>
      <c r="G28" s="110"/>
      <c r="H28" s="3"/>
      <c r="I28" s="141">
        <v>1521400</v>
      </c>
      <c r="J28" s="12" t="s">
        <v>51</v>
      </c>
      <c r="K28" s="3"/>
      <c r="L28" s="113">
        <v>1</v>
      </c>
      <c r="M28" s="113">
        <v>1</v>
      </c>
      <c r="N28" s="113">
        <v>1</v>
      </c>
      <c r="O28" s="113">
        <v>1</v>
      </c>
      <c r="P28" s="113">
        <v>1</v>
      </c>
      <c r="Q28" s="3"/>
      <c r="R28" s="8">
        <f t="shared" si="5"/>
        <v>76070</v>
      </c>
      <c r="S28" s="8">
        <f t="shared" si="6"/>
        <v>76070</v>
      </c>
      <c r="T28" s="8">
        <f t="shared" si="7"/>
        <v>76070</v>
      </c>
      <c r="U28" s="8">
        <f t="shared" si="8"/>
        <v>76070</v>
      </c>
      <c r="V28" s="8">
        <f t="shared" si="9"/>
        <v>76070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s="100" customFormat="1" ht="12.75" customHeight="1" x14ac:dyDescent="0.2">
      <c r="A30" s="7"/>
      <c r="C30" s="108" t="s">
        <v>55</v>
      </c>
      <c r="D30" s="140">
        <f>INDEX(Assumptions!$B$32:$B$40,MATCH($C30,Assumptions!$A$32:$A$40,0))</f>
        <v>1</v>
      </c>
      <c r="E30" s="109" t="s">
        <v>5</v>
      </c>
      <c r="F30" s="109" t="s">
        <v>4</v>
      </c>
      <c r="G30" s="110"/>
      <c r="I30" s="6"/>
      <c r="J30" s="13" t="s">
        <v>42</v>
      </c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R30" s="8">
        <f t="shared" ref="R30:R40" si="10">L30*$D30</f>
        <v>0</v>
      </c>
      <c r="S30" s="8">
        <f t="shared" ref="S30:S40" si="11">M30*$D30</f>
        <v>250000</v>
      </c>
      <c r="T30" s="8">
        <f t="shared" ref="T30:T40" si="12">N30*$D30</f>
        <v>0</v>
      </c>
      <c r="U30" s="8">
        <f t="shared" ref="U30:U40" si="13">O30*$D30</f>
        <v>500000</v>
      </c>
      <c r="V30" s="8">
        <f t="shared" ref="V30:V40" si="14">P30*$D30</f>
        <v>0</v>
      </c>
    </row>
    <row r="31" spans="1:27" s="100" customFormat="1" ht="12.75" customHeight="1" x14ac:dyDescent="0.2">
      <c r="A31" s="7"/>
      <c r="C31" s="108" t="s">
        <v>57</v>
      </c>
      <c r="D31" s="140">
        <f>INDEX(Assumptions!$B$32:$B$40,MATCH($C31,Assumptions!$A$32:$A$40,0))</f>
        <v>0.4</v>
      </c>
      <c r="E31" s="109" t="s">
        <v>5</v>
      </c>
      <c r="F31" s="109" t="s">
        <v>4</v>
      </c>
      <c r="G31" s="110"/>
      <c r="I31" s="6"/>
      <c r="J31" s="13" t="s">
        <v>42</v>
      </c>
      <c r="L31" s="112">
        <v>200000</v>
      </c>
      <c r="M31" s="112">
        <v>0</v>
      </c>
      <c r="N31" s="112">
        <v>0</v>
      </c>
      <c r="O31" s="112">
        <v>0</v>
      </c>
      <c r="P31" s="112">
        <v>0</v>
      </c>
      <c r="R31" s="8">
        <f t="shared" si="10"/>
        <v>80000</v>
      </c>
      <c r="S31" s="8">
        <f t="shared" si="11"/>
        <v>0</v>
      </c>
      <c r="T31" s="8">
        <f t="shared" si="12"/>
        <v>0</v>
      </c>
      <c r="U31" s="8">
        <f t="shared" si="13"/>
        <v>0</v>
      </c>
      <c r="V31" s="8">
        <f t="shared" si="14"/>
        <v>0</v>
      </c>
    </row>
    <row r="32" spans="1:27" s="100" customFormat="1" ht="12.75" customHeight="1" x14ac:dyDescent="0.2">
      <c r="A32" s="7"/>
      <c r="C32" s="108" t="s">
        <v>59</v>
      </c>
      <c r="D32" s="140">
        <f>INDEX(Assumptions!$B$32:$B$40,MATCH($C32,Assumptions!$A$32:$A$40,0))</f>
        <v>0.4</v>
      </c>
      <c r="E32" s="109" t="s">
        <v>5</v>
      </c>
      <c r="F32" s="109" t="s">
        <v>4</v>
      </c>
      <c r="G32" s="110"/>
      <c r="I32" s="6"/>
      <c r="J32" s="13" t="s">
        <v>42</v>
      </c>
      <c r="L32" s="112">
        <v>0</v>
      </c>
      <c r="M32" s="112">
        <v>0</v>
      </c>
      <c r="N32" s="112">
        <v>200000</v>
      </c>
      <c r="O32" s="112">
        <v>0</v>
      </c>
      <c r="P32" s="112">
        <v>0</v>
      </c>
      <c r="R32" s="8">
        <f t="shared" si="10"/>
        <v>0</v>
      </c>
      <c r="S32" s="8">
        <f t="shared" si="11"/>
        <v>0</v>
      </c>
      <c r="T32" s="8">
        <f t="shared" si="12"/>
        <v>80000</v>
      </c>
      <c r="U32" s="8">
        <f t="shared" si="13"/>
        <v>0</v>
      </c>
      <c r="V32" s="8">
        <f t="shared" si="14"/>
        <v>0</v>
      </c>
    </row>
    <row r="33" spans="1:27" s="100" customFormat="1" ht="12.75" customHeight="1" x14ac:dyDescent="0.2">
      <c r="A33" s="7"/>
      <c r="C33" s="108" t="s">
        <v>60</v>
      </c>
      <c r="D33" s="140">
        <f>INDEX(Assumptions!$B$32:$B$40,MATCH($C33,Assumptions!$A$32:$A$40,0))</f>
        <v>1</v>
      </c>
      <c r="E33" s="109" t="s">
        <v>5</v>
      </c>
      <c r="F33" s="109" t="s">
        <v>4</v>
      </c>
      <c r="G33" s="110"/>
      <c r="I33" s="6"/>
      <c r="J33" s="13" t="s">
        <v>42</v>
      </c>
      <c r="L33" s="112">
        <v>50000</v>
      </c>
      <c r="M33" s="112">
        <v>0</v>
      </c>
      <c r="N33" s="112">
        <v>0</v>
      </c>
      <c r="O33" s="112">
        <v>100000</v>
      </c>
      <c r="P33" s="112">
        <v>0</v>
      </c>
      <c r="R33" s="8">
        <f t="shared" si="10"/>
        <v>50000</v>
      </c>
      <c r="S33" s="8">
        <f t="shared" si="11"/>
        <v>0</v>
      </c>
      <c r="T33" s="8">
        <f t="shared" si="12"/>
        <v>0</v>
      </c>
      <c r="U33" s="8">
        <f t="shared" si="13"/>
        <v>100000</v>
      </c>
      <c r="V33" s="8">
        <f t="shared" si="14"/>
        <v>0</v>
      </c>
    </row>
    <row r="34" spans="1:27" s="100" customFormat="1" ht="12.75" customHeight="1" x14ac:dyDescent="0.2">
      <c r="A34" s="7"/>
      <c r="C34" s="108"/>
      <c r="D34" s="140"/>
      <c r="E34" s="109"/>
      <c r="F34" s="109"/>
      <c r="G34" s="110"/>
      <c r="I34" s="6"/>
      <c r="J34" s="13" t="s">
        <v>42</v>
      </c>
      <c r="L34" s="112"/>
      <c r="M34" s="112"/>
      <c r="N34" s="112"/>
      <c r="O34" s="112"/>
      <c r="P34" s="112"/>
      <c r="R34" s="8">
        <f t="shared" si="10"/>
        <v>0</v>
      </c>
      <c r="S34" s="8">
        <f t="shared" si="11"/>
        <v>0</v>
      </c>
      <c r="T34" s="8">
        <f t="shared" si="12"/>
        <v>0</v>
      </c>
      <c r="U34" s="8">
        <f t="shared" si="13"/>
        <v>0</v>
      </c>
      <c r="V34" s="8">
        <f t="shared" si="14"/>
        <v>0</v>
      </c>
    </row>
    <row r="35" spans="1:27" s="100" customFormat="1" ht="12.75" customHeight="1" x14ac:dyDescent="0.2">
      <c r="A35" s="7"/>
      <c r="C35" s="108"/>
      <c r="D35" s="140"/>
      <c r="E35" s="109"/>
      <c r="F35" s="109"/>
      <c r="G35" s="110"/>
      <c r="I35" s="6"/>
      <c r="J35" s="13" t="s">
        <v>42</v>
      </c>
      <c r="L35" s="112"/>
      <c r="M35" s="112"/>
      <c r="N35" s="112"/>
      <c r="O35" s="112"/>
      <c r="P35" s="112"/>
      <c r="R35" s="8">
        <f t="shared" si="10"/>
        <v>0</v>
      </c>
      <c r="S35" s="8">
        <f t="shared" si="11"/>
        <v>0</v>
      </c>
      <c r="T35" s="8">
        <f t="shared" si="12"/>
        <v>0</v>
      </c>
      <c r="U35" s="8">
        <f t="shared" si="13"/>
        <v>0</v>
      </c>
      <c r="V35" s="8">
        <f t="shared" si="14"/>
        <v>0</v>
      </c>
    </row>
    <row r="36" spans="1:27" s="100" customFormat="1" ht="12.75" customHeight="1" x14ac:dyDescent="0.2">
      <c r="A36" s="7"/>
      <c r="C36" s="108"/>
      <c r="D36" s="140"/>
      <c r="E36" s="109"/>
      <c r="F36" s="109"/>
      <c r="G36" s="110"/>
      <c r="I36" s="6"/>
      <c r="J36" s="13" t="s">
        <v>42</v>
      </c>
      <c r="L36" s="112"/>
      <c r="M36" s="112"/>
      <c r="N36" s="112"/>
      <c r="O36" s="112"/>
      <c r="P36" s="112"/>
      <c r="R36" s="8">
        <f t="shared" si="10"/>
        <v>0</v>
      </c>
      <c r="S36" s="8">
        <f t="shared" si="11"/>
        <v>0</v>
      </c>
      <c r="T36" s="8">
        <f t="shared" si="12"/>
        <v>0</v>
      </c>
      <c r="U36" s="8">
        <f t="shared" si="13"/>
        <v>0</v>
      </c>
      <c r="V36" s="8">
        <f t="shared" si="14"/>
        <v>0</v>
      </c>
    </row>
    <row r="37" spans="1:27" s="100" customFormat="1" ht="12.75" customHeight="1" x14ac:dyDescent="0.2">
      <c r="A37" s="7"/>
      <c r="C37" s="108"/>
      <c r="D37" s="140"/>
      <c r="E37" s="109"/>
      <c r="F37" s="109"/>
      <c r="G37" s="110"/>
      <c r="I37" s="6"/>
      <c r="J37" s="13" t="s">
        <v>42</v>
      </c>
      <c r="L37" s="112"/>
      <c r="M37" s="112"/>
      <c r="N37" s="112"/>
      <c r="O37" s="112"/>
      <c r="P37" s="112"/>
      <c r="R37" s="8">
        <f t="shared" si="10"/>
        <v>0</v>
      </c>
      <c r="S37" s="8">
        <f t="shared" si="11"/>
        <v>0</v>
      </c>
      <c r="T37" s="8">
        <f t="shared" si="12"/>
        <v>0</v>
      </c>
      <c r="U37" s="8">
        <f t="shared" si="13"/>
        <v>0</v>
      </c>
      <c r="V37" s="8">
        <f t="shared" si="14"/>
        <v>0</v>
      </c>
    </row>
    <row r="38" spans="1:27" s="100" customFormat="1" ht="12.75" customHeight="1" x14ac:dyDescent="0.2">
      <c r="A38" s="7"/>
      <c r="C38" s="108"/>
      <c r="D38" s="140"/>
      <c r="E38" s="109"/>
      <c r="F38" s="109"/>
      <c r="G38" s="110"/>
      <c r="I38" s="6"/>
      <c r="J38" s="13" t="s">
        <v>42</v>
      </c>
      <c r="L38" s="112"/>
      <c r="M38" s="112"/>
      <c r="N38" s="112"/>
      <c r="O38" s="112"/>
      <c r="P38" s="112"/>
      <c r="R38" s="8">
        <f t="shared" si="10"/>
        <v>0</v>
      </c>
      <c r="S38" s="8">
        <f t="shared" si="11"/>
        <v>0</v>
      </c>
      <c r="T38" s="8">
        <f t="shared" si="12"/>
        <v>0</v>
      </c>
      <c r="U38" s="8">
        <f t="shared" si="13"/>
        <v>0</v>
      </c>
      <c r="V38" s="8">
        <f t="shared" si="14"/>
        <v>0</v>
      </c>
    </row>
    <row r="39" spans="1:27" s="100" customFormat="1" ht="12.75" customHeight="1" x14ac:dyDescent="0.2">
      <c r="A39" s="7"/>
      <c r="C39" s="108"/>
      <c r="D39" s="140"/>
      <c r="E39" s="109"/>
      <c r="F39" s="109"/>
      <c r="G39" s="110"/>
      <c r="I39" s="6"/>
      <c r="J39" s="13" t="s">
        <v>42</v>
      </c>
      <c r="L39" s="112"/>
      <c r="M39" s="112"/>
      <c r="N39" s="112"/>
      <c r="O39" s="112"/>
      <c r="P39" s="112"/>
      <c r="R39" s="8">
        <f t="shared" si="10"/>
        <v>0</v>
      </c>
      <c r="S39" s="8">
        <f t="shared" si="11"/>
        <v>0</v>
      </c>
      <c r="T39" s="8">
        <f t="shared" si="12"/>
        <v>0</v>
      </c>
      <c r="U39" s="8">
        <f t="shared" si="13"/>
        <v>0</v>
      </c>
      <c r="V39" s="8">
        <f t="shared" si="14"/>
        <v>0</v>
      </c>
    </row>
    <row r="40" spans="1:27" ht="12.75" customHeight="1" x14ac:dyDescent="0.2">
      <c r="A40" s="7"/>
      <c r="C40" s="108"/>
      <c r="D40" s="140"/>
      <c r="E40" s="109"/>
      <c r="F40" s="109"/>
      <c r="G40" s="110"/>
      <c r="H40" s="100"/>
      <c r="I40" s="6"/>
      <c r="J40" s="13" t="s">
        <v>42</v>
      </c>
      <c r="K40" s="100"/>
      <c r="L40" s="112"/>
      <c r="M40" s="112"/>
      <c r="N40" s="112"/>
      <c r="O40" s="112"/>
      <c r="P40" s="112"/>
      <c r="Q40" s="100"/>
      <c r="R40" s="8">
        <f t="shared" si="10"/>
        <v>0</v>
      </c>
      <c r="S40" s="8">
        <f t="shared" si="11"/>
        <v>0</v>
      </c>
      <c r="T40" s="8">
        <f t="shared" si="12"/>
        <v>0</v>
      </c>
      <c r="U40" s="8">
        <f t="shared" si="13"/>
        <v>0</v>
      </c>
      <c r="V40" s="8">
        <f t="shared" si="14"/>
        <v>0</v>
      </c>
    </row>
    <row r="41" spans="1:27" ht="12.75" customHeight="1" x14ac:dyDescent="0.25">
      <c r="H41" s="100"/>
      <c r="I41" s="6"/>
      <c r="J41" s="13"/>
      <c r="K41" s="100"/>
      <c r="Q41" s="100"/>
      <c r="AA41"/>
    </row>
    <row r="42" spans="1:27" ht="12.75" customHeight="1" x14ac:dyDescent="0.25">
      <c r="H42" s="100"/>
      <c r="J42" s="13"/>
      <c r="K42" s="100"/>
      <c r="Q42" s="100"/>
      <c r="AA42"/>
    </row>
    <row r="43" spans="1:27" ht="12.75" customHeight="1" x14ac:dyDescent="0.25">
      <c r="C43" s="5" t="s">
        <v>13</v>
      </c>
      <c r="D43" s="7"/>
      <c r="H43" s="100"/>
      <c r="J43" s="100"/>
      <c r="K43" s="100"/>
      <c r="Q43" s="100"/>
      <c r="AA43"/>
    </row>
    <row r="44" spans="1:27" ht="12.75" customHeight="1" x14ac:dyDescent="0.2">
      <c r="C44" s="28" t="s">
        <v>2</v>
      </c>
      <c r="D44" s="28"/>
      <c r="E44" s="28" t="s">
        <v>5</v>
      </c>
      <c r="F44" s="28"/>
      <c r="G44" s="28"/>
      <c r="H44" s="28"/>
      <c r="I44" s="28"/>
      <c r="J44" s="28"/>
      <c r="K44" s="100"/>
      <c r="L44" s="28"/>
      <c r="M44" s="28"/>
      <c r="N44" s="28"/>
      <c r="O44" s="28"/>
      <c r="P44" s="28"/>
      <c r="Q44" s="100"/>
      <c r="R44" s="30">
        <f t="shared" ref="R44:V49" si="15">SUMIFS(R$10:R$40,$F$10:$F$40,$C44,$E$10:$E$40,$E44)</f>
        <v>783626.40124891186</v>
      </c>
      <c r="S44" s="30">
        <f t="shared" si="15"/>
        <v>803626.40124891186</v>
      </c>
      <c r="T44" s="30">
        <f t="shared" si="15"/>
        <v>813626.40124891186</v>
      </c>
      <c r="U44" s="30">
        <f t="shared" si="15"/>
        <v>1713626.4012489119</v>
      </c>
      <c r="V44" s="30">
        <f t="shared" si="15"/>
        <v>513626.4012489118</v>
      </c>
    </row>
    <row r="45" spans="1:27" ht="12.75" customHeight="1" x14ac:dyDescent="0.2">
      <c r="C45" s="4" t="s">
        <v>1</v>
      </c>
      <c r="D45" s="4"/>
      <c r="E45" s="4" t="s">
        <v>5</v>
      </c>
      <c r="F45" s="4"/>
      <c r="G45" s="4"/>
      <c r="H45" s="100"/>
      <c r="I45" s="4"/>
      <c r="J45" s="13"/>
      <c r="K45" s="100"/>
      <c r="L45" s="4"/>
      <c r="M45" s="4"/>
      <c r="N45" s="4"/>
      <c r="O45" s="4"/>
      <c r="P45" s="4"/>
      <c r="Q45" s="100"/>
      <c r="R45" s="9">
        <f t="shared" si="15"/>
        <v>1372962.5987510884</v>
      </c>
      <c r="S45" s="9">
        <f t="shared" si="15"/>
        <v>782962.59875108837</v>
      </c>
      <c r="T45" s="9">
        <f t="shared" si="15"/>
        <v>762962.59875108837</v>
      </c>
      <c r="U45" s="9">
        <f t="shared" si="15"/>
        <v>2212962.5987510886</v>
      </c>
      <c r="V45" s="9">
        <f t="shared" si="15"/>
        <v>562962.59875108837</v>
      </c>
    </row>
    <row r="46" spans="1:27" ht="12.75" customHeight="1" x14ac:dyDescent="0.2">
      <c r="C46" s="4" t="s">
        <v>4</v>
      </c>
      <c r="D46" s="4"/>
      <c r="E46" s="4" t="s">
        <v>5</v>
      </c>
      <c r="F46" s="4"/>
      <c r="G46" s="4"/>
      <c r="H46" s="100"/>
      <c r="I46" s="4"/>
      <c r="J46" s="13"/>
      <c r="K46" s="100"/>
      <c r="L46" s="4"/>
      <c r="M46" s="4"/>
      <c r="N46" s="4"/>
      <c r="O46" s="4"/>
      <c r="P46" s="4"/>
      <c r="Q46" s="100"/>
      <c r="R46" s="9">
        <f t="shared" si="15"/>
        <v>130000</v>
      </c>
      <c r="S46" s="9">
        <f t="shared" si="15"/>
        <v>250000</v>
      </c>
      <c r="T46" s="9">
        <f t="shared" si="15"/>
        <v>80000</v>
      </c>
      <c r="U46" s="9">
        <f t="shared" si="15"/>
        <v>600000</v>
      </c>
      <c r="V46" s="9">
        <f t="shared" si="15"/>
        <v>0</v>
      </c>
    </row>
    <row r="47" spans="1:27" ht="12.75" customHeight="1" x14ac:dyDescent="0.2">
      <c r="C47" s="4" t="s">
        <v>2</v>
      </c>
      <c r="D47" s="4"/>
      <c r="E47" s="4" t="s">
        <v>41</v>
      </c>
      <c r="F47" s="4"/>
      <c r="G47" s="4"/>
      <c r="H47" s="100"/>
      <c r="I47" s="4"/>
      <c r="J47" s="13"/>
      <c r="K47" s="100"/>
      <c r="L47" s="4"/>
      <c r="M47" s="4"/>
      <c r="N47" s="4"/>
      <c r="O47" s="4"/>
      <c r="P47" s="4"/>
      <c r="Q47" s="100"/>
      <c r="R47" s="9">
        <f t="shared" si="15"/>
        <v>0</v>
      </c>
      <c r="S47" s="9">
        <f t="shared" si="15"/>
        <v>0</v>
      </c>
      <c r="T47" s="9">
        <f t="shared" si="15"/>
        <v>0</v>
      </c>
      <c r="U47" s="9">
        <f t="shared" si="15"/>
        <v>0</v>
      </c>
      <c r="V47" s="9">
        <f t="shared" si="15"/>
        <v>0</v>
      </c>
    </row>
    <row r="48" spans="1:27" ht="12.75" customHeight="1" x14ac:dyDescent="0.2">
      <c r="C48" s="4" t="s">
        <v>1</v>
      </c>
      <c r="D48" s="4"/>
      <c r="E48" s="4" t="s">
        <v>41</v>
      </c>
      <c r="F48" s="4"/>
      <c r="G48" s="4"/>
      <c r="H48" s="100"/>
      <c r="I48" s="4"/>
      <c r="J48" s="13"/>
      <c r="K48" s="100"/>
      <c r="L48" s="4"/>
      <c r="M48" s="4"/>
      <c r="N48" s="4"/>
      <c r="O48" s="4"/>
      <c r="P48" s="4"/>
      <c r="Q48" s="100"/>
      <c r="R48" s="9">
        <f t="shared" si="15"/>
        <v>0</v>
      </c>
      <c r="S48" s="9">
        <f t="shared" si="15"/>
        <v>0</v>
      </c>
      <c r="T48" s="9">
        <f t="shared" si="15"/>
        <v>0</v>
      </c>
      <c r="U48" s="9">
        <f t="shared" si="15"/>
        <v>0</v>
      </c>
      <c r="V48" s="9">
        <f t="shared" si="15"/>
        <v>0</v>
      </c>
    </row>
    <row r="49" spans="3:26" ht="12.75" customHeight="1" x14ac:dyDescent="0.2">
      <c r="C49" s="4" t="s">
        <v>4</v>
      </c>
      <c r="D49" s="4"/>
      <c r="E49" s="4" t="s">
        <v>41</v>
      </c>
      <c r="F49" s="7"/>
      <c r="G49" s="7"/>
      <c r="H49" s="100"/>
      <c r="I49" s="7"/>
      <c r="J49" s="31"/>
      <c r="K49" s="100"/>
      <c r="L49" s="7"/>
      <c r="M49" s="7"/>
      <c r="N49" s="7"/>
      <c r="O49" s="7"/>
      <c r="P49" s="7"/>
      <c r="Q49" s="100"/>
      <c r="R49" s="9">
        <f t="shared" si="15"/>
        <v>0</v>
      </c>
      <c r="S49" s="9">
        <f t="shared" si="15"/>
        <v>0</v>
      </c>
      <c r="T49" s="9">
        <f t="shared" si="15"/>
        <v>0</v>
      </c>
      <c r="U49" s="9">
        <f t="shared" si="15"/>
        <v>0</v>
      </c>
      <c r="V49" s="9">
        <f t="shared" si="15"/>
        <v>0</v>
      </c>
    </row>
    <row r="50" spans="3:26" ht="12.75" customHeight="1" x14ac:dyDescent="0.2">
      <c r="C50" s="10" t="str">
        <f>"Total Expenditure ($ "&amp;Assumptions!$B$8&amp;")"</f>
        <v>Total Expenditure ($ 2018)</v>
      </c>
      <c r="D50" s="10"/>
      <c r="E50" s="10"/>
      <c r="F50" s="10"/>
      <c r="G50" s="10"/>
      <c r="H50" s="10"/>
      <c r="I50" s="10"/>
      <c r="J50" s="14"/>
      <c r="K50" s="100"/>
      <c r="L50" s="10"/>
      <c r="M50" s="10"/>
      <c r="N50" s="10"/>
      <c r="O50" s="10"/>
      <c r="P50" s="10"/>
      <c r="Q50" s="100"/>
      <c r="R50" s="11">
        <f>SUM(R44:R49)</f>
        <v>2286589</v>
      </c>
      <c r="S50" s="11">
        <f t="shared" ref="S50:V50" si="16">SUM(S44:S49)</f>
        <v>1836589.0000000002</v>
      </c>
      <c r="T50" s="11">
        <f t="shared" si="16"/>
        <v>1656589.0000000002</v>
      </c>
      <c r="U50" s="11">
        <f t="shared" si="16"/>
        <v>4526589</v>
      </c>
      <c r="V50" s="11">
        <f t="shared" si="16"/>
        <v>1076589.0000000002</v>
      </c>
      <c r="W50" s="44"/>
      <c r="X50" s="100"/>
      <c r="Y50" s="100"/>
      <c r="Z50" s="100"/>
    </row>
    <row r="51" spans="3:26" ht="12.75" customHeight="1" x14ac:dyDescent="0.2">
      <c r="C51" s="28" t="str">
        <f>"Total Expenditure ($ "&amp;Assumptions!B17&amp;")"</f>
        <v>Total Expenditure ($ 2020/21)</v>
      </c>
      <c r="D51" s="28"/>
      <c r="E51" s="28"/>
      <c r="F51" s="28"/>
      <c r="G51" s="4"/>
      <c r="H51" s="100"/>
      <c r="I51" s="28"/>
      <c r="J51" s="29"/>
      <c r="K51" s="100"/>
      <c r="L51" s="28"/>
      <c r="M51" s="28"/>
      <c r="N51" s="28"/>
      <c r="O51" s="28"/>
      <c r="P51" s="28"/>
      <c r="Q51" s="100"/>
      <c r="R51" s="45">
        <f>R50*Assumptions!$B$18</f>
        <v>2421596.5569206276</v>
      </c>
      <c r="S51" s="45">
        <f>S50*Assumptions!$B$18</f>
        <v>1945027.1119463528</v>
      </c>
      <c r="T51" s="45">
        <f>T50*Assumptions!$B$18</f>
        <v>1754399.3339566428</v>
      </c>
      <c r="U51" s="45">
        <f>U50*Assumptions!$B$18</f>
        <v>4793853.3496814622</v>
      </c>
      <c r="V51" s="45">
        <f>V50*Assumptions!$B$18</f>
        <v>1140154.271545355</v>
      </c>
      <c r="W51" s="44"/>
      <c r="X51" s="100"/>
      <c r="Y51" s="100"/>
      <c r="Z51" s="100"/>
    </row>
    <row r="52" spans="3:26" x14ac:dyDescent="0.2">
      <c r="C52" s="101" t="s">
        <v>12</v>
      </c>
      <c r="D52" s="101"/>
      <c r="E52" s="101"/>
      <c r="F52" s="101"/>
      <c r="G52" s="101"/>
      <c r="H52" s="101"/>
      <c r="I52" s="101"/>
      <c r="J52" s="101"/>
      <c r="K52" s="100"/>
      <c r="L52" s="101"/>
      <c r="M52" s="101"/>
      <c r="N52" s="101"/>
      <c r="O52" s="101"/>
      <c r="P52" s="101"/>
      <c r="Q52" s="100"/>
      <c r="R52" s="102">
        <f>R50-SUM(R10:R40)</f>
        <v>0</v>
      </c>
      <c r="S52" s="102">
        <f>S50-SUM(S10:S40)</f>
        <v>0</v>
      </c>
      <c r="T52" s="102">
        <f>T50-SUM(T10:T40)</f>
        <v>0</v>
      </c>
      <c r="U52" s="102">
        <f>U50-SUM(U10:U40)</f>
        <v>0</v>
      </c>
      <c r="V52" s="102">
        <f>V50-SUM(V10:V40)</f>
        <v>0</v>
      </c>
      <c r="W52" s="100"/>
      <c r="X52" s="102">
        <f>SUM(R52:V52)</f>
        <v>0</v>
      </c>
      <c r="Y52" s="100"/>
      <c r="Z52" s="100"/>
    </row>
    <row r="53" spans="3:26" ht="12.75" customHeight="1" x14ac:dyDescent="0.2">
      <c r="C53" s="100"/>
      <c r="E53" s="100"/>
      <c r="F53" s="100"/>
      <c r="H53" s="100"/>
      <c r="I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</row>
    <row r="54" spans="3:26" ht="12.75" customHeight="1" x14ac:dyDescent="0.2">
      <c r="C54" s="171" t="str">
        <f>"NPV ($ "&amp;Assumptions!$B$17&amp;")"</f>
        <v>NPV ($ 2020/21)</v>
      </c>
      <c r="D54" s="171"/>
      <c r="E54" s="172">
        <f>NPV(Assumptions!$B$6,$R$51:$V$51)</f>
        <v>11112774.779752729</v>
      </c>
      <c r="F54" s="40"/>
      <c r="G54" s="40"/>
      <c r="H54" s="100"/>
      <c r="I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</row>
    <row r="55" spans="3:26" ht="12.75" customHeight="1" x14ac:dyDescent="0.2">
      <c r="H55" s="100"/>
      <c r="K55" s="100"/>
      <c r="Q55" s="100"/>
    </row>
    <row r="56" spans="3:26" ht="12.75" customHeight="1" x14ac:dyDescent="0.2">
      <c r="H56" s="100"/>
      <c r="K56" s="100"/>
      <c r="Q56" s="100"/>
    </row>
    <row r="57" spans="3:26" ht="12.75" customHeight="1" x14ac:dyDescent="0.2">
      <c r="H57" s="100"/>
      <c r="K57" s="100"/>
      <c r="Q57" s="100"/>
    </row>
    <row r="58" spans="3:26" ht="12.75" customHeight="1" x14ac:dyDescent="0.2">
      <c r="H58" s="100"/>
      <c r="K58" s="100"/>
      <c r="Q58" s="100"/>
    </row>
    <row r="59" spans="3:26" ht="12.75" customHeight="1" x14ac:dyDescent="0.2">
      <c r="H59" s="100"/>
      <c r="K59" s="100"/>
      <c r="Q59" s="100"/>
    </row>
    <row r="60" spans="3:26" ht="12.75" customHeight="1" x14ac:dyDescent="0.2"/>
  </sheetData>
  <conditionalFormatting sqref="R52:V52">
    <cfRule type="expression" dxfId="6" priority="4">
      <formula>ABS(R52)&gt;0.001</formula>
    </cfRule>
  </conditionalFormatting>
  <conditionalFormatting sqref="X52">
    <cfRule type="expression" dxfId="5" priority="5">
      <formula>ABS(X52)&gt;0.001</formula>
    </cfRule>
  </conditionalFormatting>
  <dataValidations count="3">
    <dataValidation type="list" allowBlank="1" showInputMessage="1" showErrorMessage="1" sqref="F20:F28 F10:F18 F30:F40">
      <formula1>"Labour, Materials, Contracts"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A73"/>
  <sheetViews>
    <sheetView showGridLines="0" zoomScale="90" zoomScaleNormal="90" workbookViewId="0"/>
  </sheetViews>
  <sheetFormatPr defaultColWidth="9.140625" defaultRowHeight="12.75" x14ac:dyDescent="0.2"/>
  <cols>
    <col min="1" max="1" width="4.28515625" style="100" customWidth="1"/>
    <col min="2" max="2" width="2.7109375" style="100" customWidth="1"/>
    <col min="3" max="3" width="45.7109375" style="100" customWidth="1"/>
    <col min="4" max="4" width="11.5703125" style="100" customWidth="1"/>
    <col min="5" max="7" width="11.140625" style="100" customWidth="1"/>
    <col min="8" max="8" width="2.85546875" style="100" customWidth="1"/>
    <col min="9" max="9" width="12.140625" style="100" customWidth="1"/>
    <col min="10" max="10" width="12.7109375" style="12" customWidth="1"/>
    <col min="11" max="11" width="2.85546875" style="100" customWidth="1"/>
    <col min="12" max="16" width="12.140625" style="100" customWidth="1"/>
    <col min="17" max="17" width="2.85546875" style="100" customWidth="1"/>
    <col min="18" max="22" width="12.140625" style="100" customWidth="1"/>
    <col min="23" max="23" width="2.140625" style="100" customWidth="1"/>
    <col min="24" max="24" width="9.85546875" style="100" bestFit="1" customWidth="1"/>
    <col min="25" max="16384" width="9.140625" style="100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68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C7" s="121" t="s">
        <v>44</v>
      </c>
      <c r="D7" s="143" t="s">
        <v>66</v>
      </c>
      <c r="E7" s="23" t="s">
        <v>23</v>
      </c>
      <c r="F7" s="23" t="s">
        <v>9</v>
      </c>
      <c r="G7" s="23" t="s">
        <v>9</v>
      </c>
      <c r="H7" s="20"/>
      <c r="I7" s="23" t="s">
        <v>15</v>
      </c>
      <c r="J7" s="23" t="s">
        <v>10</v>
      </c>
      <c r="L7" s="23" t="s">
        <v>43</v>
      </c>
      <c r="M7" s="24"/>
      <c r="N7" s="24"/>
      <c r="O7" s="24"/>
      <c r="P7" s="24"/>
      <c r="Q7" s="4"/>
      <c r="R7" s="23" t="s">
        <v>11</v>
      </c>
      <c r="S7" s="24"/>
      <c r="T7" s="24"/>
      <c r="U7" s="24"/>
      <c r="V7" s="24"/>
    </row>
    <row r="8" spans="1:27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22" t="s">
        <v>16</v>
      </c>
      <c r="M8" s="122" t="s">
        <v>17</v>
      </c>
      <c r="N8" s="122" t="s">
        <v>18</v>
      </c>
      <c r="O8" s="122" t="s">
        <v>19</v>
      </c>
      <c r="P8" s="122" t="s">
        <v>20</v>
      </c>
      <c r="Q8" s="4"/>
      <c r="R8" s="122" t="s">
        <v>16</v>
      </c>
      <c r="S8" s="122" t="s">
        <v>17</v>
      </c>
      <c r="T8" s="122" t="s">
        <v>18</v>
      </c>
      <c r="U8" s="122" t="s">
        <v>19</v>
      </c>
      <c r="V8" s="122" t="s">
        <v>20</v>
      </c>
    </row>
    <row r="9" spans="1:27" ht="12.75" customHeight="1" x14ac:dyDescent="0.2">
      <c r="C9" s="4"/>
      <c r="D9" s="4"/>
      <c r="E9" s="4"/>
      <c r="F9" s="4"/>
      <c r="G9" s="4"/>
      <c r="H9" s="20"/>
    </row>
    <row r="10" spans="1:27" ht="12.75" customHeight="1" x14ac:dyDescent="0.2">
      <c r="A10" s="7"/>
      <c r="C10" s="108" t="s">
        <v>55</v>
      </c>
      <c r="D10" s="140">
        <f>INDEX(Assumptions!$C$32:$C$40,MATCH($C10,Assumptions!$A$32:$A$40,0))</f>
        <v>0</v>
      </c>
      <c r="E10" s="109" t="s">
        <v>5</v>
      </c>
      <c r="F10" s="109" t="s">
        <v>2</v>
      </c>
      <c r="G10" s="110" t="s">
        <v>69</v>
      </c>
      <c r="H10" s="3"/>
      <c r="I10" s="111">
        <v>122.2</v>
      </c>
      <c r="J10" s="12" t="s">
        <v>50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 t="shared" ref="R10:R18" si="0">L10*$I10*$D10</f>
        <v>0</v>
      </c>
      <c r="S10" s="8">
        <f t="shared" ref="S10:S18" si="1">M10*$I10*$D10</f>
        <v>0</v>
      </c>
      <c r="T10" s="8">
        <f t="shared" ref="T10:T18" si="2">N10*$I10*$D10</f>
        <v>0</v>
      </c>
      <c r="U10" s="8">
        <f t="shared" ref="U10:U18" si="3">O10*$I10*$D10</f>
        <v>0</v>
      </c>
      <c r="V10" s="8">
        <f t="shared" ref="V10:V18" si="4">P10*$I10*$D10</f>
        <v>0</v>
      </c>
    </row>
    <row r="11" spans="1:27" ht="12.75" customHeight="1" x14ac:dyDescent="0.2">
      <c r="A11" s="7"/>
      <c r="C11" s="108" t="s">
        <v>56</v>
      </c>
      <c r="D11" s="140">
        <f>INDEX(Assumptions!$C$32:$C$40,MATCH($C11,Assumptions!$A$32:$A$40,0))</f>
        <v>0.9</v>
      </c>
      <c r="E11" s="109" t="s">
        <v>5</v>
      </c>
      <c r="F11" s="109" t="s">
        <v>2</v>
      </c>
      <c r="G11" s="110" t="s">
        <v>69</v>
      </c>
      <c r="H11" s="3"/>
      <c r="I11" s="111">
        <v>122.2</v>
      </c>
      <c r="J11" s="12" t="s">
        <v>50</v>
      </c>
      <c r="K11" s="3"/>
      <c r="L11" s="112">
        <v>3273.3224222585923</v>
      </c>
      <c r="M11" s="112">
        <v>3273.3224222585923</v>
      </c>
      <c r="N11" s="112">
        <v>0</v>
      </c>
      <c r="O11" s="112">
        <v>0</v>
      </c>
      <c r="P11" s="112">
        <v>0</v>
      </c>
      <c r="Q11" s="3"/>
      <c r="R11" s="8">
        <f t="shared" si="0"/>
        <v>360000</v>
      </c>
      <c r="S11" s="8">
        <f t="shared" si="1"/>
        <v>360000</v>
      </c>
      <c r="T11" s="8">
        <f t="shared" si="2"/>
        <v>0</v>
      </c>
      <c r="U11" s="8">
        <f t="shared" si="3"/>
        <v>0</v>
      </c>
      <c r="V11" s="8">
        <f t="shared" si="4"/>
        <v>0</v>
      </c>
    </row>
    <row r="12" spans="1:27" ht="12.75" customHeight="1" x14ac:dyDescent="0.2">
      <c r="A12" s="7"/>
      <c r="C12" s="108" t="s">
        <v>57</v>
      </c>
      <c r="D12" s="140">
        <f>INDEX(Assumptions!$C$32:$C$40,MATCH($C12,Assumptions!$A$32:$A$40,0))</f>
        <v>0.6</v>
      </c>
      <c r="E12" s="109" t="s">
        <v>5</v>
      </c>
      <c r="F12" s="109" t="s">
        <v>2</v>
      </c>
      <c r="G12" s="110" t="s">
        <v>69</v>
      </c>
      <c r="H12" s="3"/>
      <c r="I12" s="111">
        <v>122.2</v>
      </c>
      <c r="J12" s="12" t="s">
        <v>50</v>
      </c>
      <c r="K12" s="3"/>
      <c r="L12" s="112">
        <v>1636.6612111292961</v>
      </c>
      <c r="M12" s="112">
        <v>0</v>
      </c>
      <c r="N12" s="112">
        <v>0</v>
      </c>
      <c r="O12" s="112">
        <v>0</v>
      </c>
      <c r="P12" s="112">
        <v>0</v>
      </c>
      <c r="Q12" s="3"/>
      <c r="R12" s="8">
        <f t="shared" si="0"/>
        <v>120000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</row>
    <row r="13" spans="1:27" ht="12.75" customHeight="1" x14ac:dyDescent="0.25">
      <c r="A13" s="7"/>
      <c r="C13" s="108" t="s">
        <v>58</v>
      </c>
      <c r="D13" s="140">
        <f>INDEX(Assumptions!$C$32:$C$40,MATCH($C13,Assumptions!$A$32:$A$40,0))</f>
        <v>1</v>
      </c>
      <c r="E13" s="109" t="s">
        <v>5</v>
      </c>
      <c r="F13" s="109" t="s">
        <v>2</v>
      </c>
      <c r="G13" s="110" t="s">
        <v>69</v>
      </c>
      <c r="H13" s="3"/>
      <c r="I13" s="111">
        <v>122.2</v>
      </c>
      <c r="J13" s="12" t="s">
        <v>50</v>
      </c>
      <c r="K13" s="3"/>
      <c r="L13" s="112">
        <v>818.33060556464807</v>
      </c>
      <c r="M13" s="112">
        <v>0</v>
      </c>
      <c r="N13" s="112">
        <v>0</v>
      </c>
      <c r="O13" s="112">
        <v>0</v>
      </c>
      <c r="P13" s="112">
        <v>0</v>
      </c>
      <c r="Q13" s="3"/>
      <c r="R13" s="8">
        <f t="shared" si="0"/>
        <v>100000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ht="12.75" customHeight="1" x14ac:dyDescent="0.25">
      <c r="A14" s="7"/>
      <c r="C14" s="108" t="s">
        <v>59</v>
      </c>
      <c r="D14" s="140">
        <f>INDEX(Assumptions!$C$32:$C$40,MATCH($C14,Assumptions!$A$32:$A$40,0))</f>
        <v>0.6</v>
      </c>
      <c r="E14" s="109" t="s">
        <v>5</v>
      </c>
      <c r="F14" s="109" t="s">
        <v>2</v>
      </c>
      <c r="G14" s="110" t="s">
        <v>69</v>
      </c>
      <c r="H14" s="3"/>
      <c r="I14" s="111">
        <v>122.2</v>
      </c>
      <c r="J14" s="12" t="s">
        <v>50</v>
      </c>
      <c r="K14" s="3"/>
      <c r="L14" s="112">
        <v>0</v>
      </c>
      <c r="M14" s="112">
        <v>0</v>
      </c>
      <c r="N14" s="112">
        <v>6137.4795417348605</v>
      </c>
      <c r="O14" s="112">
        <v>0</v>
      </c>
      <c r="P14" s="112">
        <v>0</v>
      </c>
      <c r="Q14" s="3"/>
      <c r="R14" s="8">
        <f t="shared" si="0"/>
        <v>0</v>
      </c>
      <c r="S14" s="8">
        <f t="shared" si="1"/>
        <v>0</v>
      </c>
      <c r="T14" s="8">
        <f t="shared" si="2"/>
        <v>450000</v>
      </c>
      <c r="U14" s="8">
        <f t="shared" si="3"/>
        <v>0</v>
      </c>
      <c r="V14" s="8">
        <f t="shared" si="4"/>
        <v>0</v>
      </c>
      <c r="AA14"/>
    </row>
    <row r="15" spans="1:27" ht="12.75" customHeight="1" x14ac:dyDescent="0.25">
      <c r="A15" s="7"/>
      <c r="C15" s="108" t="s">
        <v>60</v>
      </c>
      <c r="D15" s="140">
        <f>INDEX(Assumptions!$C$32:$C$40,MATCH($C15,Assumptions!$A$32:$A$40,0))</f>
        <v>0</v>
      </c>
      <c r="E15" s="109" t="s">
        <v>5</v>
      </c>
      <c r="F15" s="109" t="s">
        <v>2</v>
      </c>
      <c r="G15" s="110" t="s">
        <v>69</v>
      </c>
      <c r="H15" s="3"/>
      <c r="I15" s="111">
        <v>122.2</v>
      </c>
      <c r="J15" s="12" t="s">
        <v>50</v>
      </c>
      <c r="K15" s="3"/>
      <c r="L15" s="112">
        <v>1227.4959083469721</v>
      </c>
      <c r="M15" s="112">
        <v>0</v>
      </c>
      <c r="N15" s="112">
        <v>0</v>
      </c>
      <c r="O15" s="112">
        <v>2045.8265139116202</v>
      </c>
      <c r="P15" s="112">
        <v>0</v>
      </c>
      <c r="Q15" s="3"/>
      <c r="R15" s="8">
        <f t="shared" si="0"/>
        <v>0</v>
      </c>
      <c r="S15" s="8">
        <f t="shared" si="1"/>
        <v>0</v>
      </c>
      <c r="T15" s="8">
        <f t="shared" si="2"/>
        <v>0</v>
      </c>
      <c r="U15" s="8">
        <f t="shared" si="3"/>
        <v>0</v>
      </c>
      <c r="V15" s="8">
        <f t="shared" si="4"/>
        <v>0</v>
      </c>
      <c r="AA15"/>
    </row>
    <row r="16" spans="1:27" ht="12.75" customHeight="1" x14ac:dyDescent="0.25">
      <c r="A16" s="7"/>
      <c r="C16" s="108" t="s">
        <v>61</v>
      </c>
      <c r="D16" s="140">
        <f>INDEX(Assumptions!$C$32:$C$40,MATCH($C16,Assumptions!$A$32:$A$40,0))</f>
        <v>0.95</v>
      </c>
      <c r="E16" s="109" t="s">
        <v>5</v>
      </c>
      <c r="F16" s="109" t="s">
        <v>2</v>
      </c>
      <c r="G16" s="110" t="s">
        <v>70</v>
      </c>
      <c r="H16" s="3"/>
      <c r="I16" s="111">
        <v>122.2</v>
      </c>
      <c r="J16" s="12" t="s">
        <v>50</v>
      </c>
      <c r="K16" s="3"/>
      <c r="L16" s="112">
        <v>56837.753058520801</v>
      </c>
      <c r="M16" s="112">
        <v>56837.753058520801</v>
      </c>
      <c r="N16" s="112">
        <v>56837.753058520801</v>
      </c>
      <c r="O16" s="112">
        <v>56837.753058520801</v>
      </c>
      <c r="P16" s="112">
        <v>56837.753058520801</v>
      </c>
      <c r="Q16" s="3"/>
      <c r="R16" s="8">
        <f t="shared" si="0"/>
        <v>6598294.7525636796</v>
      </c>
      <c r="S16" s="8">
        <f t="shared" si="1"/>
        <v>6598294.7525636796</v>
      </c>
      <c r="T16" s="8">
        <f t="shared" si="2"/>
        <v>6598294.7525636796</v>
      </c>
      <c r="U16" s="8">
        <f t="shared" si="3"/>
        <v>6598294.7525636796</v>
      </c>
      <c r="V16" s="8">
        <f t="shared" si="4"/>
        <v>6598294.7525636796</v>
      </c>
      <c r="AA16"/>
    </row>
    <row r="17" spans="1:27" ht="12.75" customHeight="1" x14ac:dyDescent="0.25">
      <c r="A17" s="7"/>
      <c r="C17" s="108" t="s">
        <v>62</v>
      </c>
      <c r="D17" s="140">
        <f>INDEX(Assumptions!$C$32:$C$40,MATCH($C17,Assumptions!$A$32:$A$40,0))</f>
        <v>0.95</v>
      </c>
      <c r="E17" s="109" t="s">
        <v>5</v>
      </c>
      <c r="F17" s="109" t="s">
        <v>2</v>
      </c>
      <c r="G17" s="110" t="s">
        <v>71</v>
      </c>
      <c r="H17" s="3"/>
      <c r="I17" s="111">
        <v>122.2</v>
      </c>
      <c r="J17" s="12" t="s">
        <v>50</v>
      </c>
      <c r="K17" s="3"/>
      <c r="L17" s="112">
        <v>7395.7005010392295</v>
      </c>
      <c r="M17" s="112">
        <v>7395.7005010392295</v>
      </c>
      <c r="N17" s="112">
        <v>7395.7005010392295</v>
      </c>
      <c r="O17" s="112">
        <v>7395.7005010392295</v>
      </c>
      <c r="P17" s="112">
        <v>7395.7005010392295</v>
      </c>
      <c r="Q17" s="3"/>
      <c r="R17" s="8">
        <f t="shared" si="0"/>
        <v>858566.87116564414</v>
      </c>
      <c r="S17" s="8">
        <f t="shared" si="1"/>
        <v>858566.87116564414</v>
      </c>
      <c r="T17" s="8">
        <f t="shared" si="2"/>
        <v>858566.87116564414</v>
      </c>
      <c r="U17" s="8">
        <f t="shared" si="3"/>
        <v>858566.87116564414</v>
      </c>
      <c r="V17" s="8">
        <f t="shared" si="4"/>
        <v>858566.87116564414</v>
      </c>
      <c r="AA17"/>
    </row>
    <row r="18" spans="1:27" ht="12.75" customHeight="1" x14ac:dyDescent="0.25">
      <c r="A18" s="7"/>
      <c r="C18" s="115" t="s">
        <v>63</v>
      </c>
      <c r="D18" s="140">
        <f>INDEX(Assumptions!$C$32:$C$40,MATCH($C18,Assumptions!$A$32:$A$40,0))</f>
        <v>0.95</v>
      </c>
      <c r="E18" s="109" t="s">
        <v>5</v>
      </c>
      <c r="F18" s="109" t="s">
        <v>2</v>
      </c>
      <c r="G18" s="110" t="s">
        <v>72</v>
      </c>
      <c r="H18" s="3"/>
      <c r="I18" s="111">
        <v>122.2</v>
      </c>
      <c r="J18" s="12" t="s">
        <v>50</v>
      </c>
      <c r="K18" s="3"/>
      <c r="L18" s="112">
        <v>11646.481178396072</v>
      </c>
      <c r="M18" s="112">
        <v>11646.481178396072</v>
      </c>
      <c r="N18" s="112">
        <v>11646.481178396072</v>
      </c>
      <c r="O18" s="112">
        <v>11646.481178396072</v>
      </c>
      <c r="P18" s="112">
        <v>11646.481178396072</v>
      </c>
      <c r="Q18" s="3"/>
      <c r="R18" s="8">
        <f t="shared" si="0"/>
        <v>1352040</v>
      </c>
      <c r="S18" s="8">
        <f t="shared" si="1"/>
        <v>1352040</v>
      </c>
      <c r="T18" s="8">
        <f t="shared" si="2"/>
        <v>1352040</v>
      </c>
      <c r="U18" s="8">
        <f t="shared" si="3"/>
        <v>1352040</v>
      </c>
      <c r="V18" s="8">
        <f t="shared" si="4"/>
        <v>1352040</v>
      </c>
      <c r="AA18"/>
    </row>
    <row r="19" spans="1:27" ht="12.75" customHeight="1" x14ac:dyDescent="0.25">
      <c r="A19" s="7"/>
      <c r="H19" s="3"/>
      <c r="K19" s="3"/>
      <c r="Q19" s="3"/>
      <c r="AA19"/>
    </row>
    <row r="20" spans="1:27" ht="12.75" customHeight="1" x14ac:dyDescent="0.25">
      <c r="A20" s="7"/>
      <c r="C20" s="108" t="s">
        <v>55</v>
      </c>
      <c r="D20" s="140">
        <f>INDEX(Assumptions!$C$32:$C$40,MATCH($C20,Assumptions!$A$32:$A$40,0))</f>
        <v>0</v>
      </c>
      <c r="E20" s="109" t="s">
        <v>5</v>
      </c>
      <c r="F20" s="109" t="s">
        <v>1</v>
      </c>
      <c r="G20" s="110" t="s">
        <v>69</v>
      </c>
      <c r="H20" s="3"/>
      <c r="I20" s="141">
        <v>50000</v>
      </c>
      <c r="J20" s="12" t="s">
        <v>51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 t="shared" ref="R20:R28" si="5">L20*$I20*$D20</f>
        <v>0</v>
      </c>
      <c r="S20" s="8">
        <f t="shared" ref="S20:S28" si="6">M20*$I20*$D20</f>
        <v>0</v>
      </c>
      <c r="T20" s="8">
        <f t="shared" ref="T20:T28" si="7">N20*$I20*$D20</f>
        <v>0</v>
      </c>
      <c r="U20" s="8">
        <f t="shared" ref="U20:U28" si="8">O20*$I20*$D20</f>
        <v>0</v>
      </c>
      <c r="V20" s="8">
        <f t="shared" ref="V20:V28" si="9">P20*$I20*$D20</f>
        <v>0</v>
      </c>
      <c r="AA20"/>
    </row>
    <row r="21" spans="1:27" ht="12.75" customHeight="1" x14ac:dyDescent="0.25">
      <c r="A21" s="7"/>
      <c r="C21" s="108" t="s">
        <v>56</v>
      </c>
      <c r="D21" s="140">
        <f>INDEX(Assumptions!$C$32:$C$40,MATCH($C21,Assumptions!$A$32:$A$40,0))</f>
        <v>0.9</v>
      </c>
      <c r="E21" s="109" t="s">
        <v>5</v>
      </c>
      <c r="F21" s="109" t="s">
        <v>1</v>
      </c>
      <c r="G21" s="110" t="s">
        <v>69</v>
      </c>
      <c r="H21" s="3"/>
      <c r="I21" s="141">
        <v>2200000</v>
      </c>
      <c r="J21" s="12" t="s">
        <v>51</v>
      </c>
      <c r="K21" s="3"/>
      <c r="L21" s="142">
        <v>1.8636363636363635</v>
      </c>
      <c r="M21" s="114">
        <v>1</v>
      </c>
      <c r="N21" s="113"/>
      <c r="O21" s="114"/>
      <c r="P21" s="113"/>
      <c r="Q21" s="3"/>
      <c r="R21" s="8">
        <f t="shared" si="5"/>
        <v>3690000</v>
      </c>
      <c r="S21" s="8">
        <f t="shared" si="6"/>
        <v>1980000</v>
      </c>
      <c r="T21" s="8">
        <f t="shared" si="7"/>
        <v>0</v>
      </c>
      <c r="U21" s="8">
        <f t="shared" si="8"/>
        <v>0</v>
      </c>
      <c r="V21" s="8">
        <f t="shared" si="9"/>
        <v>0</v>
      </c>
      <c r="AA21"/>
    </row>
    <row r="22" spans="1:27" ht="12.75" customHeight="1" x14ac:dyDescent="0.25">
      <c r="A22" s="7"/>
      <c r="C22" s="108" t="s">
        <v>57</v>
      </c>
      <c r="D22" s="140">
        <f>INDEX(Assumptions!$C$32:$C$40,MATCH($C22,Assumptions!$A$32:$A$40,0))</f>
        <v>0.6</v>
      </c>
      <c r="E22" s="109" t="s">
        <v>5</v>
      </c>
      <c r="F22" s="109" t="s">
        <v>1</v>
      </c>
      <c r="G22" s="110" t="s">
        <v>69</v>
      </c>
      <c r="H22" s="3"/>
      <c r="I22" s="141">
        <v>750000</v>
      </c>
      <c r="J22" s="12" t="s">
        <v>51</v>
      </c>
      <c r="K22" s="3"/>
      <c r="L22" s="113">
        <v>1</v>
      </c>
      <c r="M22" s="114"/>
      <c r="N22" s="113"/>
      <c r="O22" s="114"/>
      <c r="P22" s="113"/>
      <c r="Q22" s="3"/>
      <c r="R22" s="8">
        <f t="shared" si="5"/>
        <v>450000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7" ht="12.75" customHeight="1" x14ac:dyDescent="0.25">
      <c r="A23" s="7"/>
      <c r="C23" s="108" t="s">
        <v>58</v>
      </c>
      <c r="D23" s="140">
        <f>INDEX(Assumptions!$C$32:$C$40,MATCH($C23,Assumptions!$A$32:$A$40,0))</f>
        <v>1</v>
      </c>
      <c r="E23" s="109" t="s">
        <v>5</v>
      </c>
      <c r="F23" s="109" t="s">
        <v>1</v>
      </c>
      <c r="G23" s="110" t="s">
        <v>69</v>
      </c>
      <c r="H23" s="3"/>
      <c r="I23" s="141">
        <v>250000</v>
      </c>
      <c r="J23" s="12" t="s">
        <v>51</v>
      </c>
      <c r="K23" s="3"/>
      <c r="L23" s="113">
        <v>1</v>
      </c>
      <c r="M23" s="114"/>
      <c r="N23" s="113"/>
      <c r="O23" s="114"/>
      <c r="P23" s="113"/>
      <c r="Q23" s="3"/>
      <c r="R23" s="8">
        <f t="shared" si="5"/>
        <v>250000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7" ht="12.75" customHeight="1" x14ac:dyDescent="0.25">
      <c r="A24" s="7"/>
      <c r="C24" s="108" t="s">
        <v>59</v>
      </c>
      <c r="D24" s="140">
        <f>INDEX(Assumptions!$C$32:$C$40,MATCH($C24,Assumptions!$A$32:$A$40,0))</f>
        <v>0.6</v>
      </c>
      <c r="E24" s="109" t="s">
        <v>5</v>
      </c>
      <c r="F24" s="109" t="s">
        <v>1</v>
      </c>
      <c r="G24" s="110" t="s">
        <v>69</v>
      </c>
      <c r="H24" s="3"/>
      <c r="I24" s="141">
        <v>500000</v>
      </c>
      <c r="J24" s="12" t="s">
        <v>51</v>
      </c>
      <c r="K24" s="3"/>
      <c r="L24" s="113"/>
      <c r="M24" s="114"/>
      <c r="N24" s="113">
        <v>1</v>
      </c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300000</v>
      </c>
      <c r="U24" s="8">
        <f t="shared" si="8"/>
        <v>0</v>
      </c>
      <c r="V24" s="8">
        <f t="shared" si="9"/>
        <v>0</v>
      </c>
      <c r="AA24"/>
    </row>
    <row r="25" spans="1:27" ht="12.75" customHeight="1" x14ac:dyDescent="0.25">
      <c r="A25" s="7"/>
      <c r="C25" s="108" t="s">
        <v>60</v>
      </c>
      <c r="D25" s="140">
        <f>INDEX(Assumptions!$C$32:$C$40,MATCH($C25,Assumptions!$A$32:$A$40,0))</f>
        <v>0</v>
      </c>
      <c r="E25" s="109" t="s">
        <v>5</v>
      </c>
      <c r="F25" s="109" t="s">
        <v>1</v>
      </c>
      <c r="G25" s="110" t="s">
        <v>69</v>
      </c>
      <c r="H25" s="3"/>
      <c r="I25" s="141">
        <v>100000</v>
      </c>
      <c r="J25" s="12" t="s">
        <v>51</v>
      </c>
      <c r="K25" s="3"/>
      <c r="L25" s="113">
        <v>1</v>
      </c>
      <c r="M25" s="114"/>
      <c r="N25" s="113"/>
      <c r="O25" s="114">
        <v>2</v>
      </c>
      <c r="P25" s="113"/>
      <c r="Q25" s="3"/>
      <c r="R25" s="8">
        <f t="shared" si="5"/>
        <v>0</v>
      </c>
      <c r="S25" s="8">
        <f t="shared" si="6"/>
        <v>0</v>
      </c>
      <c r="T25" s="8">
        <f t="shared" si="7"/>
        <v>0</v>
      </c>
      <c r="U25" s="8">
        <f t="shared" si="8"/>
        <v>0</v>
      </c>
      <c r="V25" s="8">
        <f t="shared" si="9"/>
        <v>0</v>
      </c>
      <c r="AA25"/>
    </row>
    <row r="26" spans="1:27" ht="12.75" customHeight="1" x14ac:dyDescent="0.25">
      <c r="A26" s="7"/>
      <c r="C26" s="108" t="s">
        <v>61</v>
      </c>
      <c r="D26" s="140">
        <f>INDEX(Assumptions!$C$32:$C$40,MATCH($C26,Assumptions!$A$32:$A$40,0))</f>
        <v>0.95</v>
      </c>
      <c r="E26" s="109" t="s">
        <v>5</v>
      </c>
      <c r="F26" s="109" t="s">
        <v>1</v>
      </c>
      <c r="G26" s="110" t="s">
        <v>70</v>
      </c>
      <c r="H26" s="3"/>
      <c r="I26" s="141">
        <v>8302406.5762487594</v>
      </c>
      <c r="J26" s="12" t="s">
        <v>51</v>
      </c>
      <c r="K26" s="3"/>
      <c r="L26" s="113">
        <v>1</v>
      </c>
      <c r="M26" s="113">
        <v>1</v>
      </c>
      <c r="N26" s="113">
        <v>1</v>
      </c>
      <c r="O26" s="113">
        <v>1</v>
      </c>
      <c r="P26" s="113">
        <v>1</v>
      </c>
      <c r="Q26" s="3"/>
      <c r="R26" s="8">
        <f t="shared" si="5"/>
        <v>7887286.2474363213</v>
      </c>
      <c r="S26" s="8">
        <f t="shared" si="6"/>
        <v>7887286.2474363213</v>
      </c>
      <c r="T26" s="8">
        <f t="shared" si="7"/>
        <v>7887286.2474363213</v>
      </c>
      <c r="U26" s="8">
        <f t="shared" si="8"/>
        <v>7887286.2474363213</v>
      </c>
      <c r="V26" s="8">
        <f t="shared" si="9"/>
        <v>7887286.2474363213</v>
      </c>
      <c r="AA26"/>
    </row>
    <row r="27" spans="1:27" ht="12.75" customHeight="1" x14ac:dyDescent="0.25">
      <c r="A27" s="7"/>
      <c r="C27" s="108" t="s">
        <v>62</v>
      </c>
      <c r="D27" s="140">
        <f>INDEX(Assumptions!$C$32:$C$40,MATCH($C27,Assumptions!$A$32:$A$40,0))</f>
        <v>0.95</v>
      </c>
      <c r="E27" s="109" t="s">
        <v>5</v>
      </c>
      <c r="F27" s="109" t="s">
        <v>1</v>
      </c>
      <c r="G27" s="110" t="s">
        <v>71</v>
      </c>
      <c r="H27" s="3"/>
      <c r="I27" s="141">
        <v>435445.39877300616</v>
      </c>
      <c r="J27" s="12" t="s">
        <v>51</v>
      </c>
      <c r="K27" s="3"/>
      <c r="L27" s="113">
        <v>1</v>
      </c>
      <c r="M27" s="113">
        <v>1</v>
      </c>
      <c r="N27" s="113">
        <v>1</v>
      </c>
      <c r="O27" s="113">
        <v>1</v>
      </c>
      <c r="P27" s="113">
        <v>1</v>
      </c>
      <c r="Q27" s="3"/>
      <c r="R27" s="8">
        <f t="shared" si="5"/>
        <v>413673.12883435586</v>
      </c>
      <c r="S27" s="8">
        <f t="shared" si="6"/>
        <v>413673.12883435586</v>
      </c>
      <c r="T27" s="8">
        <f t="shared" si="7"/>
        <v>413673.12883435586</v>
      </c>
      <c r="U27" s="8">
        <f t="shared" si="8"/>
        <v>413673.12883435586</v>
      </c>
      <c r="V27" s="8">
        <f t="shared" si="9"/>
        <v>413673.12883435586</v>
      </c>
      <c r="AA27"/>
    </row>
    <row r="28" spans="1:27" ht="12.75" customHeight="1" x14ac:dyDescent="0.25">
      <c r="A28" s="7"/>
      <c r="C28" s="108" t="s">
        <v>63</v>
      </c>
      <c r="D28" s="140">
        <f>INDEX(Assumptions!$C$32:$C$40,MATCH($C28,Assumptions!$A$32:$A$40,0))</f>
        <v>0.95</v>
      </c>
      <c r="E28" s="109" t="s">
        <v>5</v>
      </c>
      <c r="F28" s="109" t="s">
        <v>1</v>
      </c>
      <c r="G28" s="110" t="s">
        <v>72</v>
      </c>
      <c r="H28" s="3"/>
      <c r="I28" s="141">
        <v>1521400</v>
      </c>
      <c r="J28" s="12" t="s">
        <v>51</v>
      </c>
      <c r="K28" s="3"/>
      <c r="L28" s="113">
        <v>1</v>
      </c>
      <c r="M28" s="113">
        <v>1</v>
      </c>
      <c r="N28" s="113">
        <v>1</v>
      </c>
      <c r="O28" s="113">
        <v>1</v>
      </c>
      <c r="P28" s="113">
        <v>1</v>
      </c>
      <c r="Q28" s="3"/>
      <c r="R28" s="8">
        <f t="shared" si="5"/>
        <v>1445330</v>
      </c>
      <c r="S28" s="8">
        <f t="shared" si="6"/>
        <v>1445330</v>
      </c>
      <c r="T28" s="8">
        <f t="shared" si="7"/>
        <v>1445330</v>
      </c>
      <c r="U28" s="8">
        <f t="shared" si="8"/>
        <v>1445330</v>
      </c>
      <c r="V28" s="8">
        <f t="shared" si="9"/>
        <v>1445330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ht="12.75" customHeight="1" x14ac:dyDescent="0.2">
      <c r="A30" s="7"/>
      <c r="C30" s="108" t="s">
        <v>55</v>
      </c>
      <c r="D30" s="140">
        <f>INDEX(Assumptions!$C$32:$C$40,MATCH($C30,Assumptions!$A$32:$A$40,0))</f>
        <v>0</v>
      </c>
      <c r="E30" s="109" t="s">
        <v>5</v>
      </c>
      <c r="F30" s="109" t="s">
        <v>4</v>
      </c>
      <c r="G30" s="110" t="s">
        <v>69</v>
      </c>
      <c r="I30" s="6"/>
      <c r="J30" s="13" t="s">
        <v>42</v>
      </c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R30" s="8">
        <f>L30*$D30</f>
        <v>0</v>
      </c>
      <c r="S30" s="8">
        <f t="shared" ref="S30:V30" si="10">M30*$D30</f>
        <v>0</v>
      </c>
      <c r="T30" s="8">
        <f t="shared" si="10"/>
        <v>0</v>
      </c>
      <c r="U30" s="8">
        <f t="shared" si="10"/>
        <v>0</v>
      </c>
      <c r="V30" s="8">
        <f t="shared" si="10"/>
        <v>0</v>
      </c>
    </row>
    <row r="31" spans="1:27" ht="12.75" customHeight="1" x14ac:dyDescent="0.2">
      <c r="A31" s="7"/>
      <c r="C31" s="108" t="s">
        <v>57</v>
      </c>
      <c r="D31" s="140">
        <f>INDEX(Assumptions!$C$32:$C$40,MATCH($C31,Assumptions!$A$32:$A$40,0))</f>
        <v>0.6</v>
      </c>
      <c r="E31" s="109" t="s">
        <v>5</v>
      </c>
      <c r="F31" s="109" t="s">
        <v>4</v>
      </c>
      <c r="G31" s="110" t="s">
        <v>69</v>
      </c>
      <c r="I31" s="6"/>
      <c r="J31" s="13" t="s">
        <v>42</v>
      </c>
      <c r="L31" s="112">
        <v>200000</v>
      </c>
      <c r="M31" s="112">
        <v>0</v>
      </c>
      <c r="N31" s="112">
        <v>0</v>
      </c>
      <c r="O31" s="112">
        <v>0</v>
      </c>
      <c r="P31" s="112">
        <v>0</v>
      </c>
      <c r="R31" s="8">
        <f t="shared" ref="R31:R40" si="11">L31*$D31</f>
        <v>120000</v>
      </c>
      <c r="S31" s="8">
        <f t="shared" ref="S31:S40" si="12">M31*$D31</f>
        <v>0</v>
      </c>
      <c r="T31" s="8">
        <f t="shared" ref="T31:T40" si="13">N31*$D31</f>
        <v>0</v>
      </c>
      <c r="U31" s="8">
        <f t="shared" ref="U31:U40" si="14">O31*$D31</f>
        <v>0</v>
      </c>
      <c r="V31" s="8">
        <f t="shared" ref="V31:V40" si="15">P31*$D31</f>
        <v>0</v>
      </c>
    </row>
    <row r="32" spans="1:27" ht="12.75" customHeight="1" x14ac:dyDescent="0.2">
      <c r="A32" s="7"/>
      <c r="C32" s="108" t="s">
        <v>59</v>
      </c>
      <c r="D32" s="140">
        <f>INDEX(Assumptions!$C$32:$C$40,MATCH($C32,Assumptions!$A$32:$A$40,0))</f>
        <v>0.6</v>
      </c>
      <c r="E32" s="109" t="s">
        <v>5</v>
      </c>
      <c r="F32" s="109" t="s">
        <v>4</v>
      </c>
      <c r="G32" s="110" t="s">
        <v>69</v>
      </c>
      <c r="I32" s="6"/>
      <c r="J32" s="13" t="s">
        <v>42</v>
      </c>
      <c r="L32" s="112">
        <v>0</v>
      </c>
      <c r="M32" s="112">
        <v>0</v>
      </c>
      <c r="N32" s="112">
        <v>200000</v>
      </c>
      <c r="O32" s="112">
        <v>0</v>
      </c>
      <c r="P32" s="112">
        <v>0</v>
      </c>
      <c r="R32" s="8">
        <f t="shared" si="11"/>
        <v>0</v>
      </c>
      <c r="S32" s="8">
        <f t="shared" si="12"/>
        <v>0</v>
      </c>
      <c r="T32" s="8">
        <f t="shared" si="13"/>
        <v>120000</v>
      </c>
      <c r="U32" s="8">
        <f t="shared" si="14"/>
        <v>0</v>
      </c>
      <c r="V32" s="8">
        <f t="shared" si="15"/>
        <v>0</v>
      </c>
    </row>
    <row r="33" spans="1:27" ht="12.75" customHeight="1" x14ac:dyDescent="0.2">
      <c r="A33" s="7"/>
      <c r="C33" s="108" t="s">
        <v>60</v>
      </c>
      <c r="D33" s="140">
        <f>INDEX(Assumptions!$C$32:$C$40,MATCH($C33,Assumptions!$A$32:$A$40,0))</f>
        <v>0</v>
      </c>
      <c r="E33" s="109" t="s">
        <v>5</v>
      </c>
      <c r="F33" s="109" t="s">
        <v>4</v>
      </c>
      <c r="G33" s="110" t="s">
        <v>69</v>
      </c>
      <c r="I33" s="6"/>
      <c r="J33" s="13" t="s">
        <v>42</v>
      </c>
      <c r="L33" s="112">
        <v>50000</v>
      </c>
      <c r="M33" s="112">
        <v>0</v>
      </c>
      <c r="N33" s="112">
        <v>0</v>
      </c>
      <c r="O33" s="112">
        <v>100000</v>
      </c>
      <c r="P33" s="112">
        <v>0</v>
      </c>
      <c r="R33" s="8">
        <f t="shared" si="11"/>
        <v>0</v>
      </c>
      <c r="S33" s="8">
        <f t="shared" si="12"/>
        <v>0</v>
      </c>
      <c r="T33" s="8">
        <f t="shared" si="13"/>
        <v>0</v>
      </c>
      <c r="U33" s="8">
        <f t="shared" si="14"/>
        <v>0</v>
      </c>
      <c r="V33" s="8">
        <f t="shared" si="15"/>
        <v>0</v>
      </c>
    </row>
    <row r="34" spans="1:27" ht="12.75" customHeight="1" x14ac:dyDescent="0.2">
      <c r="A34" s="7"/>
      <c r="C34" s="108"/>
      <c r="D34" s="109"/>
      <c r="E34" s="109"/>
      <c r="F34" s="109"/>
      <c r="G34" s="110"/>
      <c r="I34" s="6"/>
      <c r="J34" s="13" t="s">
        <v>42</v>
      </c>
      <c r="L34" s="112"/>
      <c r="M34" s="112"/>
      <c r="N34" s="112"/>
      <c r="O34" s="112"/>
      <c r="P34" s="112"/>
      <c r="R34" s="8">
        <f t="shared" si="11"/>
        <v>0</v>
      </c>
      <c r="S34" s="8">
        <f t="shared" si="12"/>
        <v>0</v>
      </c>
      <c r="T34" s="8">
        <f t="shared" si="13"/>
        <v>0</v>
      </c>
      <c r="U34" s="8">
        <f t="shared" si="14"/>
        <v>0</v>
      </c>
      <c r="V34" s="8">
        <f t="shared" si="15"/>
        <v>0</v>
      </c>
    </row>
    <row r="35" spans="1:27" ht="12.75" customHeight="1" x14ac:dyDescent="0.2">
      <c r="A35" s="7"/>
      <c r="C35" s="108"/>
      <c r="D35" s="109"/>
      <c r="E35" s="109"/>
      <c r="F35" s="109"/>
      <c r="G35" s="110"/>
      <c r="I35" s="6"/>
      <c r="J35" s="13" t="s">
        <v>42</v>
      </c>
      <c r="L35" s="112"/>
      <c r="M35" s="112"/>
      <c r="N35" s="112"/>
      <c r="O35" s="112"/>
      <c r="P35" s="112"/>
      <c r="R35" s="8">
        <f t="shared" si="11"/>
        <v>0</v>
      </c>
      <c r="S35" s="8">
        <f t="shared" si="12"/>
        <v>0</v>
      </c>
      <c r="T35" s="8">
        <f t="shared" si="13"/>
        <v>0</v>
      </c>
      <c r="U35" s="8">
        <f t="shared" si="14"/>
        <v>0</v>
      </c>
      <c r="V35" s="8">
        <f t="shared" si="15"/>
        <v>0</v>
      </c>
    </row>
    <row r="36" spans="1:27" ht="12.75" customHeight="1" x14ac:dyDescent="0.2">
      <c r="A36" s="7"/>
      <c r="C36" s="108"/>
      <c r="D36" s="109"/>
      <c r="E36" s="109"/>
      <c r="F36" s="109"/>
      <c r="G36" s="110"/>
      <c r="I36" s="6"/>
      <c r="J36" s="13" t="s">
        <v>42</v>
      </c>
      <c r="L36" s="112"/>
      <c r="M36" s="112"/>
      <c r="N36" s="112"/>
      <c r="O36" s="112"/>
      <c r="P36" s="112"/>
      <c r="R36" s="8">
        <f t="shared" si="11"/>
        <v>0</v>
      </c>
      <c r="S36" s="8">
        <f t="shared" si="12"/>
        <v>0</v>
      </c>
      <c r="T36" s="8">
        <f t="shared" si="13"/>
        <v>0</v>
      </c>
      <c r="U36" s="8">
        <f t="shared" si="14"/>
        <v>0</v>
      </c>
      <c r="V36" s="8">
        <f t="shared" si="15"/>
        <v>0</v>
      </c>
    </row>
    <row r="37" spans="1:27" ht="12.75" customHeight="1" x14ac:dyDescent="0.2">
      <c r="A37" s="7"/>
      <c r="C37" s="108"/>
      <c r="D37" s="109"/>
      <c r="E37" s="109"/>
      <c r="F37" s="109"/>
      <c r="G37" s="110"/>
      <c r="I37" s="6"/>
      <c r="J37" s="13" t="s">
        <v>42</v>
      </c>
      <c r="L37" s="112"/>
      <c r="M37" s="112"/>
      <c r="N37" s="112"/>
      <c r="O37" s="112"/>
      <c r="P37" s="112"/>
      <c r="R37" s="8">
        <f t="shared" si="11"/>
        <v>0</v>
      </c>
      <c r="S37" s="8">
        <f t="shared" si="12"/>
        <v>0</v>
      </c>
      <c r="T37" s="8">
        <f t="shared" si="13"/>
        <v>0</v>
      </c>
      <c r="U37" s="8">
        <f t="shared" si="14"/>
        <v>0</v>
      </c>
      <c r="V37" s="8">
        <f t="shared" si="15"/>
        <v>0</v>
      </c>
    </row>
    <row r="38" spans="1:27" ht="12.75" customHeight="1" x14ac:dyDescent="0.2">
      <c r="A38" s="7"/>
      <c r="C38" s="108"/>
      <c r="D38" s="109"/>
      <c r="E38" s="109"/>
      <c r="F38" s="109"/>
      <c r="G38" s="110"/>
      <c r="I38" s="6"/>
      <c r="J38" s="13" t="s">
        <v>42</v>
      </c>
      <c r="L38" s="112"/>
      <c r="M38" s="112"/>
      <c r="N38" s="112"/>
      <c r="O38" s="112"/>
      <c r="P38" s="112"/>
      <c r="R38" s="8">
        <f t="shared" si="11"/>
        <v>0</v>
      </c>
      <c r="S38" s="8">
        <f t="shared" si="12"/>
        <v>0</v>
      </c>
      <c r="T38" s="8">
        <f t="shared" si="13"/>
        <v>0</v>
      </c>
      <c r="U38" s="8">
        <f t="shared" si="14"/>
        <v>0</v>
      </c>
      <c r="V38" s="8">
        <f t="shared" si="15"/>
        <v>0</v>
      </c>
    </row>
    <row r="39" spans="1:27" ht="12.75" customHeight="1" x14ac:dyDescent="0.2">
      <c r="A39" s="7"/>
      <c r="C39" s="108"/>
      <c r="D39" s="109"/>
      <c r="E39" s="109"/>
      <c r="F39" s="109"/>
      <c r="G39" s="110"/>
      <c r="I39" s="6"/>
      <c r="J39" s="13" t="s">
        <v>42</v>
      </c>
      <c r="L39" s="112"/>
      <c r="M39" s="112"/>
      <c r="N39" s="112"/>
      <c r="O39" s="112"/>
      <c r="P39" s="112"/>
      <c r="R39" s="8">
        <f t="shared" si="11"/>
        <v>0</v>
      </c>
      <c r="S39" s="8">
        <f t="shared" si="12"/>
        <v>0</v>
      </c>
      <c r="T39" s="8">
        <f t="shared" si="13"/>
        <v>0</v>
      </c>
      <c r="U39" s="8">
        <f t="shared" si="14"/>
        <v>0</v>
      </c>
      <c r="V39" s="8">
        <f t="shared" si="15"/>
        <v>0</v>
      </c>
    </row>
    <row r="40" spans="1:27" ht="12.75" customHeight="1" x14ac:dyDescent="0.2">
      <c r="A40" s="7"/>
      <c r="C40" s="108"/>
      <c r="D40" s="109"/>
      <c r="E40" s="109"/>
      <c r="F40" s="109"/>
      <c r="G40" s="110"/>
      <c r="I40" s="6"/>
      <c r="J40" s="13" t="s">
        <v>42</v>
      </c>
      <c r="L40" s="112"/>
      <c r="M40" s="112"/>
      <c r="N40" s="112"/>
      <c r="O40" s="112"/>
      <c r="P40" s="112"/>
      <c r="R40" s="8">
        <f t="shared" si="11"/>
        <v>0</v>
      </c>
      <c r="S40" s="8">
        <f t="shared" si="12"/>
        <v>0</v>
      </c>
      <c r="T40" s="8">
        <f t="shared" si="13"/>
        <v>0</v>
      </c>
      <c r="U40" s="8">
        <f t="shared" si="14"/>
        <v>0</v>
      </c>
      <c r="V40" s="8">
        <f t="shared" si="15"/>
        <v>0</v>
      </c>
    </row>
    <row r="41" spans="1:27" ht="12.75" customHeight="1" x14ac:dyDescent="0.25">
      <c r="H41" s="3"/>
      <c r="K41" s="3"/>
      <c r="Q41" s="3"/>
      <c r="AA41"/>
    </row>
    <row r="42" spans="1:27" ht="12.75" customHeight="1" x14ac:dyDescent="0.25">
      <c r="H42" s="3"/>
      <c r="K42" s="3"/>
      <c r="Q42" s="3"/>
      <c r="AA42"/>
    </row>
    <row r="43" spans="1:27" ht="12.75" customHeight="1" x14ac:dyDescent="0.25">
      <c r="C43" s="5" t="s">
        <v>13</v>
      </c>
      <c r="D43" s="7"/>
      <c r="AA43"/>
    </row>
    <row r="44" spans="1:27" ht="12.75" customHeight="1" x14ac:dyDescent="0.2">
      <c r="C44" s="28" t="s">
        <v>2</v>
      </c>
      <c r="D44" s="28"/>
      <c r="E44" s="28" t="s">
        <v>5</v>
      </c>
      <c r="F44" s="28"/>
      <c r="G44" s="28" t="s">
        <v>69</v>
      </c>
      <c r="H44" s="28"/>
      <c r="I44" s="28"/>
      <c r="J44" s="29"/>
      <c r="L44" s="28"/>
      <c r="M44" s="28"/>
      <c r="N44" s="28"/>
      <c r="O44" s="28"/>
      <c r="P44" s="28"/>
      <c r="R44" s="30">
        <f>SUMIFS(R$10:R$40,$F$10:$F$40,$C44,$E$10:$E$40,$E44,$G$10:$G$40,$G44)</f>
        <v>580000</v>
      </c>
      <c r="S44" s="30">
        <f t="shared" ref="S44:V55" si="16">SUMIFS(S$10:S$40,$F$10:$F$40,$C44,$E$10:$E$40,$E44,$G$10:$G$40,$G44)</f>
        <v>360000</v>
      </c>
      <c r="T44" s="30">
        <f t="shared" si="16"/>
        <v>450000</v>
      </c>
      <c r="U44" s="30">
        <f t="shared" si="16"/>
        <v>0</v>
      </c>
      <c r="V44" s="30">
        <f t="shared" si="16"/>
        <v>0</v>
      </c>
    </row>
    <row r="45" spans="1:27" ht="12.75" customHeight="1" x14ac:dyDescent="0.2">
      <c r="C45" s="4" t="s">
        <v>2</v>
      </c>
      <c r="D45" s="4"/>
      <c r="E45" s="4" t="s">
        <v>5</v>
      </c>
      <c r="F45" s="4"/>
      <c r="G45" s="4" t="s">
        <v>70</v>
      </c>
      <c r="H45" s="4"/>
      <c r="I45" s="4"/>
      <c r="J45" s="13"/>
      <c r="L45" s="4"/>
      <c r="M45" s="4"/>
      <c r="N45" s="4"/>
      <c r="O45" s="4"/>
      <c r="P45" s="4"/>
      <c r="R45" s="9">
        <f t="shared" ref="R45:R55" si="17">SUMIFS(R$10:R$40,$F$10:$F$40,$C45,$E$10:$E$40,$E45,$G$10:$G$40,$G45)</f>
        <v>6598294.7525636796</v>
      </c>
      <c r="S45" s="9">
        <f t="shared" si="16"/>
        <v>6598294.7525636796</v>
      </c>
      <c r="T45" s="9">
        <f t="shared" si="16"/>
        <v>6598294.7525636796</v>
      </c>
      <c r="U45" s="9">
        <f t="shared" si="16"/>
        <v>6598294.7525636796</v>
      </c>
      <c r="V45" s="9">
        <f t="shared" si="16"/>
        <v>6598294.7525636796</v>
      </c>
    </row>
    <row r="46" spans="1:27" ht="12.75" customHeight="1" x14ac:dyDescent="0.2">
      <c r="C46" s="4" t="s">
        <v>2</v>
      </c>
      <c r="D46" s="4"/>
      <c r="E46" s="4" t="s">
        <v>5</v>
      </c>
      <c r="F46" s="4"/>
      <c r="G46" s="4" t="s">
        <v>71</v>
      </c>
      <c r="H46" s="4"/>
      <c r="I46" s="4"/>
      <c r="J46" s="13"/>
      <c r="L46" s="4"/>
      <c r="M46" s="4"/>
      <c r="N46" s="4"/>
      <c r="O46" s="4"/>
      <c r="P46" s="4"/>
      <c r="R46" s="9">
        <f t="shared" si="17"/>
        <v>858566.87116564414</v>
      </c>
      <c r="S46" s="9">
        <f t="shared" si="16"/>
        <v>858566.87116564414</v>
      </c>
      <c r="T46" s="9">
        <f t="shared" si="16"/>
        <v>858566.87116564414</v>
      </c>
      <c r="U46" s="9">
        <f t="shared" si="16"/>
        <v>858566.87116564414</v>
      </c>
      <c r="V46" s="9">
        <f t="shared" si="16"/>
        <v>858566.87116564414</v>
      </c>
    </row>
    <row r="47" spans="1:27" ht="12.75" customHeight="1" x14ac:dyDescent="0.2">
      <c r="C47" s="4" t="s">
        <v>2</v>
      </c>
      <c r="D47" s="4"/>
      <c r="E47" s="4" t="s">
        <v>5</v>
      </c>
      <c r="F47" s="4"/>
      <c r="G47" s="4" t="s">
        <v>72</v>
      </c>
      <c r="H47" s="4"/>
      <c r="I47" s="4"/>
      <c r="J47" s="13"/>
      <c r="L47" s="4"/>
      <c r="M47" s="4"/>
      <c r="N47" s="4"/>
      <c r="O47" s="4"/>
      <c r="P47" s="4"/>
      <c r="R47" s="9">
        <f t="shared" si="17"/>
        <v>1352040</v>
      </c>
      <c r="S47" s="9">
        <f t="shared" si="16"/>
        <v>1352040</v>
      </c>
      <c r="T47" s="9">
        <f t="shared" si="16"/>
        <v>1352040</v>
      </c>
      <c r="U47" s="9">
        <f t="shared" si="16"/>
        <v>1352040</v>
      </c>
      <c r="V47" s="9">
        <f t="shared" si="16"/>
        <v>1352040</v>
      </c>
    </row>
    <row r="48" spans="1:27" ht="12.75" customHeight="1" x14ac:dyDescent="0.2">
      <c r="C48" s="4" t="s">
        <v>1</v>
      </c>
      <c r="D48" s="4"/>
      <c r="E48" s="4" t="s">
        <v>5</v>
      </c>
      <c r="F48" s="4"/>
      <c r="G48" s="4" t="s">
        <v>69</v>
      </c>
      <c r="H48" s="4"/>
      <c r="I48" s="4"/>
      <c r="J48" s="13"/>
      <c r="L48" s="4"/>
      <c r="M48" s="4"/>
      <c r="N48" s="4"/>
      <c r="O48" s="4"/>
      <c r="P48" s="4"/>
      <c r="R48" s="9">
        <f t="shared" si="17"/>
        <v>4390000</v>
      </c>
      <c r="S48" s="9">
        <f t="shared" si="16"/>
        <v>1980000</v>
      </c>
      <c r="T48" s="9">
        <f t="shared" si="16"/>
        <v>300000</v>
      </c>
      <c r="U48" s="9">
        <f t="shared" si="16"/>
        <v>0</v>
      </c>
      <c r="V48" s="9">
        <f t="shared" si="16"/>
        <v>0</v>
      </c>
    </row>
    <row r="49" spans="3:24" ht="12.75" customHeight="1" x14ac:dyDescent="0.2">
      <c r="C49" s="4" t="s">
        <v>1</v>
      </c>
      <c r="D49" s="4"/>
      <c r="E49" s="4" t="s">
        <v>5</v>
      </c>
      <c r="F49" s="4"/>
      <c r="G49" s="4" t="s">
        <v>70</v>
      </c>
      <c r="H49" s="4"/>
      <c r="I49" s="4"/>
      <c r="J49" s="13"/>
      <c r="L49" s="4"/>
      <c r="M49" s="4"/>
      <c r="N49" s="4"/>
      <c r="O49" s="4"/>
      <c r="P49" s="4"/>
      <c r="R49" s="9">
        <f t="shared" si="17"/>
        <v>7887286.2474363213</v>
      </c>
      <c r="S49" s="9">
        <f t="shared" si="16"/>
        <v>7887286.2474363213</v>
      </c>
      <c r="T49" s="9">
        <f t="shared" si="16"/>
        <v>7887286.2474363213</v>
      </c>
      <c r="U49" s="9">
        <f t="shared" si="16"/>
        <v>7887286.2474363213</v>
      </c>
      <c r="V49" s="9">
        <f t="shared" si="16"/>
        <v>7887286.2474363213</v>
      </c>
    </row>
    <row r="50" spans="3:24" ht="12.75" customHeight="1" x14ac:dyDescent="0.2">
      <c r="C50" s="4" t="s">
        <v>1</v>
      </c>
      <c r="D50" s="4"/>
      <c r="E50" s="4" t="s">
        <v>5</v>
      </c>
      <c r="F50" s="4"/>
      <c r="G50" s="4" t="s">
        <v>71</v>
      </c>
      <c r="H50" s="4"/>
      <c r="I50" s="4"/>
      <c r="J50" s="13"/>
      <c r="L50" s="4"/>
      <c r="M50" s="4"/>
      <c r="N50" s="4"/>
      <c r="O50" s="4"/>
      <c r="P50" s="4"/>
      <c r="R50" s="9">
        <f t="shared" si="17"/>
        <v>413673.12883435586</v>
      </c>
      <c r="S50" s="9">
        <f t="shared" si="16"/>
        <v>413673.12883435586</v>
      </c>
      <c r="T50" s="9">
        <f t="shared" si="16"/>
        <v>413673.12883435586</v>
      </c>
      <c r="U50" s="9">
        <f t="shared" si="16"/>
        <v>413673.12883435586</v>
      </c>
      <c r="V50" s="9">
        <f t="shared" si="16"/>
        <v>413673.12883435586</v>
      </c>
    </row>
    <row r="51" spans="3:24" ht="12.75" customHeight="1" x14ac:dyDescent="0.2">
      <c r="C51" s="4" t="s">
        <v>1</v>
      </c>
      <c r="D51" s="4"/>
      <c r="E51" s="4" t="s">
        <v>5</v>
      </c>
      <c r="F51" s="4"/>
      <c r="G51" s="4" t="s">
        <v>72</v>
      </c>
      <c r="H51" s="4"/>
      <c r="I51" s="4"/>
      <c r="J51" s="13"/>
      <c r="L51" s="4"/>
      <c r="M51" s="4"/>
      <c r="N51" s="4"/>
      <c r="O51" s="4"/>
      <c r="P51" s="4"/>
      <c r="R51" s="9">
        <f t="shared" si="17"/>
        <v>1445330</v>
      </c>
      <c r="S51" s="9">
        <f t="shared" si="16"/>
        <v>1445330</v>
      </c>
      <c r="T51" s="9">
        <f t="shared" si="16"/>
        <v>1445330</v>
      </c>
      <c r="U51" s="9">
        <f t="shared" si="16"/>
        <v>1445330</v>
      </c>
      <c r="V51" s="9">
        <f t="shared" si="16"/>
        <v>1445330</v>
      </c>
    </row>
    <row r="52" spans="3:24" ht="12.75" customHeight="1" x14ac:dyDescent="0.2">
      <c r="C52" s="4" t="s">
        <v>4</v>
      </c>
      <c r="D52" s="4"/>
      <c r="E52" s="4" t="s">
        <v>5</v>
      </c>
      <c r="F52" s="4"/>
      <c r="G52" s="4" t="s">
        <v>69</v>
      </c>
      <c r="H52" s="4"/>
      <c r="I52" s="4"/>
      <c r="J52" s="13"/>
      <c r="L52" s="4"/>
      <c r="M52" s="4"/>
      <c r="N52" s="4"/>
      <c r="O52" s="4"/>
      <c r="P52" s="4"/>
      <c r="R52" s="9">
        <f t="shared" si="17"/>
        <v>120000</v>
      </c>
      <c r="S52" s="9">
        <f t="shared" si="16"/>
        <v>0</v>
      </c>
      <c r="T52" s="9">
        <f t="shared" si="16"/>
        <v>120000</v>
      </c>
      <c r="U52" s="9">
        <f t="shared" si="16"/>
        <v>0</v>
      </c>
      <c r="V52" s="9">
        <f t="shared" si="16"/>
        <v>0</v>
      </c>
    </row>
    <row r="53" spans="3:24" ht="12.75" customHeight="1" x14ac:dyDescent="0.2">
      <c r="C53" s="4" t="s">
        <v>4</v>
      </c>
      <c r="D53" s="4"/>
      <c r="E53" s="4" t="s">
        <v>5</v>
      </c>
      <c r="F53" s="4"/>
      <c r="G53" s="4" t="s">
        <v>70</v>
      </c>
      <c r="H53" s="4"/>
      <c r="I53" s="4"/>
      <c r="J53" s="13"/>
      <c r="L53" s="4"/>
      <c r="M53" s="4"/>
      <c r="N53" s="4"/>
      <c r="O53" s="4"/>
      <c r="P53" s="4"/>
      <c r="R53" s="9">
        <f t="shared" si="17"/>
        <v>0</v>
      </c>
      <c r="S53" s="9">
        <f t="shared" si="16"/>
        <v>0</v>
      </c>
      <c r="T53" s="9">
        <f t="shared" si="16"/>
        <v>0</v>
      </c>
      <c r="U53" s="9">
        <f t="shared" si="16"/>
        <v>0</v>
      </c>
      <c r="V53" s="9">
        <f t="shared" si="16"/>
        <v>0</v>
      </c>
    </row>
    <row r="54" spans="3:24" ht="12.75" customHeight="1" x14ac:dyDescent="0.2">
      <c r="C54" s="4" t="s">
        <v>4</v>
      </c>
      <c r="D54" s="4"/>
      <c r="E54" s="4" t="s">
        <v>5</v>
      </c>
      <c r="F54" s="4"/>
      <c r="G54" s="4" t="s">
        <v>71</v>
      </c>
      <c r="H54" s="4"/>
      <c r="I54" s="4"/>
      <c r="J54" s="13"/>
      <c r="L54" s="4"/>
      <c r="M54" s="4"/>
      <c r="N54" s="4"/>
      <c r="O54" s="4"/>
      <c r="P54" s="4"/>
      <c r="R54" s="9">
        <f t="shared" si="17"/>
        <v>0</v>
      </c>
      <c r="S54" s="9">
        <f t="shared" si="16"/>
        <v>0</v>
      </c>
      <c r="T54" s="9">
        <f t="shared" si="16"/>
        <v>0</v>
      </c>
      <c r="U54" s="9">
        <f t="shared" si="16"/>
        <v>0</v>
      </c>
      <c r="V54" s="9">
        <f t="shared" si="16"/>
        <v>0</v>
      </c>
    </row>
    <row r="55" spans="3:24" ht="12.75" customHeight="1" x14ac:dyDescent="0.2">
      <c r="C55" s="4" t="s">
        <v>4</v>
      </c>
      <c r="D55" s="4"/>
      <c r="E55" s="4" t="s">
        <v>5</v>
      </c>
      <c r="F55" s="7"/>
      <c r="G55" s="4" t="s">
        <v>72</v>
      </c>
      <c r="H55" s="7"/>
      <c r="I55" s="7"/>
      <c r="J55" s="31"/>
      <c r="L55" s="7"/>
      <c r="M55" s="7"/>
      <c r="N55" s="7"/>
      <c r="O55" s="7"/>
      <c r="P55" s="7"/>
      <c r="R55" s="9">
        <f t="shared" si="17"/>
        <v>0</v>
      </c>
      <c r="S55" s="9">
        <f t="shared" si="16"/>
        <v>0</v>
      </c>
      <c r="T55" s="9">
        <f t="shared" si="16"/>
        <v>0</v>
      </c>
      <c r="U55" s="9">
        <f t="shared" si="16"/>
        <v>0</v>
      </c>
      <c r="V55" s="9">
        <f t="shared" si="16"/>
        <v>0</v>
      </c>
    </row>
    <row r="56" spans="3:24" ht="12.75" customHeight="1" x14ac:dyDescent="0.2">
      <c r="C56" s="10" t="str">
        <f>"Total Expenditure ($ "&amp;Assumptions!$B$8&amp;")"</f>
        <v>Total Expenditure ($ 2018)</v>
      </c>
      <c r="D56" s="10"/>
      <c r="E56" s="10"/>
      <c r="F56" s="10"/>
      <c r="G56" s="10"/>
      <c r="H56" s="10"/>
      <c r="I56" s="10"/>
      <c r="J56" s="14"/>
      <c r="L56" s="10"/>
      <c r="M56" s="10"/>
      <c r="N56" s="10"/>
      <c r="O56" s="10"/>
      <c r="P56" s="10"/>
      <c r="R56" s="11">
        <f>SUM(R44:R55)</f>
        <v>23645191</v>
      </c>
      <c r="S56" s="11">
        <f t="shared" ref="S56:V56" si="18">SUM(S44:S55)</f>
        <v>20895191</v>
      </c>
      <c r="T56" s="11">
        <f t="shared" si="18"/>
        <v>19425191</v>
      </c>
      <c r="U56" s="11">
        <f t="shared" si="18"/>
        <v>18555191</v>
      </c>
      <c r="V56" s="11">
        <f t="shared" si="18"/>
        <v>18555191</v>
      </c>
      <c r="W56" s="44"/>
    </row>
    <row r="57" spans="3:24" ht="12.75" customHeight="1" x14ac:dyDescent="0.2">
      <c r="C57" s="28" t="str">
        <f>"Total Expenditure ($ "&amp;Assumptions!B17&amp;")"</f>
        <v>Total Expenditure ($ 2020/21)</v>
      </c>
      <c r="D57" s="28"/>
      <c r="E57" s="28"/>
      <c r="F57" s="28"/>
      <c r="G57" s="28"/>
      <c r="H57" s="28"/>
      <c r="I57" s="28"/>
      <c r="J57" s="29"/>
      <c r="L57" s="28"/>
      <c r="M57" s="28"/>
      <c r="N57" s="28"/>
      <c r="O57" s="28"/>
      <c r="P57" s="28"/>
      <c r="R57" s="45">
        <f>R56*Assumptions!$B$18</f>
        <v>25041279.002623823</v>
      </c>
      <c r="S57" s="45">
        <f>S56*Assumptions!$B$18</f>
        <v>22128910.172225475</v>
      </c>
      <c r="T57" s="45">
        <f>T56*Assumptions!$B$18</f>
        <v>20572116.651976179</v>
      </c>
      <c r="U57" s="45">
        <f>U56*Assumptions!$B$18</f>
        <v>19650749.058359247</v>
      </c>
      <c r="V57" s="45">
        <f>V56*Assumptions!$B$18</f>
        <v>19650749.058359247</v>
      </c>
      <c r="W57" s="44"/>
    </row>
    <row r="58" spans="3:24" x14ac:dyDescent="0.2">
      <c r="C58" s="101" t="s">
        <v>12</v>
      </c>
      <c r="D58" s="101"/>
      <c r="E58" s="101"/>
      <c r="F58" s="101"/>
      <c r="G58" s="101"/>
      <c r="H58" s="101"/>
      <c r="I58" s="101"/>
      <c r="J58" s="101"/>
      <c r="L58" s="101"/>
      <c r="M58" s="101"/>
      <c r="N58" s="101"/>
      <c r="O58" s="101"/>
      <c r="P58" s="101"/>
      <c r="R58" s="102">
        <f>R56-SUM(R10:R40)</f>
        <v>0</v>
      </c>
      <c r="S58" s="102">
        <f>S56-SUM(S10:S40)</f>
        <v>0</v>
      </c>
      <c r="T58" s="102">
        <f>T56-SUM(T10:T40)</f>
        <v>0</v>
      </c>
      <c r="U58" s="102">
        <f>U56-SUM(U10:U40)</f>
        <v>0</v>
      </c>
      <c r="V58" s="102">
        <f>V56-SUM(V10:V40)</f>
        <v>0</v>
      </c>
      <c r="X58" s="102">
        <f>SUM(R58:V58)</f>
        <v>0</v>
      </c>
    </row>
    <row r="59" spans="3:24" ht="12.75" customHeight="1" x14ac:dyDescent="0.2"/>
    <row r="60" spans="3:24" ht="12.75" customHeight="1" x14ac:dyDescent="0.2">
      <c r="F60" s="40"/>
      <c r="G60" s="40"/>
    </row>
    <row r="61" spans="3:24" ht="12.75" customHeight="1" x14ac:dyDescent="0.2"/>
    <row r="62" spans="3:24" ht="12.75" customHeight="1" x14ac:dyDescent="0.2">
      <c r="D62" s="4"/>
      <c r="E62" s="4"/>
      <c r="F62" s="4"/>
      <c r="G62" s="4"/>
      <c r="H62" s="4"/>
      <c r="I62" s="4"/>
      <c r="J62" s="13"/>
    </row>
    <row r="63" spans="3:24" ht="12.75" customHeight="1" x14ac:dyDescent="0.2">
      <c r="C63" s="5" t="s">
        <v>83</v>
      </c>
      <c r="D63" s="5"/>
      <c r="E63" s="165"/>
      <c r="F63" s="165"/>
      <c r="G63" s="165"/>
      <c r="H63" s="165"/>
      <c r="I63" s="165"/>
      <c r="J63" s="166"/>
      <c r="L63" s="165"/>
      <c r="M63" s="165"/>
      <c r="N63" s="165"/>
      <c r="O63" s="165"/>
      <c r="P63" s="165"/>
      <c r="R63" s="165"/>
      <c r="S63" s="165"/>
      <c r="T63" s="165"/>
      <c r="U63" s="165"/>
      <c r="V63" s="165"/>
    </row>
    <row r="64" spans="3:24" ht="12.75" customHeight="1" x14ac:dyDescent="0.2">
      <c r="C64" s="100" t="s">
        <v>2</v>
      </c>
      <c r="D64" s="100" t="s">
        <v>80</v>
      </c>
      <c r="E64" s="100" t="s">
        <v>82</v>
      </c>
      <c r="F64" s="169" t="str">
        <f t="shared" ref="F64:F66" si="19">C64&amp;D64</f>
        <v>LabourCP</v>
      </c>
      <c r="R64" s="164">
        <f>((INDEX(Assumptions!$E$54:$E$58,MATCH($G44,Assumptions!$A$54:$A$58,0))*R44)+(INDEX(Assumptions!$E$54:$E$58,MATCH($G45,Assumptions!$A$54:$A$58,0))*R45)+(INDEX(Assumptions!$E$54:$E$58,MATCH($G46,Assumptions!$A$54:$A$58,0))*R46)+(INDEX(Assumptions!$E$54:$E$58,MATCH($G47,Assumptions!$A$54:$A$58,0))*R47))*Assumptions!$B$18</f>
        <v>4991668.9683546554</v>
      </c>
      <c r="S64" s="164">
        <f>((INDEX(Assumptions!$E$54:$E$58,MATCH($G44,Assumptions!$A$54:$A$58,0))*S44)+(INDEX(Assumptions!$E$54:$E$58,MATCH($G45,Assumptions!$A$54:$A$58,0))*S45)+(INDEX(Assumptions!$E$54:$E$58,MATCH($G46,Assumptions!$A$54:$A$58,0))*S46)+(INDEX(Assumptions!$E$54:$E$58,MATCH($G47,Assumptions!$A$54:$A$58,0))*S47))*Assumptions!$B$18</f>
        <v>4921772.1164250951</v>
      </c>
      <c r="T64" s="164">
        <f>((INDEX(Assumptions!$E$54:$E$58,MATCH($G44,Assumptions!$A$54:$A$58,0))*T44)+(INDEX(Assumptions!$E$54:$E$58,MATCH($G45,Assumptions!$A$54:$A$58,0))*T45)+(INDEX(Assumptions!$E$54:$E$58,MATCH($G46,Assumptions!$A$54:$A$58,0))*T46)+(INDEX(Assumptions!$E$54:$E$58,MATCH($G47,Assumptions!$A$54:$A$58,0))*T47))*Assumptions!$B$18</f>
        <v>4950366.2831235509</v>
      </c>
      <c r="U64" s="164">
        <f>((INDEX(Assumptions!$E$54:$E$58,MATCH($G44,Assumptions!$A$54:$A$58,0))*U44)+(INDEX(Assumptions!$E$54:$E$58,MATCH($G45,Assumptions!$A$54:$A$58,0))*U45)+(INDEX(Assumptions!$E$54:$E$58,MATCH($G46,Assumptions!$A$54:$A$58,0))*U46)+(INDEX(Assumptions!$E$54:$E$58,MATCH($G47,Assumptions!$A$54:$A$58,0))*U47))*Assumptions!$B$18</f>
        <v>4807395.4496312691</v>
      </c>
      <c r="V64" s="164">
        <f>((INDEX(Assumptions!$E$54:$E$58,MATCH($G44,Assumptions!$A$54:$A$58,0))*V44)+(INDEX(Assumptions!$E$54:$E$58,MATCH($G45,Assumptions!$A$54:$A$58,0))*V45)+(INDEX(Assumptions!$E$54:$E$58,MATCH($G46,Assumptions!$A$54:$A$58,0))*V46)+(INDEX(Assumptions!$E$54:$E$58,MATCH($G47,Assumptions!$A$54:$A$58,0))*V47))*Assumptions!$B$18</f>
        <v>4807395.4496312691</v>
      </c>
      <c r="X64" s="163"/>
    </row>
    <row r="65" spans="3:24" ht="12.75" customHeight="1" x14ac:dyDescent="0.2">
      <c r="C65" s="100" t="s">
        <v>1</v>
      </c>
      <c r="D65" s="100" t="s">
        <v>80</v>
      </c>
      <c r="E65" s="100" t="s">
        <v>82</v>
      </c>
      <c r="F65" s="169" t="str">
        <f t="shared" si="19"/>
        <v>MaterialsCP</v>
      </c>
      <c r="R65" s="164">
        <f>((INDEX(Assumptions!$E$54:$E$58,MATCH($G48,Assumptions!$A$54:$A$58,0))*R48)+(INDEX(Assumptions!$E$54:$E$58,MATCH($G49,Assumptions!$A$54:$A$58,0))*R49)+(INDEX(Assumptions!$E$54:$E$58,MATCH($G50,Assumptions!$A$54:$A$58,0))*R50)+(INDEX(Assumptions!$E$54:$E$58,MATCH($G51,Assumptions!$A$54:$A$58,0))*R51))*Assumptions!$B$18</f>
        <v>6541155.0129194502</v>
      </c>
      <c r="S65" s="164">
        <f>((INDEX(Assumptions!$E$54:$E$58,MATCH($G48,Assumptions!$A$54:$A$58,0))*S48)+(INDEX(Assumptions!$E$54:$E$58,MATCH($G49,Assumptions!$A$54:$A$58,0))*S49)+(INDEX(Assumptions!$E$54:$E$58,MATCH($G50,Assumptions!$A$54:$A$58,0))*S50)+(INDEX(Assumptions!$E$54:$E$58,MATCH($G51,Assumptions!$A$54:$A$58,0))*S51))*Assumptions!$B$18</f>
        <v>5775466.771327449</v>
      </c>
      <c r="T65" s="164">
        <f>((INDEX(Assumptions!$E$54:$E$58,MATCH($G48,Assumptions!$A$54:$A$58,0))*T48)+(INDEX(Assumptions!$E$54:$E$58,MATCH($G49,Assumptions!$A$54:$A$58,0))*T49)+(INDEX(Assumptions!$E$54:$E$58,MATCH($G50,Assumptions!$A$54:$A$58,0))*T50)+(INDEX(Assumptions!$E$54:$E$58,MATCH($G51,Assumptions!$A$54:$A$58,0))*T51))*Assumptions!$B$18</f>
        <v>5241708.9929562612</v>
      </c>
      <c r="U65" s="164">
        <f>((INDEX(Assumptions!$E$54:$E$58,MATCH($G48,Assumptions!$A$54:$A$58,0))*U48)+(INDEX(Assumptions!$E$54:$E$58,MATCH($G49,Assumptions!$A$54:$A$58,0))*U49)+(INDEX(Assumptions!$E$54:$E$58,MATCH($G50,Assumptions!$A$54:$A$58,0))*U50)+(INDEX(Assumptions!$E$54:$E$58,MATCH($G51,Assumptions!$A$54:$A$58,0))*U51))*Assumptions!$B$18</f>
        <v>5146395.1039614053</v>
      </c>
      <c r="V65" s="164">
        <f>((INDEX(Assumptions!$E$54:$E$58,MATCH($G48,Assumptions!$A$54:$A$58,0))*V48)+(INDEX(Assumptions!$E$54:$E$58,MATCH($G49,Assumptions!$A$54:$A$58,0))*V49)+(INDEX(Assumptions!$E$54:$E$58,MATCH($G50,Assumptions!$A$54:$A$58,0))*V50)+(INDEX(Assumptions!$E$54:$E$58,MATCH($G51,Assumptions!$A$54:$A$58,0))*V51))*Assumptions!$B$18</f>
        <v>5146395.1039614053</v>
      </c>
    </row>
    <row r="66" spans="3:24" x14ac:dyDescent="0.2">
      <c r="C66" s="100" t="s">
        <v>4</v>
      </c>
      <c r="D66" s="100" t="s">
        <v>80</v>
      </c>
      <c r="E66" s="100" t="s">
        <v>82</v>
      </c>
      <c r="F66" s="169" t="str">
        <f t="shared" si="19"/>
        <v>ContractsCP</v>
      </c>
      <c r="R66" s="164">
        <f>((INDEX(Assumptions!$E$54:$E$58,MATCH($G52,Assumptions!$A$54:$A$58,0))*R52)+(INDEX(Assumptions!$E$54:$E$58,MATCH($G53,Assumptions!$A$54:$A$58,0))*R53)+(INDEX(Assumptions!$E$54:$E$58,MATCH($G54,Assumptions!$A$54:$A$58,0))*R54)+(INDEX(Assumptions!$E$54:$E$58,MATCH($G55,Assumptions!$A$54:$A$58,0))*R55))*Assumptions!$B$18</f>
        <v>38125.555597941995</v>
      </c>
      <c r="S66" s="164">
        <f>((INDEX(Assumptions!$E$54:$E$58,MATCH($G52,Assumptions!$A$54:$A$58,0))*S52)+(INDEX(Assumptions!$E$54:$E$58,MATCH($G53,Assumptions!$A$54:$A$58,0))*S53)+(INDEX(Assumptions!$E$54:$E$58,MATCH($G54,Assumptions!$A$54:$A$58,0))*S54)+(INDEX(Assumptions!$E$54:$E$58,MATCH($G55,Assumptions!$A$54:$A$58,0))*S55))*Assumptions!$B$18</f>
        <v>0</v>
      </c>
      <c r="T66" s="164">
        <f>((INDEX(Assumptions!$E$54:$E$58,MATCH($G52,Assumptions!$A$54:$A$58,0))*T52)+(INDEX(Assumptions!$E$54:$E$58,MATCH($G53,Assumptions!$A$54:$A$58,0))*T53)+(INDEX(Assumptions!$E$54:$E$58,MATCH($G54,Assumptions!$A$54:$A$58,0))*T54)+(INDEX(Assumptions!$E$54:$E$58,MATCH($G55,Assumptions!$A$54:$A$58,0))*T55))*Assumptions!$B$18</f>
        <v>38125.555597941995</v>
      </c>
      <c r="U66" s="164">
        <f>((INDEX(Assumptions!$E$54:$E$58,MATCH($G52,Assumptions!$A$54:$A$58,0))*U52)+(INDEX(Assumptions!$E$54:$E$58,MATCH($G53,Assumptions!$A$54:$A$58,0))*U53)+(INDEX(Assumptions!$E$54:$E$58,MATCH($G54,Assumptions!$A$54:$A$58,0))*U54)+(INDEX(Assumptions!$E$54:$E$58,MATCH($G55,Assumptions!$A$54:$A$58,0))*U55))*Assumptions!$B$18</f>
        <v>0</v>
      </c>
      <c r="V66" s="164">
        <f>((INDEX(Assumptions!$E$54:$E$58,MATCH($G52,Assumptions!$A$54:$A$58,0))*V52)+(INDEX(Assumptions!$E$54:$E$58,MATCH($G53,Assumptions!$A$54:$A$58,0))*V53)+(INDEX(Assumptions!$E$54:$E$58,MATCH($G54,Assumptions!$A$54:$A$58,0))*V54)+(INDEX(Assumptions!$E$54:$E$58,MATCH($G55,Assumptions!$A$54:$A$58,0))*V55))*Assumptions!$B$18</f>
        <v>0</v>
      </c>
    </row>
    <row r="67" spans="3:24" x14ac:dyDescent="0.2">
      <c r="C67" s="100" t="s">
        <v>2</v>
      </c>
      <c r="D67" s="100" t="s">
        <v>81</v>
      </c>
      <c r="E67" s="100" t="s">
        <v>82</v>
      </c>
      <c r="F67" s="169" t="str">
        <f>C67&amp;D67</f>
        <v>LabourPAL</v>
      </c>
      <c r="R67" s="164">
        <f>((INDEX(Assumptions!$F$54:$F$58,MATCH($G44,Assumptions!$A$54:$A$58,0))*R44)+(INDEX(Assumptions!$F$54:$F$58,MATCH($G45,Assumptions!$A$54:$A$58,0))*R45)+(INDEX(Assumptions!$F$54:$F$58,MATCH($G46,Assumptions!$A$54:$A$58,0))*R46)+(INDEX(Assumptions!$F$54:$F$58,MATCH($G47,Assumptions!$A$54:$A$58,0))*R47))*Assumptions!$B$18</f>
        <v>4951583.5555092394</v>
      </c>
      <c r="S67" s="164">
        <f>((INDEX(Assumptions!$F$54:$F$58,MATCH($G44,Assumptions!$A$54:$A$58,0))*S44)+(INDEX(Assumptions!$F$54:$F$58,MATCH($G45,Assumptions!$A$54:$A$58,0))*S45)+(INDEX(Assumptions!$F$54:$F$58,MATCH($G46,Assumptions!$A$54:$A$58,0))*S46)+(INDEX(Assumptions!$F$54:$F$58,MATCH($G47,Assumptions!$A$54:$A$58,0))*S47))*Assumptions!$B$18</f>
        <v>4788490.9010069324</v>
      </c>
      <c r="T67" s="164">
        <f>((INDEX(Assumptions!$F$54:$F$58,MATCH($G44,Assumptions!$A$54:$A$58,0))*T44)+(INDEX(Assumptions!$F$54:$F$58,MATCH($G45,Assumptions!$A$54:$A$58,0))*T45)+(INDEX(Assumptions!$F$54:$F$58,MATCH($G46,Assumptions!$A$54:$A$58,0))*T46)+(INDEX(Assumptions!$F$54:$F$58,MATCH($G47,Assumptions!$A$54:$A$58,0))*T47))*Assumptions!$B$18</f>
        <v>4855210.6233033305</v>
      </c>
      <c r="U67" s="164">
        <f>((INDEX(Assumptions!$F$54:$F$58,MATCH($G44,Assumptions!$A$54:$A$58,0))*U44)+(INDEX(Assumptions!$F$54:$F$58,MATCH($G45,Assumptions!$A$54:$A$58,0))*U45)+(INDEX(Assumptions!$F$54:$F$58,MATCH($G46,Assumptions!$A$54:$A$58,0))*U46)+(INDEX(Assumptions!$F$54:$F$58,MATCH($G47,Assumptions!$A$54:$A$58,0))*U47))*Assumptions!$B$18</f>
        <v>4521612.011821338</v>
      </c>
      <c r="V67" s="164">
        <f>((INDEX(Assumptions!$F$54:$F$58,MATCH($G44,Assumptions!$A$54:$A$58,0))*V44)+(INDEX(Assumptions!$F$54:$F$58,MATCH($G45,Assumptions!$A$54:$A$58,0))*V45)+(INDEX(Assumptions!$F$54:$F$58,MATCH($G46,Assumptions!$A$54:$A$58,0))*V46)+(INDEX(Assumptions!$F$54:$F$58,MATCH($G47,Assumptions!$A$54:$A$58,0))*V47))*Assumptions!$B$18</f>
        <v>4521612.011821338</v>
      </c>
    </row>
    <row r="68" spans="3:24" x14ac:dyDescent="0.2">
      <c r="C68" s="100" t="s">
        <v>1</v>
      </c>
      <c r="D68" s="100" t="s">
        <v>81</v>
      </c>
      <c r="E68" s="100" t="s">
        <v>82</v>
      </c>
      <c r="F68" s="169" t="str">
        <f t="shared" ref="F68:F69" si="20">C68&amp;D68</f>
        <v>MaterialsPAL</v>
      </c>
      <c r="R68" s="164">
        <f>((INDEX(Assumptions!$F$54:$F$58,MATCH($G48,Assumptions!$A$54:$A$58,0))*R48)+(INDEX(Assumptions!$F$54:$F$58,MATCH($G49,Assumptions!$A$54:$A$58,0))*R49)+(INDEX(Assumptions!$F$54:$F$58,MATCH($G50,Assumptions!$A$54:$A$58,0))*R50)+(INDEX(Assumptions!$F$54:$F$58,MATCH($G51,Assumptions!$A$54:$A$58,0))*R51))*Assumptions!$B$18</f>
        <v>8429786.2805140074</v>
      </c>
      <c r="S68" s="164">
        <f>((INDEX(Assumptions!$F$54:$F$58,MATCH($G48,Assumptions!$A$54:$A$58,0))*S48)+(INDEX(Assumptions!$F$54:$F$58,MATCH($G49,Assumptions!$A$54:$A$58,0))*S49)+(INDEX(Assumptions!$F$54:$F$58,MATCH($G50,Assumptions!$A$54:$A$58,0))*S50)+(INDEX(Assumptions!$F$54:$F$58,MATCH($G51,Assumptions!$A$54:$A$58,0))*S51))*Assumptions!$B$18</f>
        <v>6643180.3834660025</v>
      </c>
      <c r="T68" s="164">
        <f>((INDEX(Assumptions!$F$54:$F$58,MATCH($G48,Assumptions!$A$54:$A$58,0))*T48)+(INDEX(Assumptions!$F$54:$F$58,MATCH($G49,Assumptions!$A$54:$A$58,0))*T49)+(INDEX(Assumptions!$F$54:$F$58,MATCH($G50,Assumptions!$A$54:$A$58,0))*T50)+(INDEX(Assumptions!$F$54:$F$58,MATCH($G51,Assumptions!$A$54:$A$58,0))*T51))*Assumptions!$B$18</f>
        <v>5397745.5672665639</v>
      </c>
      <c r="U68" s="164">
        <f>((INDEX(Assumptions!$F$54:$F$58,MATCH($G48,Assumptions!$A$54:$A$58,0))*U48)+(INDEX(Assumptions!$F$54:$F$58,MATCH($G49,Assumptions!$A$54:$A$58,0))*U49)+(INDEX(Assumptions!$F$54:$F$58,MATCH($G50,Assumptions!$A$54:$A$58,0))*U50)+(INDEX(Assumptions!$F$54:$F$58,MATCH($G51,Assumptions!$A$54:$A$58,0))*U51))*Assumptions!$B$18</f>
        <v>5175346.4929452362</v>
      </c>
      <c r="V68" s="164">
        <f>((INDEX(Assumptions!$F$54:$F$58,MATCH($G48,Assumptions!$A$54:$A$58,0))*V48)+(INDEX(Assumptions!$F$54:$F$58,MATCH($G49,Assumptions!$A$54:$A$58,0))*V49)+(INDEX(Assumptions!$F$54:$F$58,MATCH($G50,Assumptions!$A$54:$A$58,0))*V50)+(INDEX(Assumptions!$F$54:$F$58,MATCH($G51,Assumptions!$A$54:$A$58,0))*V51))*Assumptions!$B$18</f>
        <v>5175346.4929452362</v>
      </c>
    </row>
    <row r="69" spans="3:24" x14ac:dyDescent="0.2">
      <c r="C69" s="100" t="s">
        <v>4</v>
      </c>
      <c r="D69" s="100" t="s">
        <v>81</v>
      </c>
      <c r="E69" s="100" t="s">
        <v>82</v>
      </c>
      <c r="F69" s="169" t="str">
        <f t="shared" si="20"/>
        <v>ContractsPAL</v>
      </c>
      <c r="R69" s="164">
        <f>((INDEX(Assumptions!$F$54:$F$58,MATCH($G52,Assumptions!$A$54:$A$58,0))*R52)+(INDEX(Assumptions!$F$54:$F$58,MATCH($G53,Assumptions!$A$54:$A$58,0))*R53)+(INDEX(Assumptions!$F$54:$F$58,MATCH($G54,Assumptions!$A$54:$A$58,0))*R54)+(INDEX(Assumptions!$F$54:$F$58,MATCH($G55,Assumptions!$A$54:$A$58,0))*R55))*Assumptions!$B$18</f>
        <v>88959.629728531319</v>
      </c>
      <c r="S69" s="164">
        <f>((INDEX(Assumptions!$F$54:$F$58,MATCH($G52,Assumptions!$A$54:$A$58,0))*S52)+(INDEX(Assumptions!$F$54:$F$58,MATCH($G53,Assumptions!$A$54:$A$58,0))*S53)+(INDEX(Assumptions!$F$54:$F$58,MATCH($G54,Assumptions!$A$54:$A$58,0))*S54)+(INDEX(Assumptions!$F$54:$F$58,MATCH($G55,Assumptions!$A$54:$A$58,0))*S55))*Assumptions!$B$18</f>
        <v>0</v>
      </c>
      <c r="T69" s="164">
        <f>((INDEX(Assumptions!$F$54:$F$58,MATCH($G52,Assumptions!$A$54:$A$58,0))*T52)+(INDEX(Assumptions!$F$54:$F$58,MATCH($G53,Assumptions!$A$54:$A$58,0))*T53)+(INDEX(Assumptions!$F$54:$F$58,MATCH($G54,Assumptions!$A$54:$A$58,0))*T54)+(INDEX(Assumptions!$F$54:$F$58,MATCH($G55,Assumptions!$A$54:$A$58,0))*T55))*Assumptions!$B$18</f>
        <v>88959.629728531319</v>
      </c>
      <c r="U69" s="164">
        <f>((INDEX(Assumptions!$F$54:$F$58,MATCH($G52,Assumptions!$A$54:$A$58,0))*U52)+(INDEX(Assumptions!$F$54:$F$58,MATCH($G53,Assumptions!$A$54:$A$58,0))*U53)+(INDEX(Assumptions!$F$54:$F$58,MATCH($G54,Assumptions!$A$54:$A$58,0))*U54)+(INDEX(Assumptions!$F$54:$F$58,MATCH($G55,Assumptions!$A$54:$A$58,0))*U55))*Assumptions!$B$18</f>
        <v>0</v>
      </c>
      <c r="V69" s="164">
        <f>((INDEX(Assumptions!$F$54:$F$58,MATCH($G52,Assumptions!$A$54:$A$58,0))*V52)+(INDEX(Assumptions!$F$54:$F$58,MATCH($G53,Assumptions!$A$54:$A$58,0))*V53)+(INDEX(Assumptions!$F$54:$F$58,MATCH($G54,Assumptions!$A$54:$A$58,0))*V54)+(INDEX(Assumptions!$F$54:$F$58,MATCH($G55,Assumptions!$A$54:$A$58,0))*V55))*Assumptions!$B$18</f>
        <v>0</v>
      </c>
    </row>
    <row r="70" spans="3:24" x14ac:dyDescent="0.2">
      <c r="C70" s="10" t="str">
        <f>"Total Expenditure ($ "&amp;Assumptions!B17&amp;")"</f>
        <v>Total Expenditure ($ 2020/21)</v>
      </c>
      <c r="D70" s="10"/>
      <c r="E70" s="10"/>
      <c r="F70" s="10"/>
      <c r="G70" s="10"/>
      <c r="H70" s="10"/>
      <c r="I70" s="10"/>
      <c r="J70" s="14"/>
      <c r="L70" s="10"/>
      <c r="M70" s="10"/>
      <c r="N70" s="10"/>
      <c r="O70" s="10"/>
      <c r="P70" s="10"/>
      <c r="R70" s="11">
        <f>SUM(R64:R69)</f>
        <v>25041279.002623823</v>
      </c>
      <c r="S70" s="11">
        <f t="shared" ref="S70:V70" si="21">SUM(S64:S69)</f>
        <v>22128910.172225479</v>
      </c>
      <c r="T70" s="11">
        <f t="shared" si="21"/>
        <v>20572116.651976179</v>
      </c>
      <c r="U70" s="11">
        <f t="shared" si="21"/>
        <v>19650749.058359247</v>
      </c>
      <c r="V70" s="11">
        <f t="shared" si="21"/>
        <v>19650749.058359247</v>
      </c>
    </row>
    <row r="71" spans="3:24" x14ac:dyDescent="0.2">
      <c r="C71" s="101" t="s">
        <v>12</v>
      </c>
      <c r="D71" s="101"/>
      <c r="E71" s="101"/>
      <c r="F71" s="101"/>
      <c r="G71" s="101"/>
      <c r="H71" s="101"/>
      <c r="I71" s="101"/>
      <c r="J71" s="101"/>
      <c r="L71" s="101"/>
      <c r="M71" s="101"/>
      <c r="N71" s="101"/>
      <c r="O71" s="101"/>
      <c r="P71" s="101"/>
      <c r="R71" s="102">
        <f>R57-R70</f>
        <v>0</v>
      </c>
      <c r="S71" s="102">
        <f t="shared" ref="S71:V71" si="22">S57-S70</f>
        <v>0</v>
      </c>
      <c r="T71" s="102">
        <f t="shared" si="22"/>
        <v>0</v>
      </c>
      <c r="U71" s="102">
        <f t="shared" si="22"/>
        <v>0</v>
      </c>
      <c r="V71" s="102">
        <f t="shared" si="22"/>
        <v>0</v>
      </c>
      <c r="X71" s="102">
        <f>SUM(R71:V71)</f>
        <v>0</v>
      </c>
    </row>
    <row r="73" spans="3:24" x14ac:dyDescent="0.2">
      <c r="C73" s="171" t="str">
        <f>"NPV ($ "&amp;Assumptions!$B$17&amp;")"</f>
        <v>NPV ($ 2020/21)</v>
      </c>
      <c r="D73" s="171"/>
      <c r="E73" s="172">
        <f>NPV(Assumptions!$B$6,$R$70:$V$70)</f>
        <v>99083583.333565161</v>
      </c>
    </row>
  </sheetData>
  <conditionalFormatting sqref="S71:V71">
    <cfRule type="expression" dxfId="4" priority="2">
      <formula>ABS(S71)&gt;0.001</formula>
    </cfRule>
  </conditionalFormatting>
  <conditionalFormatting sqref="X71">
    <cfRule type="expression" dxfId="3" priority="1">
      <formula>ABS(X71)&gt;0.001</formula>
    </cfRule>
  </conditionalFormatting>
  <conditionalFormatting sqref="X58">
    <cfRule type="expression" dxfId="2" priority="5">
      <formula>ABS(X58)&gt;0.001</formula>
    </cfRule>
  </conditionalFormatting>
  <conditionalFormatting sqref="R58:V58">
    <cfRule type="expression" dxfId="1" priority="4">
      <formula>ABS(R58)&gt;0.001</formula>
    </cfRule>
  </conditionalFormatting>
  <conditionalFormatting sqref="R71">
    <cfRule type="expression" dxfId="0" priority="3">
      <formula>ABS(R71)&gt;0.001</formula>
    </cfRule>
  </conditionalFormatting>
  <dataValidations disablePrompts="1" count="4">
    <dataValidation type="list" allowBlank="1" showInputMessage="1" showErrorMessage="1" sqref="F20:F28 F10:F18 F30:F40">
      <formula1>"Labour, Materials, Contracts"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D34:D40">
      <formula1>"VPN, UE, All"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Output CP</vt:lpstr>
      <vt:lpstr>Output PAL</vt:lpstr>
      <vt:lpstr>Output</vt:lpstr>
      <vt:lpstr>Summary</vt:lpstr>
      <vt:lpstr>Assumptions</vt:lpstr>
      <vt:lpstr>Option 1 IT</vt:lpstr>
      <vt:lpstr>Option 1 Property</vt:lpstr>
      <vt:lpstr>Option 2 IT</vt:lpstr>
      <vt:lpstr>Option 2 Property</vt:lpstr>
      <vt:lpstr>Conv_2021</vt:lpstr>
      <vt:lpstr>Option1IT_categories</vt:lpstr>
      <vt:lpstr>Option1IT_costs</vt:lpstr>
      <vt:lpstr>Option1Property_categories</vt:lpstr>
      <vt:lpstr>Option1Property_costs</vt:lpstr>
      <vt:lpstr>Option2IT_categories</vt:lpstr>
      <vt:lpstr>Option2IT_costs</vt:lpstr>
      <vt:lpstr>Option2Property_categories</vt:lpstr>
      <vt:lpstr>Option2Property_costs</vt:lpstr>
      <vt:lpstr>Summary!Print_Area</vt:lpstr>
      <vt:lpstr>'Option 2 Property'!years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2019-11-22T05:17:21Z</dcterms:created>
  <dcterms:modified xsi:type="dcterms:W3CDTF">2020-01-28T07:37:36Z</dcterms:modified>
</cp:coreProperties>
</file>