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/>
  <bookViews>
    <workbookView xWindow="990" yWindow="-120" windowWidth="27930" windowHeight="16440" tabRatio="896"/>
  </bookViews>
  <sheets>
    <sheet name="Output" sheetId="72" r:id="rId1"/>
    <sheet name="Summary" sheetId="70" r:id="rId2"/>
    <sheet name="Assumptions" sheetId="74" r:id="rId3"/>
    <sheet name="Option 1" sheetId="69" r:id="rId4"/>
    <sheet name="Option 2" sheetId="71" r:id="rId5"/>
  </sheets>
  <definedNames>
    <definedName name="Conv_2021">Assumptions!$B$18</definedName>
    <definedName name="Option1_categories">'Option 1'!$C$35:$C$40</definedName>
    <definedName name="Option1_costs">'Option 1'!$P$35:$T$40</definedName>
    <definedName name="Option2_categories">'Option 2'!$C$36:$C$41</definedName>
    <definedName name="Option2_costs">'Option 2'!$P$36:$T$41</definedName>
    <definedName name="_xlnm.Print_Area" localSheetId="1">Summary!$A$1:$J$35</definedName>
    <definedName name="years">'Option 1'!$P$8:$T$8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37" i="74" l="1"/>
  <c r="A36" i="74"/>
  <c r="K10" i="71"/>
  <c r="Q10" i="71" s="1"/>
  <c r="K20" i="71"/>
  <c r="Q20" i="71" s="1"/>
  <c r="K12" i="71"/>
  <c r="K13" i="71"/>
  <c r="K22" i="71" s="1"/>
  <c r="Q22" i="71" s="1"/>
  <c r="K14" i="71"/>
  <c r="Q14" i="71" s="1"/>
  <c r="K15" i="71"/>
  <c r="K24" i="71" s="1"/>
  <c r="Q24" i="71" s="1"/>
  <c r="K16" i="71"/>
  <c r="K25" i="71" s="1"/>
  <c r="Q25" i="71" s="1"/>
  <c r="Q38" i="71"/>
  <c r="Q39" i="71"/>
  <c r="Q40" i="71"/>
  <c r="Q41" i="71"/>
  <c r="L10" i="71"/>
  <c r="L19" i="71" s="1"/>
  <c r="R19" i="71" s="1"/>
  <c r="L20" i="71"/>
  <c r="R20" i="71" s="1"/>
  <c r="L12" i="71"/>
  <c r="R12" i="71" s="1"/>
  <c r="L13" i="71"/>
  <c r="L22" i="71" s="1"/>
  <c r="R22" i="71" s="1"/>
  <c r="L14" i="71"/>
  <c r="L23" i="71" s="1"/>
  <c r="R23" i="71" s="1"/>
  <c r="L15" i="71"/>
  <c r="L24" i="71" s="1"/>
  <c r="R24" i="71" s="1"/>
  <c r="L16" i="71"/>
  <c r="L25" i="71" s="1"/>
  <c r="R25" i="71" s="1"/>
  <c r="R38" i="71"/>
  <c r="R39" i="71"/>
  <c r="R40" i="71"/>
  <c r="R41" i="71"/>
  <c r="M10" i="71"/>
  <c r="S10" i="71" s="1"/>
  <c r="M20" i="71"/>
  <c r="S20" i="71" s="1"/>
  <c r="M12" i="71"/>
  <c r="M13" i="71"/>
  <c r="M22" i="71" s="1"/>
  <c r="S22" i="71" s="1"/>
  <c r="M14" i="71"/>
  <c r="S14" i="71" s="1"/>
  <c r="M15" i="71"/>
  <c r="M24" i="71" s="1"/>
  <c r="S24" i="71" s="1"/>
  <c r="M16" i="71"/>
  <c r="M25" i="71" s="1"/>
  <c r="S25" i="71" s="1"/>
  <c r="S38" i="71"/>
  <c r="S39" i="71"/>
  <c r="S40" i="71"/>
  <c r="S41" i="71"/>
  <c r="N10" i="71"/>
  <c r="T10" i="71" s="1"/>
  <c r="N20" i="71"/>
  <c r="T20" i="71" s="1"/>
  <c r="N12" i="71"/>
  <c r="T12" i="71" s="1"/>
  <c r="N13" i="71"/>
  <c r="N22" i="71" s="1"/>
  <c r="T22" i="71" s="1"/>
  <c r="N14" i="71"/>
  <c r="N23" i="71" s="1"/>
  <c r="T23" i="71" s="1"/>
  <c r="N15" i="71"/>
  <c r="N24" i="71" s="1"/>
  <c r="T24" i="71" s="1"/>
  <c r="N16" i="71"/>
  <c r="N25" i="71" s="1"/>
  <c r="T25" i="71" s="1"/>
  <c r="T38" i="71"/>
  <c r="T39" i="71"/>
  <c r="T40" i="71"/>
  <c r="T41" i="71"/>
  <c r="J10" i="71"/>
  <c r="P10" i="71" s="1"/>
  <c r="J20" i="71"/>
  <c r="P20" i="71" s="1"/>
  <c r="J12" i="71"/>
  <c r="J13" i="71"/>
  <c r="J22" i="71" s="1"/>
  <c r="P22" i="71" s="1"/>
  <c r="J14" i="71"/>
  <c r="P14" i="71" s="1"/>
  <c r="J15" i="71"/>
  <c r="J24" i="71" s="1"/>
  <c r="P24" i="71" s="1"/>
  <c r="J16" i="71"/>
  <c r="P16" i="71" s="1"/>
  <c r="P38" i="71"/>
  <c r="P39" i="71"/>
  <c r="P40" i="71"/>
  <c r="P41" i="71"/>
  <c r="K10" i="69"/>
  <c r="K19" i="69" s="1"/>
  <c r="Q19" i="69" s="1"/>
  <c r="K20" i="69"/>
  <c r="Q20" i="69" s="1"/>
  <c r="K12" i="69"/>
  <c r="K21" i="69" s="1"/>
  <c r="Q21" i="69" s="1"/>
  <c r="K13" i="69"/>
  <c r="K22" i="69" s="1"/>
  <c r="Q22" i="69" s="1"/>
  <c r="K14" i="69"/>
  <c r="Q14" i="69" s="1"/>
  <c r="K15" i="69"/>
  <c r="Q15" i="69" s="1"/>
  <c r="K16" i="69"/>
  <c r="Q37" i="69"/>
  <c r="Q38" i="69"/>
  <c r="Q39" i="69"/>
  <c r="Q40" i="69"/>
  <c r="L10" i="69"/>
  <c r="L19" i="69" s="1"/>
  <c r="R19" i="69" s="1"/>
  <c r="L20" i="69"/>
  <c r="R20" i="69" s="1"/>
  <c r="L12" i="69"/>
  <c r="L21" i="69" s="1"/>
  <c r="R21" i="69" s="1"/>
  <c r="L13" i="69"/>
  <c r="R13" i="69" s="1"/>
  <c r="L14" i="69"/>
  <c r="L23" i="69" s="1"/>
  <c r="R23" i="69" s="1"/>
  <c r="L15" i="69"/>
  <c r="L24" i="69" s="1"/>
  <c r="R24" i="69" s="1"/>
  <c r="L16" i="69"/>
  <c r="R16" i="69" s="1"/>
  <c r="R37" i="69"/>
  <c r="R38" i="69"/>
  <c r="R39" i="69"/>
  <c r="R40" i="69"/>
  <c r="M10" i="69"/>
  <c r="M19" i="69" s="1"/>
  <c r="S19" i="69" s="1"/>
  <c r="M20" i="69"/>
  <c r="S20" i="69" s="1"/>
  <c r="M12" i="69"/>
  <c r="M21" i="69" s="1"/>
  <c r="S21" i="69" s="1"/>
  <c r="M13" i="69"/>
  <c r="M22" i="69" s="1"/>
  <c r="S22" i="69" s="1"/>
  <c r="M14" i="69"/>
  <c r="S14" i="69" s="1"/>
  <c r="M15" i="69"/>
  <c r="S15" i="69" s="1"/>
  <c r="M16" i="69"/>
  <c r="M25" i="69" s="1"/>
  <c r="S25" i="69" s="1"/>
  <c r="S37" i="69"/>
  <c r="S38" i="69"/>
  <c r="S39" i="69"/>
  <c r="S40" i="69"/>
  <c r="N10" i="69"/>
  <c r="N19" i="69" s="1"/>
  <c r="T19" i="69" s="1"/>
  <c r="N20" i="69"/>
  <c r="T20" i="69" s="1"/>
  <c r="N12" i="69"/>
  <c r="N21" i="69" s="1"/>
  <c r="T21" i="69" s="1"/>
  <c r="N13" i="69"/>
  <c r="N22" i="69" s="1"/>
  <c r="T22" i="69" s="1"/>
  <c r="N14" i="69"/>
  <c r="T14" i="69" s="1"/>
  <c r="N15" i="69"/>
  <c r="N16" i="69"/>
  <c r="N25" i="69" s="1"/>
  <c r="T25" i="69" s="1"/>
  <c r="T37" i="69"/>
  <c r="T38" i="69"/>
  <c r="T39" i="69"/>
  <c r="T40" i="69"/>
  <c r="J10" i="69"/>
  <c r="J19" i="69" s="1"/>
  <c r="P19" i="69" s="1"/>
  <c r="J20" i="69"/>
  <c r="P20" i="69" s="1"/>
  <c r="J12" i="69"/>
  <c r="J21" i="69" s="1"/>
  <c r="P21" i="69" s="1"/>
  <c r="J13" i="69"/>
  <c r="J22" i="69" s="1"/>
  <c r="P22" i="69" s="1"/>
  <c r="J14" i="69"/>
  <c r="P14" i="69" s="1"/>
  <c r="J15" i="69"/>
  <c r="P15" i="69" s="1"/>
  <c r="J16" i="69"/>
  <c r="P16" i="69" s="1"/>
  <c r="P37" i="69"/>
  <c r="P38" i="69"/>
  <c r="P39" i="69"/>
  <c r="P40" i="69"/>
  <c r="T31" i="69"/>
  <c r="S31" i="69"/>
  <c r="R31" i="69"/>
  <c r="Q31" i="69"/>
  <c r="P31" i="69"/>
  <c r="T30" i="69"/>
  <c r="S30" i="69"/>
  <c r="R30" i="69"/>
  <c r="Q30" i="69"/>
  <c r="P30" i="69"/>
  <c r="T29" i="69"/>
  <c r="S29" i="69"/>
  <c r="R29" i="69"/>
  <c r="Q29" i="69"/>
  <c r="P29" i="69"/>
  <c r="A5" i="71"/>
  <c r="A5" i="69"/>
  <c r="P11" i="69"/>
  <c r="P28" i="69"/>
  <c r="E14" i="74"/>
  <c r="F14" i="74" s="1"/>
  <c r="G14" i="74" s="1"/>
  <c r="H14" i="74" s="1"/>
  <c r="I14" i="74" s="1"/>
  <c r="J14" i="74" s="1"/>
  <c r="B16" i="74"/>
  <c r="Q11" i="69"/>
  <c r="Q28" i="69"/>
  <c r="R11" i="69"/>
  <c r="R28" i="69"/>
  <c r="S11" i="69"/>
  <c r="S28" i="69"/>
  <c r="T11" i="69"/>
  <c r="T28" i="69"/>
  <c r="C45" i="69"/>
  <c r="P11" i="71"/>
  <c r="P28" i="71"/>
  <c r="P31" i="71"/>
  <c r="Q11" i="71"/>
  <c r="Q28" i="71"/>
  <c r="Q31" i="71"/>
  <c r="R11" i="71"/>
  <c r="R28" i="71"/>
  <c r="R31" i="71"/>
  <c r="S11" i="71"/>
  <c r="S28" i="71"/>
  <c r="S31" i="71"/>
  <c r="T11" i="71"/>
  <c r="T28" i="71"/>
  <c r="T31" i="71"/>
  <c r="C46" i="71"/>
  <c r="D13" i="70"/>
  <c r="D12" i="70"/>
  <c r="D11" i="70"/>
  <c r="D22" i="70"/>
  <c r="D21" i="70"/>
  <c r="D20" i="70"/>
  <c r="T32" i="71"/>
  <c r="S32" i="71"/>
  <c r="R32" i="71"/>
  <c r="Q32" i="71"/>
  <c r="P32" i="71"/>
  <c r="G10" i="72"/>
  <c r="H10" i="72" s="1"/>
  <c r="J10" i="72"/>
  <c r="K10" i="72" s="1"/>
  <c r="M10" i="72"/>
  <c r="N10" i="72" s="1"/>
  <c r="P10" i="72"/>
  <c r="Q10" i="72" s="1"/>
  <c r="S10" i="72"/>
  <c r="T10" i="72" s="1"/>
  <c r="V10" i="72"/>
  <c r="W10" i="72"/>
  <c r="X10" i="72"/>
  <c r="Y10" i="72"/>
  <c r="Z10" i="72"/>
  <c r="G19" i="70"/>
  <c r="H19" i="70"/>
  <c r="I19" i="70"/>
  <c r="J19" i="70"/>
  <c r="F19" i="70"/>
  <c r="C43" i="71"/>
  <c r="C42" i="71"/>
  <c r="C42" i="69"/>
  <c r="C41" i="69"/>
  <c r="A2" i="71"/>
  <c r="A1" i="71"/>
  <c r="A2" i="69"/>
  <c r="A1" i="69"/>
  <c r="A2" i="72"/>
  <c r="A1" i="72"/>
  <c r="A2" i="70"/>
  <c r="A1" i="70"/>
  <c r="D5" i="72"/>
  <c r="A11" i="71"/>
  <c r="A10" i="71"/>
  <c r="A12" i="71"/>
  <c r="A13" i="71"/>
  <c r="A14" i="71"/>
  <c r="A15" i="71"/>
  <c r="A17" i="71"/>
  <c r="A19" i="71"/>
  <c r="A25" i="71"/>
  <c r="A28" i="71"/>
  <c r="L21" i="71" l="1"/>
  <c r="R21" i="71" s="1"/>
  <c r="R14" i="71"/>
  <c r="K23" i="71"/>
  <c r="Q23" i="71" s="1"/>
  <c r="N23" i="69"/>
  <c r="T23" i="69" s="1"/>
  <c r="M24" i="69"/>
  <c r="S24" i="69" s="1"/>
  <c r="J19" i="71"/>
  <c r="P19" i="71" s="1"/>
  <c r="T14" i="71"/>
  <c r="M19" i="71"/>
  <c r="S19" i="71" s="1"/>
  <c r="J23" i="69"/>
  <c r="P23" i="69" s="1"/>
  <c r="R10" i="71"/>
  <c r="T16" i="69"/>
  <c r="R15" i="69"/>
  <c r="P13" i="71"/>
  <c r="S15" i="71"/>
  <c r="R16" i="71"/>
  <c r="J25" i="71"/>
  <c r="P25" i="71" s="1"/>
  <c r="P13" i="69"/>
  <c r="T15" i="71"/>
  <c r="S16" i="71"/>
  <c r="R13" i="71"/>
  <c r="Q15" i="71"/>
  <c r="K19" i="71"/>
  <c r="Q19" i="71" s="1"/>
  <c r="B18" i="74"/>
  <c r="J24" i="69"/>
  <c r="P24" i="69" s="1"/>
  <c r="Q16" i="71"/>
  <c r="J23" i="71"/>
  <c r="P23" i="71" s="1"/>
  <c r="N19" i="71"/>
  <c r="T19" i="71" s="1"/>
  <c r="M23" i="71"/>
  <c r="S23" i="71" s="1"/>
  <c r="M23" i="69"/>
  <c r="S23" i="69" s="1"/>
  <c r="S10" i="69"/>
  <c r="T10" i="69"/>
  <c r="S16" i="69"/>
  <c r="P15" i="71"/>
  <c r="T16" i="71"/>
  <c r="T13" i="71"/>
  <c r="N21" i="71"/>
  <c r="T21" i="71" s="1"/>
  <c r="R15" i="71"/>
  <c r="Q13" i="71"/>
  <c r="R14" i="69"/>
  <c r="S13" i="71"/>
  <c r="L25" i="69"/>
  <c r="R25" i="69" s="1"/>
  <c r="L22" i="69"/>
  <c r="R22" i="69" s="1"/>
  <c r="Q10" i="69"/>
  <c r="J21" i="71"/>
  <c r="P21" i="71" s="1"/>
  <c r="P12" i="71"/>
  <c r="P37" i="71"/>
  <c r="M21" i="71"/>
  <c r="S21" i="71" s="1"/>
  <c r="S12" i="71"/>
  <c r="K21" i="71"/>
  <c r="Q21" i="71" s="1"/>
  <c r="Q12" i="71"/>
  <c r="Q37" i="71" s="1"/>
  <c r="N24" i="69"/>
  <c r="T24" i="69" s="1"/>
  <c r="T35" i="69" s="1"/>
  <c r="T15" i="69"/>
  <c r="Q16" i="69"/>
  <c r="K25" i="69"/>
  <c r="Q25" i="69" s="1"/>
  <c r="R36" i="71"/>
  <c r="K24" i="69"/>
  <c r="Q24" i="69" s="1"/>
  <c r="S13" i="69"/>
  <c r="K23" i="69"/>
  <c r="Q23" i="69" s="1"/>
  <c r="R12" i="69"/>
  <c r="P10" i="69"/>
  <c r="J25" i="69"/>
  <c r="P25" i="69" s="1"/>
  <c r="T13" i="69"/>
  <c r="S35" i="69"/>
  <c r="R10" i="69"/>
  <c r="Q13" i="69"/>
  <c r="T12" i="69"/>
  <c r="Q12" i="69"/>
  <c r="S12" i="69"/>
  <c r="P12" i="69"/>
  <c r="H13" i="70"/>
  <c r="J11" i="70"/>
  <c r="G21" i="70"/>
  <c r="Q35" i="69" l="1"/>
  <c r="P36" i="71"/>
  <c r="P42" i="71" s="1"/>
  <c r="S36" i="71"/>
  <c r="T37" i="71"/>
  <c r="S37" i="71"/>
  <c r="P36" i="69"/>
  <c r="P35" i="69"/>
  <c r="Q36" i="71"/>
  <c r="Q42" i="71" s="1"/>
  <c r="R37" i="71"/>
  <c r="R42" i="71" s="1"/>
  <c r="R43" i="71" s="1"/>
  <c r="N12" i="72"/>
  <c r="R35" i="69"/>
  <c r="T36" i="69"/>
  <c r="T41" i="69" s="1"/>
  <c r="T42" i="69" s="1"/>
  <c r="T36" i="71"/>
  <c r="R12" i="72"/>
  <c r="S36" i="69"/>
  <c r="S41" i="69" s="1"/>
  <c r="R36" i="69"/>
  <c r="Q36" i="69"/>
  <c r="F22" i="70"/>
  <c r="F13" i="70"/>
  <c r="J21" i="70"/>
  <c r="I22" i="70"/>
  <c r="G13" i="70"/>
  <c r="I13" i="70"/>
  <c r="I21" i="70"/>
  <c r="G20" i="70"/>
  <c r="F20" i="70"/>
  <c r="H22" i="70"/>
  <c r="F11" i="70"/>
  <c r="G22" i="70"/>
  <c r="G11" i="70"/>
  <c r="J12" i="70"/>
  <c r="J20" i="70"/>
  <c r="F12" i="70"/>
  <c r="H21" i="70"/>
  <c r="G12" i="70"/>
  <c r="J13" i="70"/>
  <c r="I20" i="70"/>
  <c r="F21" i="70"/>
  <c r="H11" i="70"/>
  <c r="I12" i="70"/>
  <c r="J22" i="70"/>
  <c r="H20" i="70"/>
  <c r="H12" i="70"/>
  <c r="I11" i="70"/>
  <c r="P44" i="71" l="1"/>
  <c r="P43" i="71"/>
  <c r="R41" i="69"/>
  <c r="R42" i="69" s="1"/>
  <c r="S42" i="71"/>
  <c r="Q43" i="71"/>
  <c r="Q44" i="71"/>
  <c r="T42" i="71"/>
  <c r="T44" i="71" s="1"/>
  <c r="G12" i="72"/>
  <c r="R44" i="71"/>
  <c r="P41" i="69"/>
  <c r="L12" i="72"/>
  <c r="F12" i="72"/>
  <c r="F14" i="70"/>
  <c r="H23" i="70"/>
  <c r="J14" i="70"/>
  <c r="S12" i="72"/>
  <c r="G23" i="70"/>
  <c r="F23" i="70"/>
  <c r="K12" i="72"/>
  <c r="O12" i="72"/>
  <c r="I23" i="70"/>
  <c r="H12" i="72"/>
  <c r="J23" i="70"/>
  <c r="I12" i="72"/>
  <c r="Q12" i="72"/>
  <c r="T12" i="72"/>
  <c r="T43" i="71"/>
  <c r="P12" i="72"/>
  <c r="I14" i="70"/>
  <c r="S43" i="71"/>
  <c r="S44" i="71"/>
  <c r="V44" i="71" s="1"/>
  <c r="V3" i="71" s="1"/>
  <c r="T43" i="69"/>
  <c r="J12" i="72"/>
  <c r="G14" i="70"/>
  <c r="M12" i="72"/>
  <c r="H14" i="70"/>
  <c r="Q41" i="69"/>
  <c r="P43" i="69"/>
  <c r="P42" i="69"/>
  <c r="R43" i="69"/>
  <c r="Q42" i="69"/>
  <c r="Q43" i="69"/>
  <c r="S43" i="69"/>
  <c r="S42" i="69"/>
  <c r="V12" i="72" l="1"/>
  <c r="D46" i="71"/>
  <c r="Z12" i="72"/>
  <c r="F25" i="70"/>
  <c r="W12" i="72"/>
  <c r="X12" i="72"/>
  <c r="Y12" i="72"/>
  <c r="F16" i="70"/>
  <c r="D45" i="69"/>
  <c r="V43" i="69"/>
  <c r="V3" i="69" s="1"/>
  <c r="D6" i="72" s="1"/>
  <c r="D7" i="70" s="1"/>
  <c r="AB12" i="72" l="1"/>
</calcChain>
</file>

<file path=xl/sharedStrings.xml><?xml version="1.0" encoding="utf-8"?>
<sst xmlns="http://schemas.openxmlformats.org/spreadsheetml/2006/main" count="283" uniqueCount="84">
  <si>
    <t>VPN</t>
  </si>
  <si>
    <t>Materials</t>
  </si>
  <si>
    <t>Labour</t>
  </si>
  <si>
    <t>Assumptions</t>
  </si>
  <si>
    <t>Contracts</t>
  </si>
  <si>
    <t>CapEx</t>
  </si>
  <si>
    <t>Parameters</t>
  </si>
  <si>
    <t>Area Applied</t>
  </si>
  <si>
    <t>Assumption Types</t>
  </si>
  <si>
    <t>Type</t>
  </si>
  <si>
    <t>Units</t>
  </si>
  <si>
    <t>Cost ($)</t>
  </si>
  <si>
    <t>Check</t>
  </si>
  <si>
    <t>Summary</t>
  </si>
  <si>
    <t>Real Discount rate:</t>
  </si>
  <si>
    <t>Unit rate</t>
  </si>
  <si>
    <t>2021/22</t>
  </si>
  <si>
    <t>2022/23</t>
  </si>
  <si>
    <t>2023/24</t>
  </si>
  <si>
    <t>2024/25</t>
  </si>
  <si>
    <t>2025/26</t>
  </si>
  <si>
    <t>Option 2</t>
  </si>
  <si>
    <t>Preferred option:</t>
  </si>
  <si>
    <t>Capex/Opex</t>
  </si>
  <si>
    <t>Selected option:</t>
  </si>
  <si>
    <t>Total</t>
  </si>
  <si>
    <t>Function Code</t>
  </si>
  <si>
    <t>Service</t>
  </si>
  <si>
    <t>Total SCS</t>
  </si>
  <si>
    <t>Option 1</t>
  </si>
  <si>
    <t>Actual</t>
  </si>
  <si>
    <t>Forecast</t>
  </si>
  <si>
    <t>Cumulative CPI from 2015</t>
  </si>
  <si>
    <t>Multiply by:</t>
  </si>
  <si>
    <t>To:</t>
  </si>
  <si>
    <t>Cost inputs are in:</t>
  </si>
  <si>
    <t>2020/21</t>
  </si>
  <si>
    <t>To convert from nominal:</t>
  </si>
  <si>
    <t>dollars (mid year)</t>
  </si>
  <si>
    <t>dollars (end of FY)</t>
  </si>
  <si>
    <t>Checks OK</t>
  </si>
  <si>
    <t>OpEx</t>
  </si>
  <si>
    <t>Hours</t>
  </si>
  <si>
    <t>Each</t>
  </si>
  <si>
    <t>$</t>
  </si>
  <si>
    <t>Quantity of units</t>
  </si>
  <si>
    <t>Description</t>
  </si>
  <si>
    <t>Output ($, 2020/21)</t>
  </si>
  <si>
    <t>Forecast direct capex ($'000, 2020/21)</t>
  </si>
  <si>
    <t>Summary ($, 2020/21)</t>
  </si>
  <si>
    <t>Total Cost ($, 2020/21)</t>
  </si>
  <si>
    <t>Device replacement</t>
  </si>
  <si>
    <t>Item</t>
  </si>
  <si>
    <t>Existing fleet</t>
  </si>
  <si>
    <t>Average life
(years)</t>
  </si>
  <si>
    <t>Laptop</t>
  </si>
  <si>
    <t>Desktop</t>
  </si>
  <si>
    <t>iPhone</t>
  </si>
  <si>
    <t>iPad</t>
  </si>
  <si>
    <t>Television</t>
  </si>
  <si>
    <t>Projector</t>
  </si>
  <si>
    <t>Video Conference units</t>
  </si>
  <si>
    <t>Labour hours to deploy</t>
  </si>
  <si>
    <t>Laptop - Annualised refresh</t>
  </si>
  <si>
    <t>Desktop - Annualised refresh</t>
  </si>
  <si>
    <t>iPhone - Annualised refresh</t>
  </si>
  <si>
    <t>iPad - Annualised refresh</t>
  </si>
  <si>
    <t>Television - Annualised refresh</t>
  </si>
  <si>
    <t>Projector - Annualised refresh</t>
  </si>
  <si>
    <t>Video Conference units - Annualised refresh</t>
  </si>
  <si>
    <t>Laptop - Upfront bulk refresh</t>
  </si>
  <si>
    <t>Desktop - Upfront bulk refresh</t>
  </si>
  <si>
    <t>iPhone - Upfront bulk refresh</t>
  </si>
  <si>
    <t>iPad - Upfront bulk refresh</t>
  </si>
  <si>
    <t>Television - Upfront bulk refresh</t>
  </si>
  <si>
    <t>Projector - Upfront bulk refresh</t>
  </si>
  <si>
    <t>Video Conference units - Upfront bulk refresh</t>
  </si>
  <si>
    <t>Options</t>
  </si>
  <si>
    <t>NPV</t>
  </si>
  <si>
    <t>Dollars</t>
  </si>
  <si>
    <t>CPI</t>
  </si>
  <si>
    <t>Annual CPI - 12 months unlagged</t>
  </si>
  <si>
    <t>Mid CY</t>
  </si>
  <si>
    <t>End FY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</si>
</sst>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6" formatCode="&quot;$&quot;#,##0;[Red]\-&quot;$&quot;#,##0"/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0.0"/>
    <numFmt numFmtId="167" formatCode="&quot;$&quot;#,##0;[Red]\-&quot;$&quot;#,##0;\ &quot;-&quot;"/>
    <numFmt numFmtId="168" formatCode="&quot;$&quot;#,##0.00;[Red]\-&quot;$&quot;#,##0.00;\ &quot;-&quot;"/>
    <numFmt numFmtId="169" formatCode="#,##0_ ;[Red]\-#,##0;\ &quot;-&quot;"/>
    <numFmt numFmtId="170" formatCode="&quot;Convert to December&quot;\ ####"/>
    <numFmt numFmtId="171" formatCode="0.00000000000000000"/>
    <numFmt numFmtId="172" formatCode="0.000000"/>
  </numFmts>
  <fonts count="5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FFFFFF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Trebuchet MS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Verdana"/>
      <family val="2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12"/>
      <color theme="0"/>
      <name val="Calibri"/>
      <family val="2"/>
      <scheme val="minor"/>
    </font>
    <font>
      <b/>
      <i/>
      <sz val="10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4"/>
      <color indexed="9"/>
      <name val="Calibri"/>
      <family val="2"/>
      <scheme val="minor"/>
    </font>
    <font>
      <b/>
      <sz val="10"/>
      <color rgb="FF0000FF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</font>
    <font>
      <sz val="10"/>
      <color rgb="FF0066FF"/>
      <name val="Calibri"/>
      <family val="2"/>
    </font>
    <font>
      <i/>
      <sz val="10"/>
      <color theme="1"/>
      <name val="Calibri"/>
      <family val="2"/>
    </font>
    <font>
      <i/>
      <sz val="10"/>
      <color theme="1" tint="0.499984740745262"/>
      <name val="Calibri"/>
      <family val="2"/>
    </font>
    <font>
      <i/>
      <sz val="10"/>
      <name val="Calibri"/>
      <family val="2"/>
    </font>
    <font>
      <b/>
      <sz val="10"/>
      <color rgb="FFFFFFFF"/>
      <name val="Calibri"/>
      <family val="2"/>
      <scheme val="minor"/>
    </font>
    <font>
      <sz val="10"/>
      <name val="Calibri"/>
      <family val="2"/>
    </font>
    <font>
      <sz val="8"/>
      <color theme="0" tint="-0.499984740745262"/>
      <name val="Calibri"/>
      <family val="2"/>
      <scheme val="minor"/>
    </font>
    <font>
      <i/>
      <sz val="8"/>
      <color theme="0" tint="-0.499984740745262"/>
      <name val="Calibri"/>
      <family val="2"/>
      <scheme val="minor"/>
    </font>
    <font>
      <i/>
      <sz val="9"/>
      <color theme="0" tint="-0.499984740745262"/>
      <name val="Calibri"/>
      <family val="2"/>
      <scheme val="minor"/>
    </font>
    <font>
      <sz val="10"/>
      <color rgb="FF0000FF"/>
      <name val="Calibri"/>
      <family val="2"/>
    </font>
    <font>
      <i/>
      <sz val="10"/>
      <color rgb="FF0000FF"/>
      <name val="Calibri"/>
      <family val="2"/>
    </font>
    <font>
      <sz val="10"/>
      <color rgb="FF0000FF"/>
      <name val="Calibri"/>
      <family val="2"/>
      <scheme val="minor"/>
    </font>
    <font>
      <sz val="8"/>
      <name val="Calibri"/>
      <family val="2"/>
      <scheme val="minor"/>
    </font>
    <font>
      <sz val="9"/>
      <color theme="0" tint="-0.249977111117893"/>
      <name val="Calibri"/>
      <family val="2"/>
      <scheme val="minor"/>
    </font>
    <font>
      <i/>
      <sz val="8"/>
      <color theme="2"/>
      <name val="Calibri"/>
      <family val="2"/>
      <scheme val="minor"/>
    </font>
    <font>
      <sz val="10"/>
      <color rgb="FF0033CC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D6E5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BF2F9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ck">
        <color theme="0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7">
    <xf numFmtId="0" fontId="0" fillId="0" borderId="0"/>
    <xf numFmtId="0" fontId="4" fillId="0" borderId="0"/>
    <xf numFmtId="0" fontId="3" fillId="0" borderId="0"/>
    <xf numFmtId="0" fontId="5" fillId="0" borderId="0"/>
    <xf numFmtId="0" fontId="3" fillId="0" borderId="0"/>
    <xf numFmtId="44" fontId="5" fillId="0" borderId="0" applyFont="0" applyFill="0" applyBorder="0" applyAlignment="0" applyProtection="0"/>
    <xf numFmtId="0" fontId="1" fillId="0" borderId="0"/>
    <xf numFmtId="0" fontId="6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7" fillId="0" borderId="0"/>
    <xf numFmtId="0" fontId="3" fillId="0" borderId="0"/>
    <xf numFmtId="0" fontId="8" fillId="0" borderId="0"/>
    <xf numFmtId="0" fontId="9" fillId="0" borderId="0"/>
    <xf numFmtId="0" fontId="10" fillId="0" borderId="0"/>
    <xf numFmtId="9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1" fillId="0" borderId="0"/>
    <xf numFmtId="44" fontId="11" fillId="0" borderId="0" applyFont="0" applyFill="0" applyBorder="0" applyAlignment="0" applyProtection="0"/>
    <xf numFmtId="0" fontId="10" fillId="0" borderId="0"/>
    <xf numFmtId="9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1" fillId="0" borderId="0"/>
    <xf numFmtId="9" fontId="1" fillId="0" borderId="0" applyFont="0" applyFill="0" applyBorder="0" applyAlignment="0" applyProtection="0"/>
  </cellStyleXfs>
  <cellXfs count="135">
    <xf numFmtId="0" fontId="0" fillId="0" borderId="0" xfId="0"/>
    <xf numFmtId="0" fontId="12" fillId="0" borderId="0" xfId="0" applyFont="1"/>
    <xf numFmtId="0" fontId="12" fillId="0" borderId="0" xfId="0" applyFont="1" applyFill="1"/>
    <xf numFmtId="3" fontId="12" fillId="0" borderId="0" xfId="0" applyNumberFormat="1" applyFont="1"/>
    <xf numFmtId="0" fontId="12" fillId="0" borderId="0" xfId="0" applyFont="1" applyBorder="1"/>
    <xf numFmtId="0" fontId="13" fillId="0" borderId="3" xfId="0" applyFont="1" applyBorder="1"/>
    <xf numFmtId="0" fontId="12" fillId="0" borderId="0" xfId="0" applyFont="1" applyBorder="1" applyAlignment="1">
      <alignment horizontal="right"/>
    </xf>
    <xf numFmtId="0" fontId="13" fillId="0" borderId="0" xfId="0" applyFont="1" applyBorder="1"/>
    <xf numFmtId="167" fontId="12" fillId="0" borderId="1" xfId="0" applyNumberFormat="1" applyFont="1" applyFill="1" applyBorder="1" applyAlignment="1">
      <alignment horizontal="right" vertical="top"/>
    </xf>
    <xf numFmtId="167" fontId="12" fillId="0" borderId="0" xfId="0" applyNumberFormat="1" applyFont="1" applyFill="1" applyBorder="1" applyAlignment="1">
      <alignment horizontal="right" vertical="top"/>
    </xf>
    <xf numFmtId="0" fontId="13" fillId="0" borderId="4" xfId="0" applyFont="1" applyBorder="1"/>
    <xf numFmtId="167" fontId="13" fillId="0" borderId="4" xfId="0" applyNumberFormat="1" applyFont="1" applyFill="1" applyBorder="1" applyAlignment="1">
      <alignment horizontal="right" vertical="top"/>
    </xf>
    <xf numFmtId="0" fontId="12" fillId="0" borderId="0" xfId="0" applyFont="1" applyAlignment="1">
      <alignment horizontal="center"/>
    </xf>
    <xf numFmtId="0" fontId="12" fillId="0" borderId="0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4" fillId="3" borderId="0" xfId="0" applyFont="1" applyFill="1"/>
    <xf numFmtId="0" fontId="14" fillId="3" borderId="0" xfId="0" applyFont="1" applyFill="1" applyAlignment="1">
      <alignment horizontal="center"/>
    </xf>
    <xf numFmtId="0" fontId="15" fillId="3" borderId="0" xfId="0" applyFont="1" applyFill="1"/>
    <xf numFmtId="0" fontId="16" fillId="3" borderId="0" xfId="0" applyFont="1" applyFill="1"/>
    <xf numFmtId="0" fontId="15" fillId="0" borderId="0" xfId="0" applyFont="1" applyFill="1"/>
    <xf numFmtId="0" fontId="14" fillId="0" borderId="0" xfId="0" applyFont="1" applyFill="1"/>
    <xf numFmtId="0" fontId="14" fillId="0" borderId="0" xfId="0" applyFont="1" applyFill="1" applyAlignment="1">
      <alignment horizontal="center"/>
    </xf>
    <xf numFmtId="0" fontId="17" fillId="0" borderId="0" xfId="0" applyFont="1"/>
    <xf numFmtId="0" fontId="13" fillId="4" borderId="2" xfId="0" applyFont="1" applyFill="1" applyBorder="1" applyAlignment="1">
      <alignment horizontal="centerContinuous"/>
    </xf>
    <xf numFmtId="0" fontId="12" fillId="4" borderId="2" xfId="0" applyFont="1" applyFill="1" applyBorder="1" applyAlignment="1">
      <alignment horizontal="centerContinuous"/>
    </xf>
    <xf numFmtId="0" fontId="13" fillId="0" borderId="5" xfId="0" applyFont="1" applyBorder="1"/>
    <xf numFmtId="167" fontId="13" fillId="0" borderId="5" xfId="0" applyNumberFormat="1" applyFont="1" applyFill="1" applyBorder="1" applyAlignment="1">
      <alignment horizontal="right" vertical="top"/>
    </xf>
    <xf numFmtId="167" fontId="13" fillId="0" borderId="0" xfId="0" applyNumberFormat="1" applyFont="1" applyFill="1" applyBorder="1" applyAlignment="1">
      <alignment horizontal="right" vertical="top"/>
    </xf>
    <xf numFmtId="0" fontId="12" fillId="0" borderId="2" xfId="0" applyFont="1" applyBorder="1"/>
    <xf numFmtId="0" fontId="12" fillId="0" borderId="2" xfId="0" applyFont="1" applyBorder="1" applyAlignment="1">
      <alignment horizontal="center"/>
    </xf>
    <xf numFmtId="167" fontId="12" fillId="0" borderId="2" xfId="0" applyNumberFormat="1" applyFont="1" applyFill="1" applyBorder="1" applyAlignment="1">
      <alignment horizontal="right" vertical="top"/>
    </xf>
    <xf numFmtId="0" fontId="13" fillId="0" borderId="0" xfId="0" applyFont="1" applyBorder="1" applyAlignment="1">
      <alignment horizontal="center"/>
    </xf>
    <xf numFmtId="0" fontId="18" fillId="0" borderId="0" xfId="0" applyFont="1"/>
    <xf numFmtId="0" fontId="2" fillId="0" borderId="0" xfId="13" applyFont="1" applyFill="1" applyAlignment="1">
      <alignment horizontal="left" vertical="center"/>
    </xf>
    <xf numFmtId="0" fontId="0" fillId="0" borderId="0" xfId="0" applyFill="1"/>
    <xf numFmtId="0" fontId="19" fillId="3" borderId="0" xfId="0" applyFont="1" applyFill="1"/>
    <xf numFmtId="0" fontId="20" fillId="3" borderId="0" xfId="0" applyFont="1" applyFill="1"/>
    <xf numFmtId="0" fontId="21" fillId="3" borderId="0" xfId="0" applyFont="1" applyFill="1"/>
    <xf numFmtId="0" fontId="21" fillId="3" borderId="0" xfId="0" applyFont="1" applyFill="1" applyAlignment="1">
      <alignment horizontal="center"/>
    </xf>
    <xf numFmtId="0" fontId="22" fillId="0" borderId="0" xfId="0" applyFont="1"/>
    <xf numFmtId="6" fontId="13" fillId="0" borderId="0" xfId="0" applyNumberFormat="1" applyFont="1"/>
    <xf numFmtId="8" fontId="13" fillId="0" borderId="0" xfId="0" applyNumberFormat="1" applyFont="1" applyBorder="1"/>
    <xf numFmtId="0" fontId="13" fillId="0" borderId="0" xfId="0" applyFont="1" applyFill="1"/>
    <xf numFmtId="0" fontId="13" fillId="5" borderId="1" xfId="0" applyFont="1" applyFill="1" applyBorder="1"/>
    <xf numFmtId="167" fontId="12" fillId="0" borderId="0" xfId="0" applyNumberFormat="1" applyFont="1" applyFill="1"/>
    <xf numFmtId="6" fontId="12" fillId="0" borderId="2" xfId="0" applyNumberFormat="1" applyFont="1" applyFill="1" applyBorder="1" applyAlignment="1">
      <alignment horizontal="right" vertical="top"/>
    </xf>
    <xf numFmtId="0" fontId="23" fillId="3" borderId="0" xfId="0" applyFont="1" applyFill="1"/>
    <xf numFmtId="0" fontId="23" fillId="3" borderId="0" xfId="0" applyFont="1" applyFill="1" applyAlignment="1">
      <alignment horizontal="center"/>
    </xf>
    <xf numFmtId="0" fontId="24" fillId="0" borderId="0" xfId="0" applyFont="1"/>
    <xf numFmtId="0" fontId="25" fillId="3" borderId="0" xfId="0" applyFont="1" applyFill="1"/>
    <xf numFmtId="0" fontId="25" fillId="3" borderId="0" xfId="0" applyFont="1" applyFill="1" applyAlignment="1">
      <alignment horizontal="center"/>
    </xf>
    <xf numFmtId="0" fontId="26" fillId="0" borderId="0" xfId="0" applyFont="1"/>
    <xf numFmtId="0" fontId="27" fillId="6" borderId="0" xfId="14" applyFont="1" applyFill="1" applyAlignment="1" applyProtection="1"/>
    <xf numFmtId="0" fontId="27" fillId="6" borderId="0" xfId="14" applyFont="1" applyFill="1" applyProtection="1"/>
    <xf numFmtId="0" fontId="27" fillId="6" borderId="0" xfId="14" applyFont="1" applyFill="1" applyAlignment="1" applyProtection="1">
      <alignment textRotation="2"/>
    </xf>
    <xf numFmtId="0" fontId="27" fillId="6" borderId="0" xfId="14" applyFont="1" applyFill="1" applyBorder="1" applyAlignment="1" applyProtection="1">
      <alignment textRotation="2"/>
    </xf>
    <xf numFmtId="0" fontId="28" fillId="7" borderId="0" xfId="14" applyFont="1" applyFill="1" applyAlignment="1" applyProtection="1"/>
    <xf numFmtId="0" fontId="29" fillId="6" borderId="0" xfId="14" applyFont="1" applyFill="1" applyAlignment="1" applyProtection="1"/>
    <xf numFmtId="0" fontId="29" fillId="6" borderId="0" xfId="14" applyFont="1" applyFill="1" applyProtection="1"/>
    <xf numFmtId="0" fontId="29" fillId="5" borderId="0" xfId="14" applyFont="1" applyFill="1" applyAlignment="1" applyProtection="1"/>
    <xf numFmtId="0" fontId="30" fillId="6" borderId="0" xfId="14" applyFont="1" applyFill="1" applyAlignment="1" applyProtection="1">
      <alignment textRotation="2"/>
    </xf>
    <xf numFmtId="0" fontId="30" fillId="6" borderId="0" xfId="14" applyFont="1" applyFill="1" applyProtection="1"/>
    <xf numFmtId="0" fontId="30" fillId="6" borderId="0" xfId="14" applyFont="1" applyFill="1" applyBorder="1" applyAlignment="1" applyProtection="1">
      <alignment textRotation="2"/>
    </xf>
    <xf numFmtId="0" fontId="30" fillId="6" borderId="0" xfId="14" applyFont="1" applyFill="1" applyAlignment="1" applyProtection="1"/>
    <xf numFmtId="0" fontId="31" fillId="6" borderId="0" xfId="14" applyFont="1" applyFill="1" applyAlignment="1" applyProtection="1"/>
    <xf numFmtId="0" fontId="32" fillId="7" borderId="0" xfId="14" applyFont="1" applyFill="1" applyBorder="1" applyProtection="1"/>
    <xf numFmtId="0" fontId="29" fillId="7" borderId="0" xfId="14" applyFont="1" applyFill="1" applyBorder="1" applyProtection="1"/>
    <xf numFmtId="0" fontId="32" fillId="6" borderId="0" xfId="14" applyFont="1" applyFill="1" applyProtection="1"/>
    <xf numFmtId="0" fontId="13" fillId="8" borderId="0" xfId="14" applyFont="1" applyFill="1" applyBorder="1"/>
    <xf numFmtId="0" fontId="12" fillId="8" borderId="0" xfId="14" applyFont="1" applyFill="1" applyBorder="1"/>
    <xf numFmtId="0" fontId="13" fillId="8" borderId="6" xfId="14" applyNumberFormat="1" applyFont="1" applyFill="1" applyBorder="1" applyAlignment="1">
      <alignment horizontal="right"/>
    </xf>
    <xf numFmtId="0" fontId="13" fillId="8" borderId="0" xfId="14" applyNumberFormat="1" applyFont="1" applyFill="1" applyBorder="1" applyAlignment="1">
      <alignment horizontal="right"/>
    </xf>
    <xf numFmtId="0" fontId="29" fillId="8" borderId="0" xfId="14" applyFont="1" applyFill="1" applyBorder="1"/>
    <xf numFmtId="0" fontId="13" fillId="8" borderId="6" xfId="0" applyNumberFormat="1" applyFont="1" applyFill="1" applyBorder="1" applyAlignment="1">
      <alignment horizontal="right" vertical="center" wrapText="1"/>
    </xf>
    <xf numFmtId="0" fontId="13" fillId="8" borderId="0" xfId="0" applyNumberFormat="1" applyFont="1" applyFill="1" applyBorder="1" applyAlignment="1">
      <alignment horizontal="right" vertical="center" wrapText="1"/>
    </xf>
    <xf numFmtId="0" fontId="13" fillId="8" borderId="0" xfId="0" applyFont="1" applyFill="1" applyBorder="1" applyAlignment="1">
      <alignment horizontal="right" vertical="center" wrapText="1"/>
    </xf>
    <xf numFmtId="0" fontId="32" fillId="6" borderId="0" xfId="14" applyFont="1" applyFill="1" applyAlignment="1" applyProtection="1">
      <alignment horizontal="center"/>
    </xf>
    <xf numFmtId="0" fontId="32" fillId="7" borderId="0" xfId="14" applyFont="1" applyFill="1" applyBorder="1"/>
    <xf numFmtId="3" fontId="32" fillId="7" borderId="0" xfId="14" applyNumberFormat="1" applyFont="1" applyFill="1" applyBorder="1"/>
    <xf numFmtId="169" fontId="12" fillId="0" borderId="0" xfId="0" applyNumberFormat="1" applyFont="1" applyFill="1"/>
    <xf numFmtId="0" fontId="24" fillId="0" borderId="0" xfId="0" applyFont="1" applyAlignment="1">
      <alignment horizontal="center"/>
    </xf>
    <xf numFmtId="2" fontId="13" fillId="0" borderId="0" xfId="0" applyNumberFormat="1" applyFont="1" applyFill="1" applyBorder="1" applyAlignment="1">
      <alignment horizontal="right" vertical="top"/>
    </xf>
    <xf numFmtId="0" fontId="13" fillId="4" borderId="3" xfId="0" applyFont="1" applyFill="1" applyBorder="1"/>
    <xf numFmtId="0" fontId="12" fillId="4" borderId="3" xfId="0" applyFont="1" applyFill="1" applyBorder="1"/>
    <xf numFmtId="0" fontId="13" fillId="4" borderId="3" xfId="0" applyFont="1" applyFill="1" applyBorder="1" applyAlignment="1">
      <alignment horizontal="center"/>
    </xf>
    <xf numFmtId="0" fontId="33" fillId="0" borderId="0" xfId="0" applyFont="1" applyBorder="1"/>
    <xf numFmtId="0" fontId="33" fillId="0" borderId="0" xfId="0" applyFont="1" applyBorder="1" applyAlignment="1">
      <alignment horizontal="right"/>
    </xf>
    <xf numFmtId="0" fontId="0" fillId="0" borderId="0" xfId="0" applyFont="1"/>
    <xf numFmtId="0" fontId="34" fillId="0" borderId="0" xfId="0" applyFont="1"/>
    <xf numFmtId="0" fontId="35" fillId="0" borderId="0" xfId="0" applyFont="1"/>
    <xf numFmtId="171" fontId="0" fillId="0" borderId="0" xfId="0" applyNumberFormat="1" applyFont="1"/>
    <xf numFmtId="10" fontId="35" fillId="0" borderId="0" xfId="26" applyNumberFormat="1" applyFont="1"/>
    <xf numFmtId="170" fontId="36" fillId="0" borderId="0" xfId="0" applyNumberFormat="1" applyFont="1"/>
    <xf numFmtId="0" fontId="36" fillId="0" borderId="0" xfId="0" applyFont="1"/>
    <xf numFmtId="170" fontId="37" fillId="0" borderId="0" xfId="0" applyNumberFormat="1" applyFont="1"/>
    <xf numFmtId="0" fontId="37" fillId="0" borderId="0" xfId="0" applyFont="1"/>
    <xf numFmtId="172" fontId="12" fillId="0" borderId="0" xfId="0" applyNumberFormat="1" applyFont="1"/>
    <xf numFmtId="0" fontId="38" fillId="0" borderId="0" xfId="13" applyFont="1" applyFill="1" applyAlignment="1">
      <alignment horizontal="left" vertical="center"/>
    </xf>
    <xf numFmtId="1" fontId="39" fillId="0" borderId="1" xfId="26" applyNumberFormat="1" applyFont="1" applyFill="1" applyBorder="1" applyAlignment="1">
      <alignment horizontal="right"/>
    </xf>
    <xf numFmtId="0" fontId="12" fillId="0" borderId="0" xfId="0" applyFont="1" applyAlignment="1">
      <alignment horizontal="left"/>
    </xf>
    <xf numFmtId="0" fontId="12" fillId="0" borderId="0" xfId="0" applyFont="1"/>
    <xf numFmtId="0" fontId="41" fillId="9" borderId="0" xfId="0" applyFont="1" applyFill="1"/>
    <xf numFmtId="169" fontId="42" fillId="9" borderId="0" xfId="0" applyNumberFormat="1" applyFont="1" applyFill="1"/>
    <xf numFmtId="0" fontId="0" fillId="0" borderId="2" xfId="0" applyBorder="1"/>
    <xf numFmtId="1" fontId="43" fillId="2" borderId="1" xfId="26" applyNumberFormat="1" applyFont="1" applyFill="1" applyBorder="1" applyAlignment="1">
      <alignment horizontal="right"/>
    </xf>
    <xf numFmtId="10" fontId="43" fillId="2" borderId="0" xfId="26" applyNumberFormat="1" applyFont="1" applyFill="1"/>
    <xf numFmtId="1" fontId="43" fillId="2" borderId="0" xfId="26" applyNumberFormat="1" applyFont="1" applyFill="1"/>
    <xf numFmtId="1" fontId="43" fillId="2" borderId="0" xfId="26" applyNumberFormat="1" applyFont="1" applyFill="1" applyAlignment="1">
      <alignment horizontal="right"/>
    </xf>
    <xf numFmtId="0" fontId="45" fillId="2" borderId="7" xfId="0" applyFont="1" applyFill="1" applyBorder="1" applyAlignment="1">
      <alignment vertical="center"/>
    </xf>
    <xf numFmtId="0" fontId="45" fillId="2" borderId="5" xfId="0" applyFont="1" applyFill="1" applyBorder="1" applyAlignment="1">
      <alignment vertical="center"/>
    </xf>
    <xf numFmtId="0" fontId="45" fillId="2" borderId="8" xfId="0" applyFont="1" applyFill="1" applyBorder="1" applyAlignment="1">
      <alignment vertical="center"/>
    </xf>
    <xf numFmtId="168" fontId="45" fillId="2" borderId="1" xfId="0" applyNumberFormat="1" applyFont="1" applyFill="1" applyBorder="1" applyAlignment="1">
      <alignment horizontal="right" vertical="top"/>
    </xf>
    <xf numFmtId="1" fontId="45" fillId="2" borderId="1" xfId="0" applyNumberFormat="1" applyFont="1" applyFill="1" applyBorder="1"/>
    <xf numFmtId="166" fontId="45" fillId="2" borderId="1" xfId="0" applyNumberFormat="1" applyFont="1" applyFill="1" applyBorder="1"/>
    <xf numFmtId="171" fontId="12" fillId="0" borderId="0" xfId="0" applyNumberFormat="1" applyFont="1"/>
    <xf numFmtId="169" fontId="40" fillId="6" borderId="0" xfId="0" applyNumberFormat="1" applyFont="1" applyFill="1" applyAlignment="1">
      <alignment horizontal="left"/>
    </xf>
    <xf numFmtId="0" fontId="46" fillId="6" borderId="0" xfId="14" applyFont="1" applyFill="1" applyAlignment="1" applyProtection="1"/>
    <xf numFmtId="0" fontId="47" fillId="0" borderId="0" xfId="0" applyFont="1"/>
    <xf numFmtId="0" fontId="48" fillId="0" borderId="0" xfId="0" applyFont="1"/>
    <xf numFmtId="0" fontId="13" fillId="4" borderId="2" xfId="0" applyFont="1" applyFill="1" applyBorder="1" applyAlignment="1">
      <alignment horizontal="left"/>
    </xf>
    <xf numFmtId="0" fontId="13" fillId="10" borderId="0" xfId="0" applyFont="1" applyFill="1" applyBorder="1" applyAlignment="1">
      <alignment horizontal="center"/>
    </xf>
    <xf numFmtId="3" fontId="49" fillId="2" borderId="1" xfId="0" applyNumberFormat="1" applyFont="1" applyFill="1" applyBorder="1"/>
    <xf numFmtId="167" fontId="45" fillId="2" borderId="1" xfId="0" applyNumberFormat="1" applyFont="1" applyFill="1" applyBorder="1" applyAlignment="1">
      <alignment horizontal="right" vertical="top"/>
    </xf>
    <xf numFmtId="3" fontId="43" fillId="2" borderId="0" xfId="26" applyNumberFormat="1" applyFont="1" applyFill="1"/>
    <xf numFmtId="0" fontId="50" fillId="0" borderId="3" xfId="0" applyFont="1" applyBorder="1"/>
    <xf numFmtId="3" fontId="12" fillId="0" borderId="1" xfId="0" applyNumberFormat="1" applyFont="1" applyFill="1" applyBorder="1"/>
    <xf numFmtId="0" fontId="13" fillId="0" borderId="3" xfId="0" applyFont="1" applyBorder="1" applyAlignment="1">
      <alignment horizontal="left"/>
    </xf>
    <xf numFmtId="167" fontId="13" fillId="0" borderId="5" xfId="0" applyNumberFormat="1" applyFont="1" applyFill="1" applyBorder="1" applyAlignment="1">
      <alignment horizontal="left" vertical="top"/>
    </xf>
    <xf numFmtId="0" fontId="13" fillId="11" borderId="0" xfId="0" applyFont="1" applyFill="1" applyBorder="1"/>
    <xf numFmtId="6" fontId="13" fillId="11" borderId="0" xfId="0" applyNumberFormat="1" applyFont="1" applyFill="1" applyBorder="1"/>
    <xf numFmtId="0" fontId="36" fillId="0" borderId="2" xfId="0" applyFont="1" applyBorder="1" applyAlignment="1">
      <alignment horizontal="left"/>
    </xf>
    <xf numFmtId="0" fontId="36" fillId="0" borderId="2" xfId="0" applyFont="1" applyBorder="1" applyAlignment="1">
      <alignment horizontal="right"/>
    </xf>
    <xf numFmtId="0" fontId="0" fillId="0" borderId="0" xfId="0" applyBorder="1"/>
    <xf numFmtId="0" fontId="37" fillId="0" borderId="0" xfId="0" applyFont="1" applyBorder="1" applyAlignment="1">
      <alignment horizontal="right"/>
    </xf>
    <xf numFmtId="0" fontId="44" fillId="0" borderId="0" xfId="0" applyFont="1" applyBorder="1" applyAlignment="1">
      <alignment horizontal="right"/>
    </xf>
  </cellXfs>
  <cellStyles count="27">
    <cellStyle name="Comma 2" xfId="11"/>
    <cellStyle name="Comma 3" xfId="24"/>
    <cellStyle name="Currency 2" xfId="5"/>
    <cellStyle name="Currency 3" xfId="10"/>
    <cellStyle name="Currency 4" xfId="8"/>
    <cellStyle name="Currency 5" xfId="19"/>
    <cellStyle name="Currency 6" xfId="21"/>
    <cellStyle name="Normal" xfId="0" builtinId="0"/>
    <cellStyle name="Normal 2" xfId="1"/>
    <cellStyle name="Normal 2 2" xfId="3"/>
    <cellStyle name="Normal 2 3" xfId="4"/>
    <cellStyle name="Normal 2 4" xfId="6"/>
    <cellStyle name="Normal 3" xfId="2"/>
    <cellStyle name="Normal 3 2" xfId="14"/>
    <cellStyle name="Normal 3 3" xfId="22"/>
    <cellStyle name="Normal 3 3 2" xfId="25"/>
    <cellStyle name="Normal 4" xfId="7"/>
    <cellStyle name="Normal 5" xfId="13"/>
    <cellStyle name="Normal 6" xfId="15"/>
    <cellStyle name="Normal 7" xfId="16"/>
    <cellStyle name="Normal 8" xfId="17"/>
    <cellStyle name="Normal 9" xfId="20"/>
    <cellStyle name="Percent" xfId="26" builtinId="5"/>
    <cellStyle name="Percent 2" xfId="12"/>
    <cellStyle name="Percent 3" xfId="9"/>
    <cellStyle name="Percent 4" xfId="18"/>
    <cellStyle name="Percent 5" xfId="23"/>
  </cellStyles>
  <dxfs count="6"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</dxfs>
  <tableStyles count="0" defaultTableStyle="TableStyleMedium2" defaultPivotStyle="PivotStyleLight16"/>
  <colors>
    <mruColors>
      <color rgb="FFEBF2F9"/>
      <color rgb="FFE5EEF7"/>
      <color rgb="FFD6E5F2"/>
      <color rgb="FF0000FF"/>
      <color rgb="FFFF6600"/>
      <color rgb="FF0033CC"/>
      <color rgb="FFFFFFCC"/>
      <color rgb="FFFFCCFF"/>
      <color rgb="FF000099"/>
      <color rgb="FF00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D13"/>
  <sheetViews>
    <sheetView showGridLines="0" tabSelected="1" zoomScale="80" zoomScaleNormal="80" workbookViewId="0"/>
  </sheetViews>
  <sheetFormatPr defaultColWidth="9.140625" defaultRowHeight="18.75" x14ac:dyDescent="0.3"/>
  <cols>
    <col min="1" max="1" width="4.28515625" style="48" customWidth="1"/>
    <col min="2" max="2" width="7.85546875" style="48" customWidth="1"/>
    <col min="3" max="3" width="15.140625" style="48" customWidth="1"/>
    <col min="4" max="4" width="17.85546875" style="48" customWidth="1"/>
    <col min="5" max="9" width="10.7109375" style="48" customWidth="1"/>
    <col min="10" max="10" width="10.7109375" style="80" customWidth="1"/>
    <col min="11" max="20" width="10.7109375" style="48" customWidth="1"/>
    <col min="21" max="21" width="4" style="48" customWidth="1"/>
    <col min="22" max="26" width="10.7109375" style="48" customWidth="1"/>
    <col min="27" max="27" width="3.140625" style="48" customWidth="1"/>
    <col min="28" max="28" width="10.7109375" style="48" customWidth="1"/>
    <col min="29" max="29" width="9.140625" style="48"/>
    <col min="30" max="30" width="14.85546875" style="48" bestFit="1" customWidth="1"/>
    <col min="31" max="16384" width="9.140625" style="48"/>
  </cols>
  <sheetData>
    <row r="1" spans="1:30" ht="21" x14ac:dyDescent="0.35">
      <c r="A1" s="18" t="str">
        <f>Assumptions!A1</f>
        <v>Device replacement</v>
      </c>
      <c r="B1" s="46"/>
      <c r="C1" s="46"/>
      <c r="D1" s="46"/>
      <c r="E1" s="46"/>
      <c r="F1" s="46"/>
      <c r="G1" s="46"/>
      <c r="H1" s="46"/>
      <c r="I1" s="46"/>
      <c r="J1" s="47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</row>
    <row r="2" spans="1:30" x14ac:dyDescent="0.3">
      <c r="A2" s="17" t="str">
        <f>Assumptions!A2</f>
        <v>VPN</v>
      </c>
      <c r="B2" s="46"/>
      <c r="C2" s="46"/>
      <c r="D2" s="46"/>
      <c r="E2" s="46"/>
      <c r="F2" s="46"/>
      <c r="G2" s="46"/>
      <c r="H2" s="46"/>
      <c r="I2" s="46"/>
      <c r="J2" s="47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</row>
    <row r="3" spans="1:30" s="51" customFormat="1" x14ac:dyDescent="0.3">
      <c r="A3" s="37" t="s">
        <v>47</v>
      </c>
      <c r="B3" s="49"/>
      <c r="C3" s="49"/>
      <c r="D3" s="49"/>
      <c r="E3" s="49"/>
      <c r="F3" s="49"/>
      <c r="G3" s="49"/>
      <c r="H3" s="49"/>
      <c r="I3" s="49"/>
      <c r="J3" s="49"/>
      <c r="K3" s="50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</row>
    <row r="4" spans="1:30" ht="12.75" customHeight="1" x14ac:dyDescent="0.3">
      <c r="A4" s="52"/>
      <c r="B4" s="52"/>
      <c r="C4" s="53"/>
      <c r="D4" s="53"/>
      <c r="E4" s="54"/>
      <c r="F4" s="53"/>
      <c r="G4" s="53"/>
      <c r="H4" s="54"/>
      <c r="I4" s="54"/>
      <c r="J4" s="54"/>
      <c r="K4" s="54"/>
      <c r="L4" s="54"/>
      <c r="M4" s="55"/>
      <c r="N4" s="55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</row>
    <row r="5" spans="1:30" s="2" customFormat="1" ht="12.75" customHeight="1" x14ac:dyDescent="0.2">
      <c r="A5" s="56"/>
      <c r="B5" s="57" t="s">
        <v>24</v>
      </c>
      <c r="C5" s="58"/>
      <c r="D5" s="59" t="str">
        <f>Summary!D6</f>
        <v>Option 1</v>
      </c>
      <c r="E5" s="60"/>
      <c r="F5" s="61"/>
      <c r="G5" s="61"/>
      <c r="H5" s="60"/>
      <c r="I5" s="60"/>
      <c r="J5" s="60"/>
      <c r="K5" s="60"/>
      <c r="L5" s="60"/>
      <c r="M5" s="62"/>
      <c r="N5" s="62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</row>
    <row r="6" spans="1:30" s="2" customFormat="1" ht="12.75" customHeight="1" x14ac:dyDescent="0.2">
      <c r="A6" s="56"/>
      <c r="B6" s="116" t="s">
        <v>40</v>
      </c>
      <c r="C6" s="67"/>
      <c r="D6" s="115" t="b">
        <f>AND('Option 1'!V3, 'Option 2'!V3)</f>
        <v>1</v>
      </c>
      <c r="E6" s="60"/>
      <c r="F6" s="61"/>
      <c r="G6" s="61"/>
      <c r="H6" s="60"/>
      <c r="I6" s="60"/>
      <c r="J6" s="60"/>
      <c r="K6" s="60"/>
      <c r="L6" s="60"/>
      <c r="M6" s="62"/>
      <c r="N6" s="62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</row>
    <row r="7" spans="1:30" s="2" customFormat="1" ht="12.75" customHeight="1" x14ac:dyDescent="0.2">
      <c r="A7" s="56"/>
      <c r="B7" s="56"/>
      <c r="C7" s="56"/>
      <c r="D7" s="56"/>
      <c r="E7" s="56"/>
      <c r="F7" s="56"/>
      <c r="G7" s="61"/>
      <c r="H7" s="60"/>
      <c r="I7" s="60"/>
      <c r="J7" s="60"/>
      <c r="K7" s="60"/>
      <c r="L7" s="60"/>
      <c r="M7" s="62"/>
      <c r="N7" s="62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</row>
    <row r="8" spans="1:30" s="2" customFormat="1" ht="12.75" customHeight="1" x14ac:dyDescent="0.2">
      <c r="A8" s="63"/>
      <c r="B8" s="64"/>
      <c r="C8" s="61"/>
      <c r="D8" s="61"/>
      <c r="E8" s="60"/>
      <c r="F8" s="61"/>
      <c r="G8" s="61"/>
      <c r="H8" s="60"/>
      <c r="I8" s="60"/>
      <c r="J8" s="60"/>
      <c r="K8" s="60"/>
      <c r="L8" s="60"/>
      <c r="M8" s="62"/>
      <c r="N8" s="62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</row>
    <row r="9" spans="1:30" s="2" customFormat="1" ht="12.75" customHeight="1" x14ac:dyDescent="0.2">
      <c r="A9" s="65"/>
      <c r="B9" s="66" t="s">
        <v>48</v>
      </c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</row>
    <row r="10" spans="1:30" s="2" customFormat="1" ht="12.75" customHeight="1" x14ac:dyDescent="0.2">
      <c r="A10" s="67"/>
      <c r="B10" s="68"/>
      <c r="C10" s="69"/>
      <c r="D10" s="69"/>
      <c r="E10" s="70"/>
      <c r="F10" s="71" t="s">
        <v>16</v>
      </c>
      <c r="G10" s="71" t="str">
        <f>F10</f>
        <v>2021/22</v>
      </c>
      <c r="H10" s="70" t="str">
        <f>G10</f>
        <v>2021/22</v>
      </c>
      <c r="I10" s="71" t="s">
        <v>17</v>
      </c>
      <c r="J10" s="71" t="str">
        <f>I10</f>
        <v>2022/23</v>
      </c>
      <c r="K10" s="70" t="str">
        <f>J10</f>
        <v>2022/23</v>
      </c>
      <c r="L10" s="71" t="s">
        <v>18</v>
      </c>
      <c r="M10" s="71" t="str">
        <f>L10</f>
        <v>2023/24</v>
      </c>
      <c r="N10" s="70" t="str">
        <f>M10</f>
        <v>2023/24</v>
      </c>
      <c r="O10" s="71" t="s">
        <v>19</v>
      </c>
      <c r="P10" s="71" t="str">
        <f>O10</f>
        <v>2024/25</v>
      </c>
      <c r="Q10" s="70" t="str">
        <f>P10</f>
        <v>2024/25</v>
      </c>
      <c r="R10" s="71" t="s">
        <v>20</v>
      </c>
      <c r="S10" s="71" t="str">
        <f>R10</f>
        <v>2025/26</v>
      </c>
      <c r="T10" s="70" t="str">
        <f>S10</f>
        <v>2025/26</v>
      </c>
      <c r="U10" s="67"/>
      <c r="V10" s="71" t="str">
        <f>F10</f>
        <v>2021/22</v>
      </c>
      <c r="W10" s="71" t="str">
        <f>I10</f>
        <v>2022/23</v>
      </c>
      <c r="X10" s="71" t="str">
        <f>L10</f>
        <v>2023/24</v>
      </c>
      <c r="Y10" s="71" t="str">
        <f>O10</f>
        <v>2024/25</v>
      </c>
      <c r="Z10" s="71" t="str">
        <f>R10</f>
        <v>2025/26</v>
      </c>
      <c r="AA10" s="67"/>
      <c r="AB10" s="71" t="s">
        <v>25</v>
      </c>
    </row>
    <row r="11" spans="1:30" s="2" customFormat="1" ht="12.75" customHeight="1" x14ac:dyDescent="0.2">
      <c r="A11" s="67"/>
      <c r="B11" s="72" t="s">
        <v>26</v>
      </c>
      <c r="C11" s="72" t="s">
        <v>27</v>
      </c>
      <c r="D11" s="72"/>
      <c r="E11" s="73"/>
      <c r="F11" s="74" t="s">
        <v>2</v>
      </c>
      <c r="G11" s="74" t="s">
        <v>1</v>
      </c>
      <c r="H11" s="73" t="s">
        <v>4</v>
      </c>
      <c r="I11" s="74" t="s">
        <v>2</v>
      </c>
      <c r="J11" s="74" t="s">
        <v>1</v>
      </c>
      <c r="K11" s="73" t="s">
        <v>4</v>
      </c>
      <c r="L11" s="74" t="s">
        <v>2</v>
      </c>
      <c r="M11" s="74" t="s">
        <v>1</v>
      </c>
      <c r="N11" s="73" t="s">
        <v>4</v>
      </c>
      <c r="O11" s="74" t="s">
        <v>2</v>
      </c>
      <c r="P11" s="74" t="s">
        <v>1</v>
      </c>
      <c r="Q11" s="73" t="s">
        <v>4</v>
      </c>
      <c r="R11" s="75" t="s">
        <v>2</v>
      </c>
      <c r="S11" s="75" t="s">
        <v>1</v>
      </c>
      <c r="T11" s="75" t="s">
        <v>4</v>
      </c>
      <c r="U11" s="67"/>
      <c r="V11" s="75"/>
      <c r="W11" s="75"/>
      <c r="X11" s="75"/>
      <c r="Y11" s="75"/>
      <c r="Z11" s="75"/>
      <c r="AA11" s="67"/>
      <c r="AB11" s="75"/>
    </row>
    <row r="12" spans="1:30" s="2" customFormat="1" ht="12.75" customHeight="1" x14ac:dyDescent="0.2">
      <c r="A12" s="67"/>
      <c r="B12" s="76">
        <v>200</v>
      </c>
      <c r="C12" s="77" t="s">
        <v>28</v>
      </c>
      <c r="D12" s="77"/>
      <c r="E12" s="77"/>
      <c r="F12" s="78">
        <f ca="1">INDEX(Summary!$F$11:$J$43,MATCH($D$5&amp;F$11,Summary!$D$11:$D$43,0), MATCH(Output!F$10, Summary!$F$10:$J$10,0))/1000</f>
        <v>220.30221289024195</v>
      </c>
      <c r="G12" s="78">
        <f ca="1">INDEX(Summary!$F$11:$J$43,MATCH($D$5&amp;G$11,Summary!$D$11:$D$43,0), MATCH(Output!G$10, Summary!$F$10:$J$10,0))/1000</f>
        <v>3659.6279550459917</v>
      </c>
      <c r="H12" s="78">
        <f ca="1">INDEX(Summary!$F$11:$J$43,MATCH($D$5&amp;H$11,Summary!$D$11:$D$43,0), MATCH(Output!H$10, Summary!$F$10:$J$10,0))/1000</f>
        <v>0</v>
      </c>
      <c r="I12" s="78">
        <f ca="1">INDEX(Summary!$F$11:$J$43,MATCH($D$5&amp;I$11,Summary!$D$11:$D$43,0), MATCH(Output!I$10, Summary!$F$10:$J$10,0))/1000</f>
        <v>220.30221289024195</v>
      </c>
      <c r="J12" s="78">
        <f ca="1">INDEX(Summary!$F$11:$J$43,MATCH($D$5&amp;J$11,Summary!$D$11:$D$43,0), MATCH(Output!J$10, Summary!$F$10:$J$10,0))/1000</f>
        <v>3659.6279550459917</v>
      </c>
      <c r="K12" s="78">
        <f ca="1">INDEX(Summary!$F$11:$J$43,MATCH($D$5&amp;K$11,Summary!$D$11:$D$43,0), MATCH(Output!K$10, Summary!$F$10:$J$10,0))/1000</f>
        <v>0</v>
      </c>
      <c r="L12" s="78">
        <f ca="1">INDEX(Summary!$F$11:$J$43,MATCH($D$5&amp;L$11,Summary!$D$11:$D$43,0), MATCH(Output!L$10, Summary!$F$10:$J$10,0))/1000</f>
        <v>220.30221289024195</v>
      </c>
      <c r="M12" s="78">
        <f ca="1">INDEX(Summary!$F$11:$J$43,MATCH($D$5&amp;M$11,Summary!$D$11:$D$43,0), MATCH(Output!M$10, Summary!$F$10:$J$10,0))/1000</f>
        <v>3659.6279550459917</v>
      </c>
      <c r="N12" s="78">
        <f ca="1">INDEX(Summary!$F$11:$J$43,MATCH($D$5&amp;N$11,Summary!$D$11:$D$43,0), MATCH(Output!N$10, Summary!$F$10:$J$10,0))/1000</f>
        <v>0</v>
      </c>
      <c r="O12" s="78">
        <f ca="1">INDEX(Summary!$F$11:$J$43,MATCH($D$5&amp;O$11,Summary!$D$11:$D$43,0), MATCH(Output!O$10, Summary!$F$10:$J$10,0))/1000</f>
        <v>220.30221289024195</v>
      </c>
      <c r="P12" s="78">
        <f ca="1">INDEX(Summary!$F$11:$J$43,MATCH($D$5&amp;P$11,Summary!$D$11:$D$43,0), MATCH(Output!P$10, Summary!$F$10:$J$10,0))/1000</f>
        <v>3659.6279550459917</v>
      </c>
      <c r="Q12" s="78">
        <f ca="1">INDEX(Summary!$F$11:$J$43,MATCH($D$5&amp;Q$11,Summary!$D$11:$D$43,0), MATCH(Output!Q$10, Summary!$F$10:$J$10,0))/1000</f>
        <v>0</v>
      </c>
      <c r="R12" s="78">
        <f ca="1">INDEX(Summary!$F$11:$J$43,MATCH($D$5&amp;R$11,Summary!$D$11:$D$43,0), MATCH(Output!R$10, Summary!$F$10:$J$10,0))/1000</f>
        <v>220.30221289024195</v>
      </c>
      <c r="S12" s="78">
        <f ca="1">INDEX(Summary!$F$11:$J$43,MATCH($D$5&amp;S$11,Summary!$D$11:$D$43,0), MATCH(Output!S$10, Summary!$F$10:$J$10,0))/1000</f>
        <v>3659.6279550459917</v>
      </c>
      <c r="T12" s="78">
        <f ca="1">INDEX(Summary!$F$11:$J$43,MATCH($D$5&amp;T$11,Summary!$D$11:$D$43,0), MATCH(Output!T$10, Summary!$F$10:$J$10,0))/1000</f>
        <v>0</v>
      </c>
      <c r="U12" s="67"/>
      <c r="V12" s="78">
        <f ca="1">SUMIF($F$10:$T$10,V$10,$F12:$T12)</f>
        <v>3879.9301679362338</v>
      </c>
      <c r="W12" s="78">
        <f ca="1">SUMIF($F$10:$T$10,W$10,$F12:$T12)</f>
        <v>3879.9301679362338</v>
      </c>
      <c r="X12" s="78">
        <f ca="1">SUMIF($F$10:$T$10,X$10,$F12:$T12)</f>
        <v>3879.9301679362338</v>
      </c>
      <c r="Y12" s="78">
        <f ca="1">SUMIF($F$10:$T$10,Y$10,$F12:$T12)</f>
        <v>3879.9301679362338</v>
      </c>
      <c r="Z12" s="78">
        <f ca="1">SUMIF($F$10:$T$10,Z$10,$F12:$T12)</f>
        <v>3879.9301679362338</v>
      </c>
      <c r="AA12" s="67"/>
      <c r="AB12" s="78">
        <f ca="1">SUM(V12:Z12)</f>
        <v>19399.65083968117</v>
      </c>
    </row>
    <row r="13" spans="1:30" s="2" customFormat="1" ht="12.75" customHeight="1" x14ac:dyDescent="0.2">
      <c r="A13" s="67"/>
      <c r="B13" s="76"/>
      <c r="C13" s="77"/>
      <c r="D13" s="77"/>
      <c r="E13" s="77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67"/>
      <c r="V13" s="78"/>
      <c r="W13" s="78"/>
      <c r="X13" s="78"/>
      <c r="Y13" s="78"/>
      <c r="Z13" s="78"/>
      <c r="AA13" s="67"/>
      <c r="AB13" s="78"/>
      <c r="AD13" s="79"/>
    </row>
  </sheetData>
  <conditionalFormatting sqref="D6">
    <cfRule type="expression" dxfId="5" priority="1">
      <formula>D6&lt;&gt;TRUE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Q34"/>
  <sheetViews>
    <sheetView showGridLines="0" zoomScale="85" zoomScaleNormal="85" workbookViewId="0">
      <selection activeCell="D36" sqref="D36"/>
    </sheetView>
  </sheetViews>
  <sheetFormatPr defaultColWidth="9.140625" defaultRowHeight="12.75" x14ac:dyDescent="0.2"/>
  <cols>
    <col min="1" max="1" width="4.28515625" style="1" customWidth="1"/>
    <col min="2" max="2" width="10.140625" style="1" customWidth="1"/>
    <col min="3" max="3" width="15.28515625" style="1" customWidth="1"/>
    <col min="4" max="4" width="13.85546875" style="100" customWidth="1"/>
    <col min="5" max="5" width="2.85546875" style="1" customWidth="1"/>
    <col min="6" max="10" width="12.42578125" style="1" customWidth="1"/>
    <col min="11" max="11" width="10.28515625" style="1" bestFit="1" customWidth="1"/>
    <col min="12" max="12" width="11.28515625" style="1" bestFit="1" customWidth="1"/>
    <col min="13" max="16384" width="9.140625" style="1"/>
  </cols>
  <sheetData>
    <row r="1" spans="1:17" ht="21" x14ac:dyDescent="0.35">
      <c r="A1" s="18" t="str">
        <f>Assumptions!A1</f>
        <v>Device replacement</v>
      </c>
      <c r="B1" s="18"/>
      <c r="C1" s="15"/>
      <c r="D1" s="15"/>
      <c r="E1" s="15"/>
      <c r="F1" s="15"/>
      <c r="G1" s="15"/>
      <c r="H1" s="15"/>
      <c r="I1" s="15"/>
      <c r="J1" s="15"/>
    </row>
    <row r="2" spans="1:17" ht="15.75" x14ac:dyDescent="0.25">
      <c r="A2" s="17" t="str">
        <f>Assumptions!A2</f>
        <v>VPN</v>
      </c>
      <c r="B2" s="17"/>
      <c r="C2" s="15"/>
      <c r="D2" s="15"/>
      <c r="E2" s="15"/>
      <c r="F2" s="15"/>
      <c r="G2" s="15"/>
      <c r="H2" s="15"/>
      <c r="I2" s="15"/>
      <c r="J2" s="15"/>
    </row>
    <row r="3" spans="1:17" s="22" customFormat="1" ht="15.75" x14ac:dyDescent="0.25">
      <c r="A3" s="37" t="s">
        <v>49</v>
      </c>
      <c r="B3" s="35"/>
      <c r="C3" s="36"/>
      <c r="D3" s="36"/>
      <c r="E3" s="36"/>
      <c r="F3" s="36"/>
      <c r="G3" s="36"/>
      <c r="H3" s="36"/>
      <c r="I3" s="36"/>
      <c r="J3" s="36"/>
      <c r="K3" s="1"/>
    </row>
    <row r="4" spans="1:17" ht="12.75" customHeight="1" x14ac:dyDescent="0.25">
      <c r="E4" s="3"/>
      <c r="O4"/>
    </row>
    <row r="5" spans="1:17" s="2" customFormat="1" ht="12.75" customHeight="1" x14ac:dyDescent="0.25">
      <c r="B5" s="19"/>
      <c r="C5" s="20"/>
      <c r="D5" s="20"/>
      <c r="E5" s="20"/>
      <c r="F5" s="20"/>
      <c r="G5" s="20"/>
      <c r="H5" s="20"/>
      <c r="I5" s="20"/>
      <c r="J5" s="20"/>
    </row>
    <row r="6" spans="1:17" ht="12.75" customHeight="1" x14ac:dyDescent="0.25">
      <c r="B6" s="42" t="s">
        <v>22</v>
      </c>
      <c r="D6" s="43" t="s">
        <v>29</v>
      </c>
      <c r="E6" s="3"/>
      <c r="O6"/>
    </row>
    <row r="7" spans="1:17" ht="12.75" customHeight="1" x14ac:dyDescent="0.25">
      <c r="B7" s="116" t="s">
        <v>40</v>
      </c>
      <c r="D7" s="115" t="b">
        <f>Output!D6</f>
        <v>1</v>
      </c>
      <c r="E7" s="3"/>
      <c r="O7"/>
    </row>
    <row r="8" spans="1:17" ht="12.75" customHeight="1" x14ac:dyDescent="0.25">
      <c r="E8" s="3"/>
      <c r="O8"/>
    </row>
    <row r="9" spans="1:17" ht="12.75" customHeight="1" x14ac:dyDescent="0.25">
      <c r="E9" s="3"/>
      <c r="O9"/>
    </row>
    <row r="10" spans="1:17" ht="12.75" customHeight="1" x14ac:dyDescent="0.25">
      <c r="B10" s="82" t="s">
        <v>29</v>
      </c>
      <c r="C10" s="82" t="s">
        <v>9</v>
      </c>
      <c r="D10" s="82"/>
      <c r="E10" s="83"/>
      <c r="F10" s="84" t="s">
        <v>16</v>
      </c>
      <c r="G10" s="84" t="s">
        <v>17</v>
      </c>
      <c r="H10" s="84" t="s">
        <v>18</v>
      </c>
      <c r="I10" s="84" t="s">
        <v>19</v>
      </c>
      <c r="J10" s="84" t="s">
        <v>20</v>
      </c>
      <c r="O10"/>
    </row>
    <row r="11" spans="1:17" ht="12.75" customHeight="1" x14ac:dyDescent="0.25">
      <c r="C11" s="1" t="s">
        <v>2</v>
      </c>
      <c r="D11" s="118" t="str">
        <f>B10&amp;C11</f>
        <v>Option 1Labour</v>
      </c>
      <c r="E11" s="3"/>
      <c r="F11" s="9">
        <f t="shared" ref="F11:J13" ca="1" si="0">SUMIF(INDIRECT(LEFT($D11,6)&amp;MID($D11,8,1)&amp;"_categories"),$C11,INDEX(INDIRECT(LEFT($D11,6)&amp;MID($D11,8,1)&amp;"_costs"),,MATCH(F$10,years,0)))*Conv_2021</f>
        <v>220302.21289024194</v>
      </c>
      <c r="G11" s="9">
        <f t="shared" ca="1" si="0"/>
        <v>220302.21289024194</v>
      </c>
      <c r="H11" s="9">
        <f t="shared" ca="1" si="0"/>
        <v>220302.21289024194</v>
      </c>
      <c r="I11" s="9">
        <f t="shared" ca="1" si="0"/>
        <v>220302.21289024194</v>
      </c>
      <c r="J11" s="9">
        <f t="shared" ca="1" si="0"/>
        <v>220302.21289024194</v>
      </c>
      <c r="O11"/>
    </row>
    <row r="12" spans="1:17" ht="12.75" customHeight="1" x14ac:dyDescent="0.25">
      <c r="C12" s="1" t="s">
        <v>1</v>
      </c>
      <c r="D12" s="118" t="str">
        <f>B10&amp;C12</f>
        <v>Option 1Materials</v>
      </c>
      <c r="E12" s="3"/>
      <c r="F12" s="9">
        <f t="shared" ca="1" si="0"/>
        <v>3659627.9550459916</v>
      </c>
      <c r="G12" s="9">
        <f t="shared" ca="1" si="0"/>
        <v>3659627.9550459916</v>
      </c>
      <c r="H12" s="9">
        <f t="shared" ca="1" si="0"/>
        <v>3659627.9550459916</v>
      </c>
      <c r="I12" s="9">
        <f t="shared" ca="1" si="0"/>
        <v>3659627.9550459916</v>
      </c>
      <c r="J12" s="9">
        <f t="shared" ca="1" si="0"/>
        <v>3659627.9550459916</v>
      </c>
      <c r="O12"/>
    </row>
    <row r="13" spans="1:17" ht="12.75" customHeight="1" x14ac:dyDescent="0.2">
      <c r="C13" s="1" t="s">
        <v>4</v>
      </c>
      <c r="D13" s="118" t="str">
        <f>B10&amp;C13</f>
        <v>Option 1Contracts</v>
      </c>
      <c r="F13" s="9">
        <f t="shared" ca="1" si="0"/>
        <v>0</v>
      </c>
      <c r="G13" s="9">
        <f t="shared" ca="1" si="0"/>
        <v>0</v>
      </c>
      <c r="H13" s="9">
        <f t="shared" ca="1" si="0"/>
        <v>0</v>
      </c>
      <c r="I13" s="9">
        <f t="shared" ca="1" si="0"/>
        <v>0</v>
      </c>
      <c r="J13" s="9">
        <f t="shared" ca="1" si="0"/>
        <v>0</v>
      </c>
    </row>
    <row r="14" spans="1:17" ht="12.75" customHeight="1" x14ac:dyDescent="0.2">
      <c r="B14" s="100"/>
      <c r="C14" s="25" t="s">
        <v>50</v>
      </c>
      <c r="D14" s="25"/>
      <c r="E14" s="25"/>
      <c r="F14" s="26">
        <f ca="1">SUM(F11:F13)</f>
        <v>3879930.1679362333</v>
      </c>
      <c r="G14" s="26">
        <f ca="1">SUM(G11:G13)</f>
        <v>3879930.1679362333</v>
      </c>
      <c r="H14" s="26">
        <f ca="1">SUM(H11:H13)</f>
        <v>3879930.1679362333</v>
      </c>
      <c r="I14" s="26">
        <f ca="1">SUM(I11:I13)</f>
        <v>3879930.1679362333</v>
      </c>
      <c r="J14" s="26">
        <f ca="1">SUM(J11:J13)</f>
        <v>3879930.1679362333</v>
      </c>
      <c r="K14" s="44"/>
      <c r="L14" s="2"/>
      <c r="M14" s="2"/>
      <c r="N14" s="2"/>
      <c r="O14" s="2"/>
      <c r="P14" s="2"/>
      <c r="Q14" s="2"/>
    </row>
    <row r="15" spans="1:17" ht="12.75" customHeight="1" x14ac:dyDescent="0.2">
      <c r="B15" s="100"/>
      <c r="C15" s="7"/>
      <c r="D15" s="7"/>
      <c r="E15" s="7"/>
      <c r="F15" s="81"/>
      <c r="G15" s="81"/>
      <c r="H15" s="81"/>
      <c r="I15" s="81"/>
      <c r="J15" s="81"/>
    </row>
    <row r="16" spans="1:17" ht="12.75" customHeight="1" x14ac:dyDescent="0.2">
      <c r="C16" s="127" t="s">
        <v>78</v>
      </c>
      <c r="D16" s="26"/>
      <c r="E16" s="26"/>
      <c r="F16" s="26">
        <f ca="1">NPV(Assumptions!$B$6,F14:J14)</f>
        <v>17896495.526923485</v>
      </c>
      <c r="G16" s="81"/>
      <c r="H16" s="81"/>
      <c r="I16" s="81"/>
      <c r="J16" s="81"/>
    </row>
    <row r="17" spans="2:12" ht="12.75" customHeight="1" x14ac:dyDescent="0.2">
      <c r="C17" s="41"/>
      <c r="D17" s="41"/>
      <c r="E17" s="7"/>
      <c r="F17" s="81"/>
      <c r="G17" s="81"/>
      <c r="H17" s="81"/>
      <c r="I17" s="81"/>
      <c r="J17" s="81"/>
    </row>
    <row r="18" spans="2:12" ht="12.75" customHeight="1" x14ac:dyDescent="0.2">
      <c r="B18" s="7"/>
      <c r="C18" s="7"/>
      <c r="D18" s="7"/>
      <c r="E18" s="7"/>
      <c r="F18" s="27"/>
      <c r="G18" s="27"/>
      <c r="H18" s="27"/>
      <c r="I18" s="27"/>
      <c r="J18" s="27"/>
    </row>
    <row r="19" spans="2:12" ht="12.75" customHeight="1" x14ac:dyDescent="0.2">
      <c r="B19" s="82" t="s">
        <v>21</v>
      </c>
      <c r="C19" s="82" t="s">
        <v>9</v>
      </c>
      <c r="D19" s="82"/>
      <c r="E19" s="83"/>
      <c r="F19" s="84" t="str">
        <f>F$10</f>
        <v>2021/22</v>
      </c>
      <c r="G19" s="84" t="str">
        <f t="shared" ref="G19:J19" si="1">G$10</f>
        <v>2022/23</v>
      </c>
      <c r="H19" s="84" t="str">
        <f t="shared" si="1"/>
        <v>2023/24</v>
      </c>
      <c r="I19" s="84" t="str">
        <f t="shared" si="1"/>
        <v>2024/25</v>
      </c>
      <c r="J19" s="84" t="str">
        <f t="shared" si="1"/>
        <v>2025/26</v>
      </c>
    </row>
    <row r="20" spans="2:12" ht="12.75" customHeight="1" x14ac:dyDescent="0.2">
      <c r="C20" s="1" t="s">
        <v>2</v>
      </c>
      <c r="D20" s="118" t="str">
        <f>B19&amp;C20</f>
        <v>Option 2Labour</v>
      </c>
      <c r="E20" s="3"/>
      <c r="F20" s="9">
        <f t="shared" ref="F20:J22" ca="1" si="2">SUMIF(INDIRECT(LEFT($D20,6)&amp;MID($D20,8,1)&amp;"_categories"),$C20,INDEX(INDIRECT(LEFT($D20,6)&amp;MID($D20,8,1)&amp;"_costs"),,MATCH(F$10,years,0)))*Conv_2021</f>
        <v>804152.95577828377</v>
      </c>
      <c r="G20" s="9">
        <f t="shared" ca="1" si="2"/>
        <v>0</v>
      </c>
      <c r="H20" s="9">
        <f t="shared" ca="1" si="2"/>
        <v>47398.273193127563</v>
      </c>
      <c r="I20" s="9">
        <f t="shared" ca="1" si="2"/>
        <v>88972.867768669486</v>
      </c>
      <c r="J20" s="9">
        <f t="shared" ca="1" si="2"/>
        <v>715180.08800961426</v>
      </c>
    </row>
    <row r="21" spans="2:12" x14ac:dyDescent="0.2">
      <c r="C21" s="1" t="s">
        <v>1</v>
      </c>
      <c r="D21" s="118" t="str">
        <f>B19&amp;C21</f>
        <v>Option 2Materials</v>
      </c>
      <c r="E21" s="3"/>
      <c r="F21" s="9">
        <f t="shared" ca="1" si="2"/>
        <v>11415723.304049561</v>
      </c>
      <c r="G21" s="9">
        <f t="shared" ca="1" si="2"/>
        <v>0</v>
      </c>
      <c r="H21" s="9">
        <f t="shared" ca="1" si="2"/>
        <v>2237260.5546477889</v>
      </c>
      <c r="I21" s="9">
        <f t="shared" ca="1" si="2"/>
        <v>2956583.884459849</v>
      </c>
      <c r="J21" s="9">
        <f t="shared" ca="1" si="2"/>
        <v>8459139.4195897114</v>
      </c>
    </row>
    <row r="22" spans="2:12" x14ac:dyDescent="0.2">
      <c r="C22" s="1" t="s">
        <v>4</v>
      </c>
      <c r="D22" s="118" t="str">
        <f>B19&amp;C22</f>
        <v>Option 2Contracts</v>
      </c>
      <c r="F22" s="9">
        <f t="shared" ca="1" si="2"/>
        <v>0</v>
      </c>
      <c r="G22" s="9">
        <f t="shared" ca="1" si="2"/>
        <v>0</v>
      </c>
      <c r="H22" s="9">
        <f t="shared" ca="1" si="2"/>
        <v>0</v>
      </c>
      <c r="I22" s="9">
        <f t="shared" ca="1" si="2"/>
        <v>0</v>
      </c>
      <c r="J22" s="9">
        <f t="shared" ca="1" si="2"/>
        <v>0</v>
      </c>
    </row>
    <row r="23" spans="2:12" x14ac:dyDescent="0.2">
      <c r="B23" s="100"/>
      <c r="C23" s="25" t="s">
        <v>50</v>
      </c>
      <c r="D23" s="25"/>
      <c r="E23" s="25"/>
      <c r="F23" s="26">
        <f ca="1">SUM(F20:F22)</f>
        <v>12219876.259827845</v>
      </c>
      <c r="G23" s="26">
        <f ca="1">SUM(G20:G22)</f>
        <v>0</v>
      </c>
      <c r="H23" s="26">
        <f ca="1">SUM(H20:H22)</f>
        <v>2284658.8278409163</v>
      </c>
      <c r="I23" s="26">
        <f ca="1">SUM(I20:I22)</f>
        <v>3045556.7522285185</v>
      </c>
      <c r="J23" s="26">
        <f ca="1">SUM(J20:J22)</f>
        <v>9174319.5075993259</v>
      </c>
      <c r="L23" s="2"/>
    </row>
    <row r="24" spans="2:12" x14ac:dyDescent="0.2">
      <c r="B24" s="100"/>
    </row>
    <row r="25" spans="2:12" x14ac:dyDescent="0.2">
      <c r="C25" s="127" t="s">
        <v>78</v>
      </c>
      <c r="D25" s="26"/>
      <c r="E25" s="26"/>
      <c r="F25" s="26">
        <f ca="1">NPV(Assumptions!$B$6,F23:J23)</f>
        <v>24741871.380315479</v>
      </c>
    </row>
    <row r="26" spans="2:12" x14ac:dyDescent="0.2">
      <c r="B26" s="32"/>
      <c r="C26" s="41"/>
      <c r="D26" s="41"/>
      <c r="E26" s="32"/>
      <c r="F26" s="32"/>
      <c r="G26" s="32"/>
      <c r="H26" s="32"/>
      <c r="I26" s="32"/>
      <c r="J26" s="32"/>
    </row>
    <row r="28" spans="2:12" x14ac:dyDescent="0.2">
      <c r="B28" s="100"/>
      <c r="C28" s="100"/>
      <c r="E28" s="100"/>
      <c r="F28" s="100"/>
      <c r="G28" s="100"/>
      <c r="H28" s="100"/>
      <c r="I28" s="100"/>
      <c r="J28" s="100"/>
      <c r="K28" s="100"/>
    </row>
    <row r="29" spans="2:12" x14ac:dyDescent="0.2">
      <c r="B29" s="100"/>
      <c r="C29" s="100"/>
      <c r="E29" s="100"/>
      <c r="F29" s="100"/>
      <c r="G29" s="100"/>
      <c r="H29" s="100"/>
      <c r="I29" s="100"/>
      <c r="J29" s="100"/>
      <c r="K29" s="100"/>
    </row>
    <row r="30" spans="2:12" x14ac:dyDescent="0.2">
      <c r="B30" s="100"/>
      <c r="C30" s="100"/>
      <c r="E30" s="100"/>
      <c r="F30" s="100"/>
      <c r="G30" s="100"/>
      <c r="H30" s="100"/>
      <c r="I30" s="100"/>
      <c r="J30" s="100"/>
      <c r="K30" s="100"/>
    </row>
    <row r="31" spans="2:12" x14ac:dyDescent="0.2">
      <c r="B31" s="100"/>
      <c r="C31" s="100"/>
      <c r="E31" s="100"/>
      <c r="F31" s="100"/>
      <c r="G31" s="100"/>
      <c r="H31" s="100"/>
      <c r="I31" s="100"/>
      <c r="J31" s="100"/>
      <c r="K31" s="100"/>
    </row>
    <row r="32" spans="2:12" x14ac:dyDescent="0.2">
      <c r="B32" s="100"/>
      <c r="C32" s="100"/>
      <c r="E32" s="100"/>
      <c r="F32" s="100"/>
      <c r="G32" s="100"/>
      <c r="H32" s="100"/>
      <c r="I32" s="100"/>
      <c r="J32" s="100"/>
      <c r="K32" s="100"/>
    </row>
    <row r="33" spans="2:11" x14ac:dyDescent="0.2">
      <c r="B33" s="100"/>
      <c r="C33" s="100"/>
      <c r="E33" s="100"/>
      <c r="F33" s="100"/>
      <c r="G33" s="100"/>
      <c r="H33" s="100"/>
      <c r="I33" s="100"/>
      <c r="J33" s="100"/>
      <c r="K33" s="100"/>
    </row>
    <row r="34" spans="2:11" x14ac:dyDescent="0.2">
      <c r="B34" s="100"/>
      <c r="C34" s="100"/>
      <c r="E34" s="100"/>
      <c r="F34" s="100"/>
      <c r="G34" s="100"/>
      <c r="H34" s="100"/>
      <c r="I34" s="100"/>
      <c r="J34" s="100"/>
      <c r="K34" s="100"/>
    </row>
  </sheetData>
  <conditionalFormatting sqref="D7">
    <cfRule type="expression" dxfId="4" priority="1">
      <formula>D7&lt;&gt;TRUE</formula>
    </cfRule>
  </conditionalFormatting>
  <pageMargins left="0.70866141732283472" right="0.70866141732283472" top="0.74803149606299213" bottom="0.74803149606299213" header="0.31496062992125984" footer="0.31496062992125984"/>
  <pageSetup paperSize="9" scale="83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Assumptions!$A$36:$A$38</xm:f>
          </x14:formula1>
          <xm:sqref>D6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0" tint="-0.499984740745262"/>
    <outlinePr summaryBelow="0" summaryRight="0"/>
  </sheetPr>
  <dimension ref="A1:AI103"/>
  <sheetViews>
    <sheetView showGridLines="0" zoomScale="85" zoomScaleNormal="85" workbookViewId="0">
      <selection activeCell="D24" sqref="D24"/>
    </sheetView>
  </sheetViews>
  <sheetFormatPr defaultColWidth="14.42578125" defaultRowHeight="15" customHeight="1" x14ac:dyDescent="0.25"/>
  <cols>
    <col min="1" max="1" width="21.5703125" customWidth="1"/>
    <col min="2" max="2" width="13.85546875" customWidth="1"/>
    <col min="3" max="3" width="17.42578125" customWidth="1"/>
    <col min="4" max="4" width="15.5703125" customWidth="1"/>
    <col min="5" max="5" width="14.42578125" customWidth="1"/>
  </cols>
  <sheetData>
    <row r="1" spans="1:35" ht="21" x14ac:dyDescent="0.35">
      <c r="A1" s="18" t="s">
        <v>51</v>
      </c>
      <c r="B1" s="18"/>
      <c r="C1" s="18"/>
      <c r="D1" s="18"/>
      <c r="E1" s="18"/>
      <c r="F1" s="18"/>
      <c r="G1" s="18"/>
      <c r="H1" s="18"/>
      <c r="I1" s="18"/>
      <c r="J1" s="18"/>
    </row>
    <row r="2" spans="1:35" ht="15.75" x14ac:dyDescent="0.25">
      <c r="A2" s="17" t="s">
        <v>0</v>
      </c>
      <c r="B2" s="17"/>
      <c r="C2" s="17"/>
      <c r="D2" s="17"/>
      <c r="E2" s="17"/>
      <c r="F2" s="17"/>
      <c r="G2" s="17"/>
      <c r="H2" s="17"/>
      <c r="I2" s="17"/>
      <c r="J2" s="17"/>
    </row>
    <row r="3" spans="1:35" s="22" customFormat="1" ht="12.75" customHeight="1" x14ac:dyDescent="0.25">
      <c r="A3" s="37" t="s">
        <v>3</v>
      </c>
      <c r="B3" s="35"/>
      <c r="C3" s="35"/>
      <c r="D3" s="35"/>
      <c r="E3" s="35"/>
      <c r="F3" s="35"/>
      <c r="G3" s="35"/>
      <c r="H3" s="35"/>
      <c r="I3" s="35"/>
      <c r="J3" s="35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</row>
    <row r="4" spans="1:35" s="34" customFormat="1" ht="12.75" customHeight="1" x14ac:dyDescent="0.25">
      <c r="A4" s="33" t="s">
        <v>8</v>
      </c>
      <c r="B4" s="97" t="s">
        <v>3</v>
      </c>
      <c r="C4" s="33" t="s">
        <v>6</v>
      </c>
      <c r="D4" s="33" t="s">
        <v>7</v>
      </c>
    </row>
    <row r="5" spans="1:35" s="34" customFormat="1" ht="12.75" customHeight="1" x14ac:dyDescent="0.25">
      <c r="A5" s="33"/>
      <c r="B5" s="97"/>
      <c r="C5" s="33"/>
      <c r="D5" s="33"/>
    </row>
    <row r="6" spans="1:35" s="34" customFormat="1" ht="12.75" customHeight="1" x14ac:dyDescent="0.25">
      <c r="A6" s="2" t="s">
        <v>14</v>
      </c>
      <c r="B6" s="105">
        <v>2.75E-2</v>
      </c>
      <c r="C6" s="2"/>
      <c r="D6" s="33"/>
    </row>
    <row r="7" spans="1:35" s="34" customFormat="1" ht="12.75" customHeight="1" x14ac:dyDescent="0.25">
      <c r="A7" s="33"/>
      <c r="B7" s="97"/>
      <c r="C7" s="33"/>
      <c r="D7" s="33"/>
    </row>
    <row r="8" spans="1:35" s="34" customFormat="1" ht="12.75" customHeight="1" x14ac:dyDescent="0.25">
      <c r="A8" s="99" t="s">
        <v>35</v>
      </c>
      <c r="B8" s="107">
        <v>2018</v>
      </c>
      <c r="C8" t="s">
        <v>38</v>
      </c>
      <c r="D8" s="33"/>
    </row>
    <row r="9" spans="1:35" s="34" customFormat="1" ht="12.75" customHeight="1" x14ac:dyDescent="0.25">
      <c r="A9" s="99"/>
      <c r="B9" s="99"/>
      <c r="C9" s="99"/>
      <c r="D9" s="99"/>
      <c r="E9" s="99"/>
    </row>
    <row r="10" spans="1:35" ht="12.75" customHeight="1" x14ac:dyDescent="0.25">
      <c r="A10" s="85"/>
      <c r="B10" s="85"/>
      <c r="C10" s="85"/>
      <c r="D10" s="85">
        <v>2015</v>
      </c>
      <c r="E10" s="85">
        <v>2016</v>
      </c>
      <c r="F10" s="85">
        <v>2017</v>
      </c>
      <c r="G10" s="85">
        <v>2018</v>
      </c>
      <c r="H10" s="85">
        <v>2019</v>
      </c>
      <c r="I10" s="86">
        <v>2020</v>
      </c>
      <c r="J10" s="86" t="s">
        <v>36</v>
      </c>
    </row>
    <row r="11" spans="1:35" ht="12.75" customHeight="1" x14ac:dyDescent="0.25">
      <c r="A11" s="130" t="s">
        <v>79</v>
      </c>
      <c r="B11" s="28"/>
      <c r="C11" s="103"/>
      <c r="D11" s="131" t="s">
        <v>82</v>
      </c>
      <c r="E11" s="131" t="s">
        <v>82</v>
      </c>
      <c r="F11" s="131" t="s">
        <v>82</v>
      </c>
      <c r="G11" s="131" t="s">
        <v>82</v>
      </c>
      <c r="H11" s="131" t="s">
        <v>82</v>
      </c>
      <c r="I11" s="131" t="s">
        <v>82</v>
      </c>
      <c r="J11" s="131" t="s">
        <v>83</v>
      </c>
    </row>
    <row r="12" spans="1:35" ht="12.75" customHeight="1" x14ac:dyDescent="0.25">
      <c r="A12" s="132" t="s">
        <v>80</v>
      </c>
      <c r="B12" s="4"/>
      <c r="C12" s="132"/>
      <c r="D12" s="133" t="s">
        <v>30</v>
      </c>
      <c r="E12" s="133" t="s">
        <v>30</v>
      </c>
      <c r="F12" s="133" t="s">
        <v>30</v>
      </c>
      <c r="G12" s="133" t="s">
        <v>30</v>
      </c>
      <c r="H12" s="133" t="s">
        <v>30</v>
      </c>
      <c r="I12" s="134" t="s">
        <v>31</v>
      </c>
      <c r="J12" s="134" t="s">
        <v>31</v>
      </c>
    </row>
    <row r="13" spans="1:35" ht="12.75" customHeight="1" x14ac:dyDescent="0.25">
      <c r="A13" s="100" t="s">
        <v>81</v>
      </c>
      <c r="B13" s="100"/>
      <c r="C13" s="87"/>
      <c r="D13" s="88"/>
      <c r="E13" s="105">
        <v>1.0232558139534831E-2</v>
      </c>
      <c r="F13" s="105">
        <v>1.9337016574585641E-2</v>
      </c>
      <c r="G13" s="105">
        <v>2.0776874435411097E-2</v>
      </c>
      <c r="H13" s="105">
        <v>1.5929203539823078E-2</v>
      </c>
      <c r="I13" s="105">
        <v>2.000000000000024E-2</v>
      </c>
      <c r="J13" s="105">
        <v>2.1998043050963867E-2</v>
      </c>
    </row>
    <row r="14" spans="1:35" ht="12.75" customHeight="1" x14ac:dyDescent="0.25">
      <c r="A14" s="94" t="s">
        <v>32</v>
      </c>
      <c r="B14" s="92"/>
      <c r="C14" s="92"/>
      <c r="D14" s="106">
        <v>1</v>
      </c>
      <c r="E14" s="95">
        <f t="shared" ref="E14:J14" si="0">D14*(1+E13)</f>
        <v>1.0102325581395348</v>
      </c>
      <c r="F14" s="95">
        <f t="shared" si="0"/>
        <v>1.029767441860465</v>
      </c>
      <c r="G14" s="95">
        <f t="shared" si="0"/>
        <v>1.0511627906976744</v>
      </c>
      <c r="H14" s="95">
        <f t="shared" si="0"/>
        <v>1.067906976744186</v>
      </c>
      <c r="I14" s="95">
        <f t="shared" si="0"/>
        <v>1.0892651162790701</v>
      </c>
      <c r="J14" s="95">
        <f t="shared" si="0"/>
        <v>1.1132268172008901</v>
      </c>
    </row>
    <row r="15" spans="1:35" ht="12.75" customHeight="1" x14ac:dyDescent="0.25">
      <c r="A15" s="92"/>
      <c r="B15" s="92"/>
      <c r="C15" s="92"/>
      <c r="D15" s="93"/>
      <c r="E15" s="93"/>
      <c r="F15" s="93"/>
      <c r="G15" s="93"/>
      <c r="H15" s="93"/>
    </row>
    <row r="16" spans="1:35" ht="12.75" customHeight="1" x14ac:dyDescent="0.25">
      <c r="A16" s="99" t="s">
        <v>37</v>
      </c>
      <c r="B16" s="98">
        <f>B8</f>
        <v>2018</v>
      </c>
      <c r="C16" s="100" t="s">
        <v>38</v>
      </c>
      <c r="G16" s="89"/>
      <c r="H16" s="89"/>
    </row>
    <row r="17" spans="1:8" ht="12.75" customHeight="1" x14ac:dyDescent="0.25">
      <c r="A17" s="99" t="s">
        <v>34</v>
      </c>
      <c r="B17" s="104" t="s">
        <v>36</v>
      </c>
      <c r="C17" s="100" t="s">
        <v>39</v>
      </c>
      <c r="G17" s="89"/>
      <c r="H17" s="89"/>
    </row>
    <row r="18" spans="1:8" ht="12.75" customHeight="1" x14ac:dyDescent="0.25">
      <c r="A18" s="99" t="s">
        <v>33</v>
      </c>
      <c r="B18" s="96">
        <f>INDEX($D$14:$J$14, MATCH(B17, $D$10:$J$10,0))/INDEX($D$14:$J$14, MATCH(B16, $D$10:$J$10,0))</f>
        <v>1.0590432110539443</v>
      </c>
      <c r="C18" s="114"/>
      <c r="D18" s="90"/>
      <c r="E18" s="87"/>
      <c r="F18" s="87"/>
      <c r="G18" s="87"/>
      <c r="H18" s="87"/>
    </row>
    <row r="19" spans="1:8" ht="12.75" customHeight="1" x14ac:dyDescent="0.25">
      <c r="A19" s="89"/>
      <c r="B19" s="91"/>
      <c r="C19" s="91"/>
      <c r="D19" s="91"/>
      <c r="E19" s="91"/>
      <c r="F19" s="91"/>
      <c r="G19" s="91"/>
      <c r="H19" s="89"/>
    </row>
    <row r="20" spans="1:8" ht="12.75" customHeight="1" x14ac:dyDescent="0.25"/>
    <row r="21" spans="1:8" ht="12.75" customHeight="1" x14ac:dyDescent="0.25"/>
    <row r="22" spans="1:8" ht="12.75" customHeight="1" x14ac:dyDescent="0.25"/>
    <row r="23" spans="1:8" ht="12.75" customHeight="1" x14ac:dyDescent="0.25"/>
    <row r="24" spans="1:8" ht="12.75" customHeight="1" x14ac:dyDescent="0.25">
      <c r="A24" s="124" t="s">
        <v>52</v>
      </c>
      <c r="B24" s="124" t="s">
        <v>53</v>
      </c>
      <c r="C24" s="124" t="s">
        <v>54</v>
      </c>
      <c r="D24" s="124" t="s">
        <v>62</v>
      </c>
    </row>
    <row r="25" spans="1:8" ht="12.75" customHeight="1" x14ac:dyDescent="0.25">
      <c r="A25" t="s">
        <v>55</v>
      </c>
      <c r="B25" s="123">
        <v>2000</v>
      </c>
      <c r="C25" s="106">
        <v>4</v>
      </c>
      <c r="D25" s="106">
        <v>2</v>
      </c>
    </row>
    <row r="26" spans="1:8" ht="12.75" customHeight="1" x14ac:dyDescent="0.25">
      <c r="A26" t="s">
        <v>56</v>
      </c>
      <c r="B26" s="123">
        <v>500</v>
      </c>
      <c r="C26" s="106">
        <v>4</v>
      </c>
      <c r="D26" s="106">
        <v>1</v>
      </c>
    </row>
    <row r="27" spans="1:8" ht="12.75" customHeight="1" x14ac:dyDescent="0.25">
      <c r="A27" t="s">
        <v>57</v>
      </c>
      <c r="B27" s="123">
        <v>1830</v>
      </c>
      <c r="C27" s="106">
        <v>3</v>
      </c>
      <c r="D27" s="106">
        <v>0.25</v>
      </c>
    </row>
    <row r="28" spans="1:8" ht="12.75" customHeight="1" x14ac:dyDescent="0.25">
      <c r="A28" t="s">
        <v>58</v>
      </c>
      <c r="B28" s="123">
        <v>1465</v>
      </c>
      <c r="C28" s="106">
        <v>2</v>
      </c>
      <c r="D28" s="106">
        <v>0.25</v>
      </c>
    </row>
    <row r="29" spans="1:8" ht="12.75" customHeight="1" x14ac:dyDescent="0.25">
      <c r="A29" t="s">
        <v>59</v>
      </c>
      <c r="B29" s="123">
        <v>150</v>
      </c>
      <c r="C29" s="106">
        <v>3</v>
      </c>
      <c r="D29" s="106">
        <v>1</v>
      </c>
    </row>
    <row r="30" spans="1:8" ht="12.75" customHeight="1" x14ac:dyDescent="0.25">
      <c r="A30" t="s">
        <v>60</v>
      </c>
      <c r="B30" s="123">
        <v>40</v>
      </c>
      <c r="C30" s="106">
        <v>4</v>
      </c>
      <c r="D30" s="106">
        <v>4</v>
      </c>
    </row>
    <row r="31" spans="1:8" ht="12.75" customHeight="1" x14ac:dyDescent="0.25">
      <c r="A31" t="s">
        <v>61</v>
      </c>
      <c r="B31" s="123">
        <v>20</v>
      </c>
      <c r="C31" s="106">
        <v>3</v>
      </c>
      <c r="D31" s="106">
        <v>4</v>
      </c>
    </row>
    <row r="32" spans="1:8" ht="12.75" customHeight="1" x14ac:dyDescent="0.25"/>
    <row r="33" spans="1:1" ht="12.75" customHeight="1" x14ac:dyDescent="0.25"/>
    <row r="34" spans="1:1" ht="12.75" customHeight="1" x14ac:dyDescent="0.25"/>
    <row r="35" spans="1:1" ht="12.75" customHeight="1" x14ac:dyDescent="0.25">
      <c r="A35" s="126" t="s">
        <v>77</v>
      </c>
    </row>
    <row r="36" spans="1:1" ht="12.75" customHeight="1" x14ac:dyDescent="0.25">
      <c r="A36" s="99" t="str">
        <f>'Option 1'!$A$3</f>
        <v>Option 1</v>
      </c>
    </row>
    <row r="37" spans="1:1" ht="12.75" customHeight="1" x14ac:dyDescent="0.25">
      <c r="A37" s="99" t="str">
        <f>'Option 2'!$A$3</f>
        <v>Option 2</v>
      </c>
    </row>
    <row r="38" spans="1:1" ht="12.75" customHeight="1" x14ac:dyDescent="0.25">
      <c r="A38" s="99"/>
    </row>
    <row r="39" spans="1:1" ht="12.75" customHeight="1" x14ac:dyDescent="0.25">
      <c r="A39" s="99"/>
    </row>
    <row r="40" spans="1:1" ht="12.75" customHeight="1" x14ac:dyDescent="0.25"/>
    <row r="41" spans="1:1" ht="12.75" customHeight="1" x14ac:dyDescent="0.25"/>
    <row r="42" spans="1:1" ht="12.75" customHeight="1" x14ac:dyDescent="0.25"/>
    <row r="43" spans="1:1" ht="12.75" customHeight="1" x14ac:dyDescent="0.25"/>
    <row r="44" spans="1:1" ht="12.75" customHeight="1" x14ac:dyDescent="0.25"/>
    <row r="45" spans="1:1" ht="12.75" customHeight="1" x14ac:dyDescent="0.25"/>
    <row r="46" spans="1:1" ht="12.75" customHeight="1" x14ac:dyDescent="0.25"/>
    <row r="47" spans="1:1" ht="12.75" customHeight="1" x14ac:dyDescent="0.25"/>
    <row r="48" spans="1:1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</sheetData>
  <dataValidations disablePrompts="1" count="1">
    <dataValidation type="list" allowBlank="1" showInputMessage="1" showErrorMessage="1" sqref="B16:B17 B8">
      <formula1>$D$10:$J$10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Y50"/>
  <sheetViews>
    <sheetView showGridLines="0" zoomScale="90" zoomScaleNormal="90" workbookViewId="0">
      <selection activeCell="P42" sqref="P42"/>
    </sheetView>
  </sheetViews>
  <sheetFormatPr defaultColWidth="9.140625" defaultRowHeight="12.75" x14ac:dyDescent="0.2"/>
  <cols>
    <col min="1" max="1" width="4.28515625" style="1" customWidth="1"/>
    <col min="2" max="2" width="2.7109375" style="1" customWidth="1"/>
    <col min="3" max="3" width="81" style="1" bestFit="1" customWidth="1"/>
    <col min="4" max="5" width="11.140625" style="1" customWidth="1"/>
    <col min="6" max="6" width="2.85546875" style="1" customWidth="1"/>
    <col min="7" max="7" width="12.140625" style="1" customWidth="1"/>
    <col min="8" max="8" width="12.7109375" style="12" customWidth="1"/>
    <col min="9" max="9" width="2.85546875" style="1" customWidth="1"/>
    <col min="10" max="14" width="12.140625" style="1" customWidth="1"/>
    <col min="15" max="15" width="2.85546875" style="1" customWidth="1"/>
    <col min="16" max="20" width="12.140625" style="1" customWidth="1"/>
    <col min="21" max="21" width="2.140625" style="1" customWidth="1"/>
    <col min="22" max="16384" width="9.140625" style="1"/>
  </cols>
  <sheetData>
    <row r="1" spans="1:25" ht="21" x14ac:dyDescent="0.35">
      <c r="A1" s="18" t="str">
        <f>Assumptions!A1</f>
        <v>Device replacement</v>
      </c>
      <c r="B1" s="18"/>
      <c r="C1" s="15"/>
      <c r="D1" s="15"/>
      <c r="E1" s="15"/>
      <c r="F1" s="15"/>
      <c r="G1" s="15"/>
      <c r="H1" s="16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</row>
    <row r="2" spans="1:25" ht="15.75" x14ac:dyDescent="0.25">
      <c r="A2" s="17" t="str">
        <f>Assumptions!A2</f>
        <v>VPN</v>
      </c>
      <c r="B2" s="17"/>
      <c r="C2" s="15"/>
      <c r="D2" s="15"/>
      <c r="E2" s="15"/>
      <c r="F2" s="15"/>
      <c r="G2" s="15"/>
      <c r="H2" s="16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</row>
    <row r="3" spans="1:25" s="39" customFormat="1" ht="15" x14ac:dyDescent="0.25">
      <c r="A3" s="37" t="s">
        <v>29</v>
      </c>
      <c r="B3" s="37"/>
      <c r="C3" s="37"/>
      <c r="D3" s="37"/>
      <c r="E3" s="37"/>
      <c r="F3" s="37"/>
      <c r="G3" s="37"/>
      <c r="H3" s="38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V3" s="117" t="b">
        <f>SUM(V7:V43)=0</f>
        <v>1</v>
      </c>
    </row>
    <row r="4" spans="1:25" s="2" customFormat="1" ht="12.75" customHeight="1" x14ac:dyDescent="0.25">
      <c r="B4" s="19"/>
      <c r="C4" s="20"/>
      <c r="D4" s="20"/>
      <c r="E4" s="20"/>
      <c r="F4" s="20"/>
      <c r="G4" s="20"/>
      <c r="H4" s="21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</row>
    <row r="5" spans="1:25" s="2" customFormat="1" ht="12.75" customHeight="1" x14ac:dyDescent="0.2">
      <c r="A5" s="2" t="str">
        <f>"Inputs are in $"&amp;Assumptions!$B$8&amp; " unless otherwise stated"</f>
        <v>Inputs are in $2018 unless otherwise stated</v>
      </c>
      <c r="B5" s="22"/>
      <c r="C5" s="20"/>
      <c r="D5" s="20"/>
      <c r="E5" s="20"/>
      <c r="F5" s="20"/>
      <c r="G5" s="20"/>
      <c r="H5" s="21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</row>
    <row r="6" spans="1:25" ht="12.75" customHeight="1" x14ac:dyDescent="0.2">
      <c r="A6" s="7"/>
      <c r="F6" s="20"/>
    </row>
    <row r="7" spans="1:25" ht="12.75" customHeight="1" x14ac:dyDescent="0.2">
      <c r="A7" s="7"/>
      <c r="B7" s="100"/>
      <c r="C7" s="119" t="s">
        <v>46</v>
      </c>
      <c r="D7" s="23" t="s">
        <v>23</v>
      </c>
      <c r="E7" s="23" t="s">
        <v>9</v>
      </c>
      <c r="F7" s="20"/>
      <c r="G7" s="23" t="s">
        <v>15</v>
      </c>
      <c r="H7" s="23" t="s">
        <v>10</v>
      </c>
      <c r="I7" s="100"/>
      <c r="J7" s="23" t="s">
        <v>45</v>
      </c>
      <c r="K7" s="24"/>
      <c r="L7" s="24"/>
      <c r="M7" s="24"/>
      <c r="N7" s="24"/>
      <c r="O7" s="4"/>
      <c r="P7" s="23" t="s">
        <v>11</v>
      </c>
      <c r="Q7" s="24"/>
      <c r="R7" s="24"/>
      <c r="S7" s="24"/>
      <c r="T7" s="24"/>
    </row>
    <row r="8" spans="1:25" s="100" customFormat="1" ht="12.75" customHeight="1" x14ac:dyDescent="0.2">
      <c r="A8" s="7"/>
      <c r="B8" s="7"/>
      <c r="C8" s="7"/>
      <c r="D8" s="7"/>
      <c r="E8" s="7"/>
      <c r="F8" s="20"/>
      <c r="G8" s="7"/>
      <c r="H8" s="7"/>
      <c r="I8" s="4"/>
      <c r="J8" s="120" t="s">
        <v>16</v>
      </c>
      <c r="K8" s="120" t="s">
        <v>17</v>
      </c>
      <c r="L8" s="120" t="s">
        <v>18</v>
      </c>
      <c r="M8" s="120" t="s">
        <v>19</v>
      </c>
      <c r="N8" s="120" t="s">
        <v>20</v>
      </c>
      <c r="O8" s="4"/>
      <c r="P8" s="120" t="s">
        <v>16</v>
      </c>
      <c r="Q8" s="120" t="s">
        <v>17</v>
      </c>
      <c r="R8" s="120" t="s">
        <v>18</v>
      </c>
      <c r="S8" s="120" t="s">
        <v>19</v>
      </c>
      <c r="T8" s="120" t="s">
        <v>20</v>
      </c>
    </row>
    <row r="9" spans="1:25" ht="12.75" customHeight="1" x14ac:dyDescent="0.2">
      <c r="A9" s="100"/>
      <c r="B9" s="100"/>
      <c r="C9" s="4"/>
      <c r="D9" s="4"/>
      <c r="E9" s="4"/>
      <c r="F9" s="20"/>
      <c r="G9" s="100"/>
      <c r="I9" s="100"/>
      <c r="J9" s="100"/>
      <c r="K9" s="100"/>
      <c r="L9" s="100"/>
      <c r="M9" s="100"/>
      <c r="N9" s="100"/>
      <c r="O9" s="100"/>
      <c r="P9" s="100"/>
      <c r="Q9" s="100"/>
      <c r="R9" s="100"/>
      <c r="S9" s="100"/>
      <c r="T9" s="100"/>
    </row>
    <row r="10" spans="1:25" ht="12.75" customHeight="1" x14ac:dyDescent="0.2">
      <c r="A10" s="7"/>
      <c r="C10" s="108" t="s">
        <v>63</v>
      </c>
      <c r="D10" s="109" t="s">
        <v>5</v>
      </c>
      <c r="E10" s="110" t="s">
        <v>1</v>
      </c>
      <c r="F10" s="3"/>
      <c r="G10" s="121">
        <v>2270</v>
      </c>
      <c r="H10" s="12" t="s">
        <v>43</v>
      </c>
      <c r="I10" s="3"/>
      <c r="J10" s="125">
        <f>(Assumptions!$B25+Assumptions!$B26)/Assumptions!$C25</f>
        <v>625</v>
      </c>
      <c r="K10" s="125">
        <f>(Assumptions!$B25+Assumptions!$B26)/Assumptions!$C25</f>
        <v>625</v>
      </c>
      <c r="L10" s="125">
        <f>(Assumptions!$B25+Assumptions!$B26)/Assumptions!$C25</f>
        <v>625</v>
      </c>
      <c r="M10" s="125">
        <f>(Assumptions!$B25+Assumptions!$B26)/Assumptions!$C25</f>
        <v>625</v>
      </c>
      <c r="N10" s="125">
        <f>(Assumptions!$B25+Assumptions!$B26)/Assumptions!$C25</f>
        <v>625</v>
      </c>
      <c r="O10" s="3"/>
      <c r="P10" s="8">
        <f t="shared" ref="P10:P14" si="0">J10*$G10</f>
        <v>1418750</v>
      </c>
      <c r="Q10" s="8">
        <f t="shared" ref="Q10:Q14" si="1">K10*$G10</f>
        <v>1418750</v>
      </c>
      <c r="R10" s="8">
        <f t="shared" ref="R10:R14" si="2">L10*$G10</f>
        <v>1418750</v>
      </c>
      <c r="S10" s="8">
        <f t="shared" ref="S10:S14" si="3">M10*$G10</f>
        <v>1418750</v>
      </c>
      <c r="T10" s="8">
        <f t="shared" ref="T10:T14" si="4">N10*$G10</f>
        <v>1418750</v>
      </c>
    </row>
    <row r="11" spans="1:25" ht="12.75" customHeight="1" x14ac:dyDescent="0.2">
      <c r="A11" s="7"/>
      <c r="C11" s="108" t="s">
        <v>64</v>
      </c>
      <c r="D11" s="109" t="s">
        <v>5</v>
      </c>
      <c r="E11" s="110" t="s">
        <v>1</v>
      </c>
      <c r="F11" s="3"/>
      <c r="G11" s="121">
        <v>1124.03</v>
      </c>
      <c r="H11" s="12" t="s">
        <v>43</v>
      </c>
      <c r="I11" s="3"/>
      <c r="J11" s="125"/>
      <c r="K11" s="125"/>
      <c r="L11" s="125"/>
      <c r="M11" s="125"/>
      <c r="N11" s="125"/>
      <c r="O11" s="3"/>
      <c r="P11" s="8">
        <f t="shared" si="0"/>
        <v>0</v>
      </c>
      <c r="Q11" s="8">
        <f t="shared" si="1"/>
        <v>0</v>
      </c>
      <c r="R11" s="8">
        <f t="shared" si="2"/>
        <v>0</v>
      </c>
      <c r="S11" s="8">
        <f t="shared" si="3"/>
        <v>0</v>
      </c>
      <c r="T11" s="8">
        <f t="shared" si="4"/>
        <v>0</v>
      </c>
    </row>
    <row r="12" spans="1:25" ht="12.75" customHeight="1" x14ac:dyDescent="0.2">
      <c r="A12" s="7"/>
      <c r="C12" s="108" t="s">
        <v>65</v>
      </c>
      <c r="D12" s="109" t="s">
        <v>5</v>
      </c>
      <c r="E12" s="110" t="s">
        <v>1</v>
      </c>
      <c r="F12" s="3"/>
      <c r="G12" s="121">
        <v>1225</v>
      </c>
      <c r="H12" s="12" t="s">
        <v>43</v>
      </c>
      <c r="I12" s="3"/>
      <c r="J12" s="125">
        <f>(Assumptions!$B27)/Assumptions!$C27</f>
        <v>610</v>
      </c>
      <c r="K12" s="125">
        <f>(Assumptions!$B27)/Assumptions!$C27</f>
        <v>610</v>
      </c>
      <c r="L12" s="125">
        <f>(Assumptions!$B27)/Assumptions!$C27</f>
        <v>610</v>
      </c>
      <c r="M12" s="125">
        <f>(Assumptions!$B27)/Assumptions!$C27</f>
        <v>610</v>
      </c>
      <c r="N12" s="125">
        <f>(Assumptions!$B27)/Assumptions!$C27</f>
        <v>610</v>
      </c>
      <c r="O12" s="3"/>
      <c r="P12" s="8">
        <f t="shared" si="0"/>
        <v>747250</v>
      </c>
      <c r="Q12" s="8">
        <f t="shared" si="1"/>
        <v>747250</v>
      </c>
      <c r="R12" s="8">
        <f t="shared" si="2"/>
        <v>747250</v>
      </c>
      <c r="S12" s="8">
        <f t="shared" si="3"/>
        <v>747250</v>
      </c>
      <c r="T12" s="8">
        <f t="shared" si="4"/>
        <v>747250</v>
      </c>
    </row>
    <row r="13" spans="1:25" ht="12.75" customHeight="1" x14ac:dyDescent="0.25">
      <c r="A13" s="7"/>
      <c r="C13" s="108" t="s">
        <v>66</v>
      </c>
      <c r="D13" s="109" t="s">
        <v>5</v>
      </c>
      <c r="E13" s="110" t="s">
        <v>1</v>
      </c>
      <c r="F13" s="3"/>
      <c r="G13" s="121">
        <v>1442</v>
      </c>
      <c r="H13" s="12" t="s">
        <v>43</v>
      </c>
      <c r="I13" s="3"/>
      <c r="J13" s="125">
        <f>(Assumptions!$B28)/Assumptions!$C28</f>
        <v>732.5</v>
      </c>
      <c r="K13" s="125">
        <f>(Assumptions!$B28)/Assumptions!$C28</f>
        <v>732.5</v>
      </c>
      <c r="L13" s="125">
        <f>(Assumptions!$B28)/Assumptions!$C28</f>
        <v>732.5</v>
      </c>
      <c r="M13" s="125">
        <f>(Assumptions!$B28)/Assumptions!$C28</f>
        <v>732.5</v>
      </c>
      <c r="N13" s="125">
        <f>(Assumptions!$B28)/Assumptions!$C28</f>
        <v>732.5</v>
      </c>
      <c r="O13" s="3"/>
      <c r="P13" s="8">
        <f t="shared" si="0"/>
        <v>1056265</v>
      </c>
      <c r="Q13" s="8">
        <f t="shared" si="1"/>
        <v>1056265</v>
      </c>
      <c r="R13" s="8">
        <f t="shared" si="2"/>
        <v>1056265</v>
      </c>
      <c r="S13" s="8">
        <f t="shared" si="3"/>
        <v>1056265</v>
      </c>
      <c r="T13" s="8">
        <f t="shared" si="4"/>
        <v>1056265</v>
      </c>
      <c r="Y13"/>
    </row>
    <row r="14" spans="1:25" ht="12.75" customHeight="1" x14ac:dyDescent="0.25">
      <c r="A14" s="7"/>
      <c r="C14" s="108" t="s">
        <v>67</v>
      </c>
      <c r="D14" s="109" t="s">
        <v>5</v>
      </c>
      <c r="E14" s="110" t="s">
        <v>1</v>
      </c>
      <c r="F14" s="3"/>
      <c r="G14" s="121">
        <v>1000</v>
      </c>
      <c r="H14" s="12" t="s">
        <v>43</v>
      </c>
      <c r="I14" s="3"/>
      <c r="J14" s="125">
        <f>(Assumptions!$B29)/Assumptions!$C29</f>
        <v>50</v>
      </c>
      <c r="K14" s="125">
        <f>(Assumptions!$B29)/Assumptions!$C29</f>
        <v>50</v>
      </c>
      <c r="L14" s="125">
        <f>(Assumptions!$B29)/Assumptions!$C29</f>
        <v>50</v>
      </c>
      <c r="M14" s="125">
        <f>(Assumptions!$B29)/Assumptions!$C29</f>
        <v>50</v>
      </c>
      <c r="N14" s="125">
        <f>(Assumptions!$B29)/Assumptions!$C29</f>
        <v>50</v>
      </c>
      <c r="O14" s="3"/>
      <c r="P14" s="8">
        <f t="shared" si="0"/>
        <v>50000</v>
      </c>
      <c r="Q14" s="8">
        <f t="shared" si="1"/>
        <v>50000</v>
      </c>
      <c r="R14" s="8">
        <f t="shared" si="2"/>
        <v>50000</v>
      </c>
      <c r="S14" s="8">
        <f t="shared" si="3"/>
        <v>50000</v>
      </c>
      <c r="T14" s="8">
        <f t="shared" si="4"/>
        <v>50000</v>
      </c>
      <c r="Y14"/>
    </row>
    <row r="15" spans="1:25" s="100" customFormat="1" ht="12.75" customHeight="1" x14ac:dyDescent="0.25">
      <c r="A15" s="7"/>
      <c r="C15" s="108" t="s">
        <v>68</v>
      </c>
      <c r="D15" s="109" t="s">
        <v>5</v>
      </c>
      <c r="E15" s="110" t="s">
        <v>1</v>
      </c>
      <c r="F15" s="3"/>
      <c r="G15" s="121">
        <v>5000</v>
      </c>
      <c r="H15" s="12" t="s">
        <v>43</v>
      </c>
      <c r="I15" s="3"/>
      <c r="J15" s="125">
        <f>(Assumptions!$B30)/Assumptions!$C30</f>
        <v>10</v>
      </c>
      <c r="K15" s="125">
        <f>(Assumptions!$B30)/Assumptions!$C30</f>
        <v>10</v>
      </c>
      <c r="L15" s="125">
        <f>(Assumptions!$B30)/Assumptions!$C30</f>
        <v>10</v>
      </c>
      <c r="M15" s="125">
        <f>(Assumptions!$B30)/Assumptions!$C30</f>
        <v>10</v>
      </c>
      <c r="N15" s="125">
        <f>(Assumptions!$B30)/Assumptions!$C30</f>
        <v>10</v>
      </c>
      <c r="O15" s="3"/>
      <c r="P15" s="8">
        <f t="shared" ref="P15" si="5">J15*$G15</f>
        <v>50000</v>
      </c>
      <c r="Q15" s="8">
        <f t="shared" ref="Q15" si="6">K15*$G15</f>
        <v>50000</v>
      </c>
      <c r="R15" s="8">
        <f t="shared" ref="R15" si="7">L15*$G15</f>
        <v>50000</v>
      </c>
      <c r="S15" s="8">
        <f t="shared" ref="S15" si="8">M15*$G15</f>
        <v>50000</v>
      </c>
      <c r="T15" s="8">
        <f t="shared" ref="T15" si="9">N15*$G15</f>
        <v>50000</v>
      </c>
      <c r="Y15"/>
    </row>
    <row r="16" spans="1:25" s="100" customFormat="1" ht="12.75" customHeight="1" x14ac:dyDescent="0.25">
      <c r="A16" s="7"/>
      <c r="C16" s="108" t="s">
        <v>69</v>
      </c>
      <c r="D16" s="109" t="s">
        <v>5</v>
      </c>
      <c r="E16" s="110" t="s">
        <v>1</v>
      </c>
      <c r="F16" s="3"/>
      <c r="G16" s="121">
        <v>20000</v>
      </c>
      <c r="H16" s="12" t="s">
        <v>43</v>
      </c>
      <c r="I16" s="3"/>
      <c r="J16" s="125">
        <f>(Assumptions!$B31)/Assumptions!$C31</f>
        <v>6.666666666666667</v>
      </c>
      <c r="K16" s="125">
        <f>(Assumptions!$B31)/Assumptions!$C31</f>
        <v>6.666666666666667</v>
      </c>
      <c r="L16" s="125">
        <f>(Assumptions!$B31)/Assumptions!$C31</f>
        <v>6.666666666666667</v>
      </c>
      <c r="M16" s="125">
        <f>(Assumptions!$B31)/Assumptions!$C31</f>
        <v>6.666666666666667</v>
      </c>
      <c r="N16" s="125">
        <f>(Assumptions!$B31)/Assumptions!$C31</f>
        <v>6.666666666666667</v>
      </c>
      <c r="O16" s="3"/>
      <c r="P16" s="8">
        <f t="shared" ref="P16" si="10">J16*$G16</f>
        <v>133333.33333333334</v>
      </c>
      <c r="Q16" s="8">
        <f t="shared" ref="Q16" si="11">K16*$G16</f>
        <v>133333.33333333334</v>
      </c>
      <c r="R16" s="8">
        <f t="shared" ref="R16" si="12">L16*$G16</f>
        <v>133333.33333333334</v>
      </c>
      <c r="S16" s="8">
        <f t="shared" ref="S16" si="13">M16*$G16</f>
        <v>133333.33333333334</v>
      </c>
      <c r="T16" s="8">
        <f t="shared" ref="T16" si="14">N16*$G16</f>
        <v>133333.33333333334</v>
      </c>
      <c r="Y16"/>
    </row>
    <row r="17" spans="1:25" ht="12.75" customHeight="1" x14ac:dyDescent="0.25">
      <c r="A17" s="7"/>
      <c r="C17" s="100"/>
      <c r="D17" s="100"/>
      <c r="E17" s="100"/>
      <c r="F17" s="3"/>
      <c r="G17" s="100"/>
      <c r="I17" s="3"/>
      <c r="J17" s="100"/>
      <c r="K17" s="100"/>
      <c r="L17" s="100"/>
      <c r="M17" s="100"/>
      <c r="N17" s="100"/>
      <c r="O17" s="3"/>
      <c r="Y17"/>
    </row>
    <row r="18" spans="1:25" ht="12.75" customHeight="1" x14ac:dyDescent="0.25">
      <c r="A18" s="7"/>
      <c r="C18" s="100"/>
      <c r="D18" s="100"/>
      <c r="E18" s="100"/>
      <c r="F18" s="3"/>
      <c r="G18" s="100"/>
      <c r="I18" s="3"/>
      <c r="J18" s="100"/>
      <c r="K18" s="100"/>
      <c r="L18" s="100"/>
      <c r="M18" s="100"/>
      <c r="N18" s="100"/>
      <c r="O18" s="3"/>
      <c r="Y18"/>
    </row>
    <row r="19" spans="1:25" ht="12.75" customHeight="1" x14ac:dyDescent="0.25">
      <c r="A19" s="7"/>
      <c r="C19" s="108" t="s">
        <v>63</v>
      </c>
      <c r="D19" s="109" t="s">
        <v>5</v>
      </c>
      <c r="E19" s="110" t="s">
        <v>2</v>
      </c>
      <c r="F19" s="3"/>
      <c r="G19" s="111">
        <v>122.2</v>
      </c>
      <c r="H19" s="12" t="s">
        <v>42</v>
      </c>
      <c r="I19" s="3"/>
      <c r="J19" s="125">
        <f>J10*Assumptions!$D25</f>
        <v>1250</v>
      </c>
      <c r="K19" s="125">
        <f>K10*Assumptions!$D25</f>
        <v>1250</v>
      </c>
      <c r="L19" s="125">
        <f>L10*Assumptions!$D25</f>
        <v>1250</v>
      </c>
      <c r="M19" s="125">
        <f>M10*Assumptions!$D25</f>
        <v>1250</v>
      </c>
      <c r="N19" s="125">
        <f>N10*Assumptions!$D25</f>
        <v>1250</v>
      </c>
      <c r="O19" s="3"/>
      <c r="P19" s="8">
        <f t="shared" ref="P19" si="15">J19*$G19</f>
        <v>152750</v>
      </c>
      <c r="Q19" s="8">
        <f t="shared" ref="Q19" si="16">K19*$G19</f>
        <v>152750</v>
      </c>
      <c r="R19" s="8">
        <f t="shared" ref="R19" si="17">L19*$G19</f>
        <v>152750</v>
      </c>
      <c r="S19" s="8">
        <f t="shared" ref="S19" si="18">M19*$G19</f>
        <v>152750</v>
      </c>
      <c r="T19" s="8">
        <f t="shared" ref="T19" si="19">N19*$G19</f>
        <v>152750</v>
      </c>
      <c r="Y19"/>
    </row>
    <row r="20" spans="1:25" s="100" customFormat="1" ht="12.75" customHeight="1" x14ac:dyDescent="0.25">
      <c r="A20" s="7"/>
      <c r="C20" s="108" t="s">
        <v>64</v>
      </c>
      <c r="D20" s="109" t="s">
        <v>5</v>
      </c>
      <c r="E20" s="110" t="s">
        <v>2</v>
      </c>
      <c r="F20" s="3"/>
      <c r="G20" s="111">
        <v>122.2</v>
      </c>
      <c r="H20" s="12" t="s">
        <v>42</v>
      </c>
      <c r="I20" s="3"/>
      <c r="J20" s="125">
        <f>J11*Assumptions!$D26</f>
        <v>0</v>
      </c>
      <c r="K20" s="125">
        <f>K11*Assumptions!$D26</f>
        <v>0</v>
      </c>
      <c r="L20" s="125">
        <f>L11*Assumptions!$D26</f>
        <v>0</v>
      </c>
      <c r="M20" s="125">
        <f>M11*Assumptions!$D26</f>
        <v>0</v>
      </c>
      <c r="N20" s="125">
        <f>N11*Assumptions!$D26</f>
        <v>0</v>
      </c>
      <c r="O20" s="3"/>
      <c r="P20" s="8">
        <f t="shared" ref="P20:P24" si="20">J20*$G20</f>
        <v>0</v>
      </c>
      <c r="Q20" s="8">
        <f t="shared" ref="Q20:Q24" si="21">K20*$G20</f>
        <v>0</v>
      </c>
      <c r="R20" s="8">
        <f t="shared" ref="R20:R24" si="22">L20*$G20</f>
        <v>0</v>
      </c>
      <c r="S20" s="8">
        <f t="shared" ref="S20:S24" si="23">M20*$G20</f>
        <v>0</v>
      </c>
      <c r="T20" s="8">
        <f t="shared" ref="T20:T24" si="24">N20*$G20</f>
        <v>0</v>
      </c>
      <c r="Y20"/>
    </row>
    <row r="21" spans="1:25" s="100" customFormat="1" ht="12.75" customHeight="1" x14ac:dyDescent="0.25">
      <c r="A21" s="7"/>
      <c r="C21" s="108" t="s">
        <v>65</v>
      </c>
      <c r="D21" s="109" t="s">
        <v>5</v>
      </c>
      <c r="E21" s="110" t="s">
        <v>2</v>
      </c>
      <c r="F21" s="3"/>
      <c r="G21" s="111">
        <v>122.2</v>
      </c>
      <c r="H21" s="12" t="s">
        <v>42</v>
      </c>
      <c r="I21" s="3"/>
      <c r="J21" s="125">
        <f>J12*Assumptions!$D27</f>
        <v>152.5</v>
      </c>
      <c r="K21" s="125">
        <f>K12*Assumptions!$D27</f>
        <v>152.5</v>
      </c>
      <c r="L21" s="125">
        <f>L12*Assumptions!$D27</f>
        <v>152.5</v>
      </c>
      <c r="M21" s="125">
        <f>M12*Assumptions!$D27</f>
        <v>152.5</v>
      </c>
      <c r="N21" s="125">
        <f>N12*Assumptions!$D27</f>
        <v>152.5</v>
      </c>
      <c r="O21" s="3"/>
      <c r="P21" s="8">
        <f t="shared" si="20"/>
        <v>18635.5</v>
      </c>
      <c r="Q21" s="8">
        <f t="shared" si="21"/>
        <v>18635.5</v>
      </c>
      <c r="R21" s="8">
        <f t="shared" si="22"/>
        <v>18635.5</v>
      </c>
      <c r="S21" s="8">
        <f t="shared" si="23"/>
        <v>18635.5</v>
      </c>
      <c r="T21" s="8">
        <f t="shared" si="24"/>
        <v>18635.5</v>
      </c>
      <c r="Y21"/>
    </row>
    <row r="22" spans="1:25" s="100" customFormat="1" ht="12.75" customHeight="1" x14ac:dyDescent="0.25">
      <c r="A22" s="7"/>
      <c r="C22" s="108" t="s">
        <v>66</v>
      </c>
      <c r="D22" s="109" t="s">
        <v>5</v>
      </c>
      <c r="E22" s="110" t="s">
        <v>2</v>
      </c>
      <c r="F22" s="3"/>
      <c r="G22" s="111">
        <v>122.2</v>
      </c>
      <c r="H22" s="12" t="s">
        <v>42</v>
      </c>
      <c r="I22" s="3"/>
      <c r="J22" s="125">
        <f>J13*Assumptions!$D28</f>
        <v>183.125</v>
      </c>
      <c r="K22" s="125">
        <f>K13*Assumptions!$D28</f>
        <v>183.125</v>
      </c>
      <c r="L22" s="125">
        <f>L13*Assumptions!$D28</f>
        <v>183.125</v>
      </c>
      <c r="M22" s="125">
        <f>M13*Assumptions!$D28</f>
        <v>183.125</v>
      </c>
      <c r="N22" s="125">
        <f>N13*Assumptions!$D28</f>
        <v>183.125</v>
      </c>
      <c r="O22" s="3"/>
      <c r="P22" s="8">
        <f t="shared" si="20"/>
        <v>22377.875</v>
      </c>
      <c r="Q22" s="8">
        <f t="shared" si="21"/>
        <v>22377.875</v>
      </c>
      <c r="R22" s="8">
        <f t="shared" si="22"/>
        <v>22377.875</v>
      </c>
      <c r="S22" s="8">
        <f t="shared" si="23"/>
        <v>22377.875</v>
      </c>
      <c r="T22" s="8">
        <f t="shared" si="24"/>
        <v>22377.875</v>
      </c>
      <c r="Y22"/>
    </row>
    <row r="23" spans="1:25" s="100" customFormat="1" ht="12.75" customHeight="1" x14ac:dyDescent="0.25">
      <c r="A23" s="7"/>
      <c r="C23" s="108" t="s">
        <v>67</v>
      </c>
      <c r="D23" s="109" t="s">
        <v>5</v>
      </c>
      <c r="E23" s="110" t="s">
        <v>2</v>
      </c>
      <c r="F23" s="3"/>
      <c r="G23" s="111">
        <v>122.2</v>
      </c>
      <c r="H23" s="12" t="s">
        <v>42</v>
      </c>
      <c r="I23" s="3"/>
      <c r="J23" s="125">
        <f>J14*Assumptions!$D29</f>
        <v>50</v>
      </c>
      <c r="K23" s="125">
        <f>K14*Assumptions!$D29</f>
        <v>50</v>
      </c>
      <c r="L23" s="125">
        <f>L14*Assumptions!$D29</f>
        <v>50</v>
      </c>
      <c r="M23" s="125">
        <f>M14*Assumptions!$D29</f>
        <v>50</v>
      </c>
      <c r="N23" s="125">
        <f>N14*Assumptions!$D29</f>
        <v>50</v>
      </c>
      <c r="O23" s="3"/>
      <c r="P23" s="8">
        <f t="shared" si="20"/>
        <v>6110</v>
      </c>
      <c r="Q23" s="8">
        <f t="shared" si="21"/>
        <v>6110</v>
      </c>
      <c r="R23" s="8">
        <f t="shared" si="22"/>
        <v>6110</v>
      </c>
      <c r="S23" s="8">
        <f t="shared" si="23"/>
        <v>6110</v>
      </c>
      <c r="T23" s="8">
        <f t="shared" si="24"/>
        <v>6110</v>
      </c>
      <c r="Y23"/>
    </row>
    <row r="24" spans="1:25" s="100" customFormat="1" ht="12.75" customHeight="1" x14ac:dyDescent="0.25">
      <c r="A24" s="7"/>
      <c r="C24" s="108" t="s">
        <v>68</v>
      </c>
      <c r="D24" s="109" t="s">
        <v>5</v>
      </c>
      <c r="E24" s="110" t="s">
        <v>2</v>
      </c>
      <c r="F24" s="3"/>
      <c r="G24" s="111">
        <v>122.2</v>
      </c>
      <c r="H24" s="12" t="s">
        <v>42</v>
      </c>
      <c r="I24" s="3"/>
      <c r="J24" s="125">
        <f>J15*Assumptions!$D30</f>
        <v>40</v>
      </c>
      <c r="K24" s="125">
        <f>K15*Assumptions!$D30</f>
        <v>40</v>
      </c>
      <c r="L24" s="125">
        <f>L15*Assumptions!$D30</f>
        <v>40</v>
      </c>
      <c r="M24" s="125">
        <f>M15*Assumptions!$D30</f>
        <v>40</v>
      </c>
      <c r="N24" s="125">
        <f>N15*Assumptions!$D30</f>
        <v>40</v>
      </c>
      <c r="O24" s="3"/>
      <c r="P24" s="8">
        <f t="shared" si="20"/>
        <v>4888</v>
      </c>
      <c r="Q24" s="8">
        <f t="shared" si="21"/>
        <v>4888</v>
      </c>
      <c r="R24" s="8">
        <f t="shared" si="22"/>
        <v>4888</v>
      </c>
      <c r="S24" s="8">
        <f t="shared" si="23"/>
        <v>4888</v>
      </c>
      <c r="T24" s="8">
        <f t="shared" si="24"/>
        <v>4888</v>
      </c>
      <c r="Y24"/>
    </row>
    <row r="25" spans="1:25" s="100" customFormat="1" ht="12.75" customHeight="1" x14ac:dyDescent="0.25">
      <c r="A25" s="7"/>
      <c r="C25" s="108" t="s">
        <v>69</v>
      </c>
      <c r="D25" s="109" t="s">
        <v>5</v>
      </c>
      <c r="E25" s="110" t="s">
        <v>2</v>
      </c>
      <c r="F25" s="3"/>
      <c r="G25" s="111">
        <v>122.2</v>
      </c>
      <c r="H25" s="12" t="s">
        <v>42</v>
      </c>
      <c r="I25" s="3"/>
      <c r="J25" s="125">
        <f>J16*Assumptions!$D31</f>
        <v>26.666666666666668</v>
      </c>
      <c r="K25" s="125">
        <f>K16*Assumptions!$D31</f>
        <v>26.666666666666668</v>
      </c>
      <c r="L25" s="125">
        <f>L16*Assumptions!$D31</f>
        <v>26.666666666666668</v>
      </c>
      <c r="M25" s="125">
        <f>M16*Assumptions!$D31</f>
        <v>26.666666666666668</v>
      </c>
      <c r="N25" s="125">
        <f>N16*Assumptions!$D31</f>
        <v>26.666666666666668</v>
      </c>
      <c r="O25" s="3"/>
      <c r="P25" s="8">
        <f t="shared" ref="P25" si="25">J25*$G25</f>
        <v>3258.666666666667</v>
      </c>
      <c r="Q25" s="8">
        <f t="shared" ref="Q25" si="26">K25*$G25</f>
        <v>3258.666666666667</v>
      </c>
      <c r="R25" s="8">
        <f t="shared" ref="R25" si="27">L25*$G25</f>
        <v>3258.666666666667</v>
      </c>
      <c r="S25" s="8">
        <f t="shared" ref="S25" si="28">M25*$G25</f>
        <v>3258.666666666667</v>
      </c>
      <c r="T25" s="8">
        <f t="shared" ref="T25" si="29">N25*$G25</f>
        <v>3258.666666666667</v>
      </c>
      <c r="Y25"/>
    </row>
    <row r="26" spans="1:25" ht="12.75" customHeight="1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Y26"/>
    </row>
    <row r="27" spans="1:25" ht="12.75" customHeight="1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Y27"/>
    </row>
    <row r="28" spans="1:25" ht="12.75" customHeight="1" x14ac:dyDescent="0.2">
      <c r="A28" s="7"/>
      <c r="C28" s="108"/>
      <c r="D28" s="109"/>
      <c r="E28" s="110"/>
      <c r="F28" s="100"/>
      <c r="G28" s="6"/>
      <c r="H28" s="13" t="s">
        <v>44</v>
      </c>
      <c r="I28" s="100"/>
      <c r="J28" s="111"/>
      <c r="K28" s="121"/>
      <c r="L28" s="121"/>
      <c r="M28" s="121"/>
      <c r="N28" s="121"/>
      <c r="P28" s="8">
        <f t="shared" ref="P28" si="30">J28</f>
        <v>0</v>
      </c>
      <c r="Q28" s="8">
        <f t="shared" ref="Q28" si="31">K28</f>
        <v>0</v>
      </c>
      <c r="R28" s="8">
        <f t="shared" ref="R28" si="32">L28</f>
        <v>0</v>
      </c>
      <c r="S28" s="8">
        <f t="shared" ref="S28" si="33">M28</f>
        <v>0</v>
      </c>
      <c r="T28" s="8">
        <f t="shared" ref="T28" si="34">N28</f>
        <v>0</v>
      </c>
    </row>
    <row r="29" spans="1:25" s="100" customFormat="1" ht="12.75" customHeight="1" x14ac:dyDescent="0.2">
      <c r="A29" s="7"/>
      <c r="C29" s="108"/>
      <c r="D29" s="109"/>
      <c r="E29" s="110"/>
      <c r="G29" s="6"/>
      <c r="H29" s="13" t="s">
        <v>44</v>
      </c>
      <c r="J29" s="121"/>
      <c r="K29" s="121"/>
      <c r="L29" s="121"/>
      <c r="M29" s="121"/>
      <c r="N29" s="121"/>
      <c r="P29" s="8">
        <f t="shared" ref="P29:P31" si="35">J29</f>
        <v>0</v>
      </c>
      <c r="Q29" s="8">
        <f t="shared" ref="Q29:Q31" si="36">K29</f>
        <v>0</v>
      </c>
      <c r="R29" s="8">
        <f t="shared" ref="R29:R31" si="37">L29</f>
        <v>0</v>
      </c>
      <c r="S29" s="8">
        <f t="shared" ref="S29:S31" si="38">M29</f>
        <v>0</v>
      </c>
      <c r="T29" s="8">
        <f t="shared" ref="T29:T31" si="39">N29</f>
        <v>0</v>
      </c>
    </row>
    <row r="30" spans="1:25" s="100" customFormat="1" ht="12.75" customHeight="1" x14ac:dyDescent="0.2">
      <c r="A30" s="7"/>
      <c r="C30" s="108"/>
      <c r="D30" s="109"/>
      <c r="E30" s="110"/>
      <c r="G30" s="6"/>
      <c r="H30" s="13" t="s">
        <v>44</v>
      </c>
      <c r="J30" s="121"/>
      <c r="K30" s="121"/>
      <c r="L30" s="121"/>
      <c r="M30" s="121"/>
      <c r="N30" s="121"/>
      <c r="P30" s="8">
        <f t="shared" si="35"/>
        <v>0</v>
      </c>
      <c r="Q30" s="8">
        <f t="shared" si="36"/>
        <v>0</v>
      </c>
      <c r="R30" s="8">
        <f t="shared" si="37"/>
        <v>0</v>
      </c>
      <c r="S30" s="8">
        <f t="shared" si="38"/>
        <v>0</v>
      </c>
      <c r="T30" s="8">
        <f t="shared" si="39"/>
        <v>0</v>
      </c>
    </row>
    <row r="31" spans="1:25" s="100" customFormat="1" ht="12.75" customHeight="1" x14ac:dyDescent="0.2">
      <c r="A31" s="7"/>
      <c r="C31" s="108"/>
      <c r="D31" s="109"/>
      <c r="E31" s="110"/>
      <c r="G31" s="6"/>
      <c r="H31" s="13" t="s">
        <v>44</v>
      </c>
      <c r="J31" s="121"/>
      <c r="K31" s="121"/>
      <c r="L31" s="121"/>
      <c r="M31" s="121"/>
      <c r="N31" s="121"/>
      <c r="P31" s="8">
        <f t="shared" si="35"/>
        <v>0</v>
      </c>
      <c r="Q31" s="8">
        <f t="shared" si="36"/>
        <v>0</v>
      </c>
      <c r="R31" s="8">
        <f t="shared" si="37"/>
        <v>0</v>
      </c>
      <c r="S31" s="8">
        <f t="shared" si="38"/>
        <v>0</v>
      </c>
      <c r="T31" s="8">
        <f t="shared" si="39"/>
        <v>0</v>
      </c>
    </row>
    <row r="32" spans="1:25" ht="12.75" customHeight="1" x14ac:dyDescent="0.25">
      <c r="F32" s="3"/>
      <c r="I32" s="3"/>
      <c r="O32" s="3"/>
      <c r="Y32"/>
    </row>
    <row r="33" spans="3:25" ht="12.75" customHeight="1" x14ac:dyDescent="0.25">
      <c r="F33" s="3"/>
      <c r="I33" s="3"/>
      <c r="O33" s="3"/>
      <c r="Y33"/>
    </row>
    <row r="34" spans="3:25" ht="12.75" customHeight="1" x14ac:dyDescent="0.25">
      <c r="C34" s="5" t="s">
        <v>13</v>
      </c>
      <c r="F34" s="3"/>
      <c r="I34" s="3"/>
      <c r="O34" s="3"/>
      <c r="Y34"/>
    </row>
    <row r="35" spans="3:25" ht="12.75" customHeight="1" x14ac:dyDescent="0.2">
      <c r="C35" s="28" t="s">
        <v>2</v>
      </c>
      <c r="D35" s="28" t="s">
        <v>5</v>
      </c>
      <c r="E35" s="28"/>
      <c r="F35" s="3"/>
      <c r="G35" s="28"/>
      <c r="H35" s="29"/>
      <c r="I35" s="3"/>
      <c r="J35" s="28"/>
      <c r="K35" s="28"/>
      <c r="L35" s="28"/>
      <c r="M35" s="28"/>
      <c r="N35" s="28"/>
      <c r="O35" s="3"/>
      <c r="P35" s="30">
        <f t="shared" ref="P35:T40" si="40">SUMIFS(P$10:P$31,$E$10:$E$31,$C35,$D$10:$D$31,$D35)</f>
        <v>208020.04166666666</v>
      </c>
      <c r="Q35" s="30">
        <f t="shared" si="40"/>
        <v>208020.04166666666</v>
      </c>
      <c r="R35" s="30">
        <f t="shared" si="40"/>
        <v>208020.04166666666</v>
      </c>
      <c r="S35" s="30">
        <f t="shared" si="40"/>
        <v>208020.04166666666</v>
      </c>
      <c r="T35" s="30">
        <f t="shared" si="40"/>
        <v>208020.04166666666</v>
      </c>
    </row>
    <row r="36" spans="3:25" ht="12.75" customHeight="1" x14ac:dyDescent="0.2">
      <c r="C36" s="4" t="s">
        <v>1</v>
      </c>
      <c r="D36" s="4" t="s">
        <v>5</v>
      </c>
      <c r="E36" s="4"/>
      <c r="F36" s="3"/>
      <c r="G36" s="4"/>
      <c r="H36" s="13"/>
      <c r="I36" s="3"/>
      <c r="J36" s="4"/>
      <c r="K36" s="4"/>
      <c r="L36" s="4"/>
      <c r="M36" s="4"/>
      <c r="N36" s="4"/>
      <c r="O36" s="3"/>
      <c r="P36" s="9">
        <f t="shared" si="40"/>
        <v>3455598.3333333335</v>
      </c>
      <c r="Q36" s="9">
        <f t="shared" si="40"/>
        <v>3455598.3333333335</v>
      </c>
      <c r="R36" s="9">
        <f t="shared" si="40"/>
        <v>3455598.3333333335</v>
      </c>
      <c r="S36" s="9">
        <f t="shared" si="40"/>
        <v>3455598.3333333335</v>
      </c>
      <c r="T36" s="9">
        <f t="shared" si="40"/>
        <v>3455598.3333333335</v>
      </c>
    </row>
    <row r="37" spans="3:25" ht="12.75" customHeight="1" x14ac:dyDescent="0.2">
      <c r="C37" s="4" t="s">
        <v>4</v>
      </c>
      <c r="D37" s="4" t="s">
        <v>5</v>
      </c>
      <c r="E37" s="4"/>
      <c r="F37" s="3"/>
      <c r="G37" s="4"/>
      <c r="H37" s="13"/>
      <c r="I37" s="3"/>
      <c r="J37" s="4"/>
      <c r="K37" s="4"/>
      <c r="L37" s="4"/>
      <c r="M37" s="4"/>
      <c r="N37" s="4"/>
      <c r="O37" s="3"/>
      <c r="P37" s="9">
        <f t="shared" si="40"/>
        <v>0</v>
      </c>
      <c r="Q37" s="9">
        <f t="shared" si="40"/>
        <v>0</v>
      </c>
      <c r="R37" s="9">
        <f t="shared" si="40"/>
        <v>0</v>
      </c>
      <c r="S37" s="9">
        <f t="shared" si="40"/>
        <v>0</v>
      </c>
      <c r="T37" s="9">
        <f t="shared" si="40"/>
        <v>0</v>
      </c>
    </row>
    <row r="38" spans="3:25" ht="12.75" customHeight="1" x14ac:dyDescent="0.2">
      <c r="C38" s="4" t="s">
        <v>2</v>
      </c>
      <c r="D38" s="4" t="s">
        <v>41</v>
      </c>
      <c r="E38" s="4"/>
      <c r="F38" s="3"/>
      <c r="G38" s="4"/>
      <c r="H38" s="13"/>
      <c r="I38" s="3"/>
      <c r="J38" s="4"/>
      <c r="K38" s="4"/>
      <c r="L38" s="4"/>
      <c r="M38" s="4"/>
      <c r="N38" s="4"/>
      <c r="O38" s="3"/>
      <c r="P38" s="9">
        <f t="shared" si="40"/>
        <v>0</v>
      </c>
      <c r="Q38" s="9">
        <f t="shared" si="40"/>
        <v>0</v>
      </c>
      <c r="R38" s="9">
        <f t="shared" si="40"/>
        <v>0</v>
      </c>
      <c r="S38" s="9">
        <f t="shared" si="40"/>
        <v>0</v>
      </c>
      <c r="T38" s="9">
        <f t="shared" si="40"/>
        <v>0</v>
      </c>
    </row>
    <row r="39" spans="3:25" ht="12.75" customHeight="1" x14ac:dyDescent="0.2">
      <c r="C39" s="4" t="s">
        <v>1</v>
      </c>
      <c r="D39" s="4" t="s">
        <v>41</v>
      </c>
      <c r="E39" s="4"/>
      <c r="F39" s="3"/>
      <c r="G39" s="4"/>
      <c r="H39" s="13"/>
      <c r="I39" s="3"/>
      <c r="J39" s="4"/>
      <c r="K39" s="4"/>
      <c r="L39" s="4"/>
      <c r="M39" s="4"/>
      <c r="N39" s="4"/>
      <c r="O39" s="3"/>
      <c r="P39" s="9">
        <f t="shared" si="40"/>
        <v>0</v>
      </c>
      <c r="Q39" s="9">
        <f t="shared" si="40"/>
        <v>0</v>
      </c>
      <c r="R39" s="9">
        <f t="shared" si="40"/>
        <v>0</v>
      </c>
      <c r="S39" s="9">
        <f t="shared" si="40"/>
        <v>0</v>
      </c>
      <c r="T39" s="9">
        <f t="shared" si="40"/>
        <v>0</v>
      </c>
    </row>
    <row r="40" spans="3:25" ht="12.75" customHeight="1" x14ac:dyDescent="0.2">
      <c r="C40" s="4" t="s">
        <v>4</v>
      </c>
      <c r="D40" s="4" t="s">
        <v>41</v>
      </c>
      <c r="E40" s="7"/>
      <c r="F40" s="3"/>
      <c r="G40" s="7"/>
      <c r="H40" s="31"/>
      <c r="I40" s="3"/>
      <c r="J40" s="7"/>
      <c r="K40" s="7"/>
      <c r="L40" s="7"/>
      <c r="M40" s="7"/>
      <c r="N40" s="7"/>
      <c r="O40" s="3"/>
      <c r="P40" s="9">
        <f t="shared" si="40"/>
        <v>0</v>
      </c>
      <c r="Q40" s="9">
        <f t="shared" si="40"/>
        <v>0</v>
      </c>
      <c r="R40" s="9">
        <f t="shared" si="40"/>
        <v>0</v>
      </c>
      <c r="S40" s="9">
        <f t="shared" si="40"/>
        <v>0</v>
      </c>
      <c r="T40" s="9">
        <f t="shared" si="40"/>
        <v>0</v>
      </c>
    </row>
    <row r="41" spans="3:25" ht="12.75" customHeight="1" x14ac:dyDescent="0.2">
      <c r="C41" s="10" t="str">
        <f>"Total Expenditure ($ "&amp;Assumptions!$B$8&amp;")"</f>
        <v>Total Expenditure ($ 2018)</v>
      </c>
      <c r="D41" s="10"/>
      <c r="E41" s="10"/>
      <c r="F41" s="3"/>
      <c r="G41" s="10"/>
      <c r="H41" s="14"/>
      <c r="I41" s="3"/>
      <c r="J41" s="10"/>
      <c r="K41" s="10"/>
      <c r="L41" s="10"/>
      <c r="M41" s="10"/>
      <c r="N41" s="10"/>
      <c r="O41" s="3"/>
      <c r="P41" s="11">
        <f>SUM(P35:P40)</f>
        <v>3663618.375</v>
      </c>
      <c r="Q41" s="11">
        <f t="shared" ref="Q41:T41" si="41">SUM(Q35:Q40)</f>
        <v>3663618.375</v>
      </c>
      <c r="R41" s="11">
        <f t="shared" si="41"/>
        <v>3663618.375</v>
      </c>
      <c r="S41" s="11">
        <f t="shared" si="41"/>
        <v>3663618.375</v>
      </c>
      <c r="T41" s="11">
        <f t="shared" si="41"/>
        <v>3663618.375</v>
      </c>
      <c r="U41" s="44"/>
    </row>
    <row r="42" spans="3:25" ht="12.75" customHeight="1" x14ac:dyDescent="0.2">
      <c r="C42" s="28" t="str">
        <f>"Total Expenditure ($ "&amp;Assumptions!B17&amp;")"</f>
        <v>Total Expenditure ($ 2020/21)</v>
      </c>
      <c r="D42" s="28"/>
      <c r="E42" s="28"/>
      <c r="F42" s="3"/>
      <c r="G42" s="28"/>
      <c r="H42" s="29"/>
      <c r="I42" s="3"/>
      <c r="J42" s="28"/>
      <c r="K42" s="28"/>
      <c r="L42" s="28"/>
      <c r="M42" s="28"/>
      <c r="N42" s="28"/>
      <c r="O42" s="3"/>
      <c r="P42" s="45">
        <f>P41*Assumptions!$B$18</f>
        <v>3879930.1679362333</v>
      </c>
      <c r="Q42" s="45">
        <f>Q41*Assumptions!$B$18</f>
        <v>3879930.1679362333</v>
      </c>
      <c r="R42" s="45">
        <f>R41*Assumptions!$B$18</f>
        <v>3879930.1679362333</v>
      </c>
      <c r="S42" s="45">
        <f>S41*Assumptions!$B$18</f>
        <v>3879930.1679362333</v>
      </c>
      <c r="T42" s="45">
        <f>T41*Assumptions!$B$18</f>
        <v>3879930.1679362333</v>
      </c>
      <c r="U42" s="44"/>
    </row>
    <row r="43" spans="3:25" ht="12.75" customHeight="1" x14ac:dyDescent="0.2">
      <c r="C43" s="101" t="s">
        <v>12</v>
      </c>
      <c r="D43" s="101"/>
      <c r="E43" s="101"/>
      <c r="F43" s="3"/>
      <c r="G43" s="101"/>
      <c r="H43" s="101"/>
      <c r="I43" s="3"/>
      <c r="J43" s="101"/>
      <c r="K43" s="101"/>
      <c r="L43" s="101"/>
      <c r="M43" s="101"/>
      <c r="N43" s="101"/>
      <c r="O43" s="3"/>
      <c r="P43" s="102">
        <f>P41-SUM(P10:P31)</f>
        <v>0</v>
      </c>
      <c r="Q43" s="102">
        <f>Q41-SUM(Q10:Q31)</f>
        <v>0</v>
      </c>
      <c r="R43" s="102">
        <f>R41-SUM(R10:R31)</f>
        <v>0</v>
      </c>
      <c r="S43" s="102">
        <f>S41-SUM(S10:S31)</f>
        <v>0</v>
      </c>
      <c r="T43" s="102">
        <f>T41-SUM(T10:T31)</f>
        <v>0</v>
      </c>
      <c r="V43" s="102">
        <f>SUM(P43:T43)</f>
        <v>0</v>
      </c>
    </row>
    <row r="44" spans="3:25" ht="12.75" customHeight="1" x14ac:dyDescent="0.2">
      <c r="F44" s="3"/>
      <c r="I44" s="3"/>
      <c r="O44" s="3"/>
    </row>
    <row r="45" spans="3:25" ht="12.75" customHeight="1" x14ac:dyDescent="0.2">
      <c r="C45" s="128" t="str">
        <f>"NPV ($ "&amp;Assumptions!$B$17&amp;")"</f>
        <v>NPV ($ 2020/21)</v>
      </c>
      <c r="D45" s="129">
        <f>NPV(Assumptions!$B$6,$P$42:$T$42)</f>
        <v>17896495.526923485</v>
      </c>
      <c r="F45" s="3"/>
      <c r="I45" s="3"/>
      <c r="O45" s="3"/>
    </row>
    <row r="46" spans="3:25" ht="12.75" customHeight="1" x14ac:dyDescent="0.2">
      <c r="O46" s="3"/>
    </row>
    <row r="47" spans="3:25" ht="12.75" customHeight="1" x14ac:dyDescent="0.2">
      <c r="O47" s="3"/>
    </row>
    <row r="48" spans="3:25" ht="12.75" customHeight="1" x14ac:dyDescent="0.2"/>
    <row r="49" ht="12.75" customHeight="1" x14ac:dyDescent="0.2"/>
    <row r="50" ht="12.75" customHeight="1" x14ac:dyDescent="0.2"/>
  </sheetData>
  <sortState ref="B49:B51">
    <sortCondition ref="B49:B51"/>
  </sortState>
  <conditionalFormatting sqref="P43:T43">
    <cfRule type="expression" dxfId="3" priority="6">
      <formula>ABS(P43)&gt;0.001</formula>
    </cfRule>
  </conditionalFormatting>
  <conditionalFormatting sqref="V43">
    <cfRule type="expression" dxfId="2" priority="1">
      <formula>ABS(V43)&gt;0.001</formula>
    </cfRule>
  </conditionalFormatting>
  <dataValidations count="2">
    <dataValidation type="list" allowBlank="1" showInputMessage="1" showErrorMessage="1" sqref="D19:D25 D28:D31 D10:D16">
      <formula1>"CapEx, OpEx"</formula1>
    </dataValidation>
    <dataValidation type="list" allowBlank="1" showInputMessage="1" showErrorMessage="1" sqref="E19:E25 E28:E31 E10:E16">
      <formula1>"Labour, Materials, Contracts"</formula1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Y51"/>
  <sheetViews>
    <sheetView showGridLines="0" zoomScale="90" zoomScaleNormal="90" workbookViewId="0">
      <selection activeCell="E7" sqref="E7"/>
    </sheetView>
  </sheetViews>
  <sheetFormatPr defaultColWidth="9.140625" defaultRowHeight="12.75" x14ac:dyDescent="0.2"/>
  <cols>
    <col min="1" max="1" width="4.28515625" style="1" customWidth="1"/>
    <col min="2" max="2" width="2.7109375" style="1" customWidth="1"/>
    <col min="3" max="3" width="66.85546875" style="1" bestFit="1" customWidth="1"/>
    <col min="4" max="5" width="11.140625" style="1" customWidth="1"/>
    <col min="6" max="6" width="2.85546875" style="1" customWidth="1"/>
    <col min="7" max="7" width="12.140625" style="1" customWidth="1"/>
    <col min="8" max="8" width="12.7109375" style="12" customWidth="1"/>
    <col min="9" max="9" width="2.85546875" style="1" customWidth="1"/>
    <col min="10" max="14" width="12.140625" style="1" customWidth="1"/>
    <col min="15" max="15" width="2.85546875" style="1" customWidth="1"/>
    <col min="16" max="20" width="12.140625" style="1" customWidth="1"/>
    <col min="21" max="21" width="2.140625" style="1" customWidth="1"/>
    <col min="22" max="16384" width="9.140625" style="1"/>
  </cols>
  <sheetData>
    <row r="1" spans="1:25" ht="21" x14ac:dyDescent="0.35">
      <c r="A1" s="18" t="str">
        <f>Assumptions!A1</f>
        <v>Device replacement</v>
      </c>
      <c r="B1" s="18"/>
      <c r="C1" s="15"/>
      <c r="D1" s="15"/>
      <c r="E1" s="15"/>
      <c r="F1" s="15"/>
      <c r="G1" s="15"/>
      <c r="H1" s="16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</row>
    <row r="2" spans="1:25" ht="15.75" x14ac:dyDescent="0.25">
      <c r="A2" s="17" t="str">
        <f>Assumptions!A2</f>
        <v>VPN</v>
      </c>
      <c r="B2" s="17"/>
      <c r="C2" s="15"/>
      <c r="D2" s="15"/>
      <c r="E2" s="15"/>
      <c r="F2" s="15"/>
      <c r="G2" s="15"/>
      <c r="H2" s="16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</row>
    <row r="3" spans="1:25" s="39" customFormat="1" ht="15" x14ac:dyDescent="0.25">
      <c r="A3" s="37" t="s">
        <v>21</v>
      </c>
      <c r="B3" s="37"/>
      <c r="C3" s="37"/>
      <c r="D3" s="37"/>
      <c r="E3" s="37"/>
      <c r="F3" s="37"/>
      <c r="G3" s="37"/>
      <c r="H3" s="38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V3" s="117" t="b">
        <f>SUM(V7:V44)=0</f>
        <v>1</v>
      </c>
    </row>
    <row r="4" spans="1:25" s="2" customFormat="1" ht="12.75" customHeight="1" x14ac:dyDescent="0.25">
      <c r="B4" s="19"/>
      <c r="C4" s="20"/>
      <c r="D4" s="20"/>
      <c r="E4" s="20"/>
      <c r="F4" s="20"/>
      <c r="G4" s="20"/>
      <c r="H4" s="21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</row>
    <row r="5" spans="1:25" s="2" customFormat="1" ht="12.75" customHeight="1" x14ac:dyDescent="0.2">
      <c r="A5" s="2" t="str">
        <f>"Inputs are in $"&amp;Assumptions!$B$8&amp; " unless otherwise stated"</f>
        <v>Inputs are in $2018 unless otherwise stated</v>
      </c>
      <c r="B5" s="22"/>
      <c r="C5" s="20"/>
      <c r="D5" s="20"/>
      <c r="E5" s="20"/>
      <c r="F5" s="20"/>
      <c r="G5" s="20"/>
      <c r="H5" s="21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</row>
    <row r="6" spans="1:25" ht="12.75" customHeight="1" x14ac:dyDescent="0.2">
      <c r="A6" s="7"/>
      <c r="F6" s="20"/>
    </row>
    <row r="7" spans="1:25" ht="12.75" customHeight="1" x14ac:dyDescent="0.2">
      <c r="A7" s="7"/>
      <c r="B7" s="100"/>
      <c r="C7" s="119" t="s">
        <v>46</v>
      </c>
      <c r="D7" s="23" t="s">
        <v>23</v>
      </c>
      <c r="E7" s="23" t="s">
        <v>9</v>
      </c>
      <c r="F7" s="20"/>
      <c r="G7" s="23" t="s">
        <v>15</v>
      </c>
      <c r="H7" s="23" t="s">
        <v>10</v>
      </c>
      <c r="I7" s="100"/>
      <c r="J7" s="23" t="s">
        <v>45</v>
      </c>
      <c r="K7" s="24"/>
      <c r="L7" s="24"/>
      <c r="M7" s="24"/>
      <c r="N7" s="24"/>
      <c r="O7" s="4"/>
      <c r="P7" s="23" t="s">
        <v>11</v>
      </c>
      <c r="Q7" s="24"/>
      <c r="R7" s="24"/>
      <c r="S7" s="24"/>
      <c r="T7" s="24"/>
    </row>
    <row r="8" spans="1:25" s="100" customFormat="1" ht="12.75" customHeight="1" x14ac:dyDescent="0.2">
      <c r="A8" s="7"/>
      <c r="B8" s="7"/>
      <c r="C8" s="7"/>
      <c r="D8" s="7"/>
      <c r="E8" s="7"/>
      <c r="F8" s="20"/>
      <c r="G8" s="7"/>
      <c r="H8" s="7"/>
      <c r="I8" s="4"/>
      <c r="J8" s="120" t="s">
        <v>16</v>
      </c>
      <c r="K8" s="120" t="s">
        <v>17</v>
      </c>
      <c r="L8" s="120" t="s">
        <v>18</v>
      </c>
      <c r="M8" s="120" t="s">
        <v>19</v>
      </c>
      <c r="N8" s="120" t="s">
        <v>20</v>
      </c>
      <c r="O8" s="4"/>
      <c r="P8" s="120" t="s">
        <v>16</v>
      </c>
      <c r="Q8" s="120" t="s">
        <v>17</v>
      </c>
      <c r="R8" s="120" t="s">
        <v>18</v>
      </c>
      <c r="S8" s="120" t="s">
        <v>19</v>
      </c>
      <c r="T8" s="120" t="s">
        <v>20</v>
      </c>
    </row>
    <row r="9" spans="1:25" ht="12.75" customHeight="1" x14ac:dyDescent="0.2">
      <c r="A9" s="100"/>
      <c r="B9" s="100"/>
      <c r="C9" s="100"/>
      <c r="D9" s="100"/>
      <c r="E9" s="100"/>
      <c r="F9" s="20"/>
      <c r="G9" s="100"/>
      <c r="I9" s="100"/>
      <c r="J9" s="100"/>
      <c r="K9" s="100"/>
      <c r="L9" s="100"/>
      <c r="M9" s="100"/>
      <c r="N9" s="100"/>
      <c r="O9" s="100"/>
      <c r="P9" s="100"/>
      <c r="Q9" s="100"/>
      <c r="R9" s="100"/>
      <c r="S9" s="100"/>
      <c r="T9" s="100"/>
    </row>
    <row r="10" spans="1:25" ht="12.75" customHeight="1" x14ac:dyDescent="0.2">
      <c r="A10" s="7" t="str">
        <f>IF(ISBLANK(B10),"",1+MAX(A$6:A9))</f>
        <v/>
      </c>
      <c r="C10" s="108" t="s">
        <v>70</v>
      </c>
      <c r="D10" s="109" t="s">
        <v>5</v>
      </c>
      <c r="E10" s="110" t="s">
        <v>1</v>
      </c>
      <c r="F10" s="3"/>
      <c r="G10" s="122">
        <v>2270</v>
      </c>
      <c r="H10" s="12" t="s">
        <v>43</v>
      </c>
      <c r="I10" s="3"/>
      <c r="J10" s="125">
        <f>IF(MOD(COUNTA($J$8:J$8),Assumptions!$C25)=1, Assumptions!$B25+Assumptions!$B26,0)</f>
        <v>2500</v>
      </c>
      <c r="K10" s="125">
        <f>IF(MOD(COUNTA($J$8:K$8),Assumptions!$C25)=1, Assumptions!$B25+Assumptions!$B26,0)</f>
        <v>0</v>
      </c>
      <c r="L10" s="125">
        <f>IF(MOD(COUNTA($J$8:L$8),Assumptions!$C25)=1, Assumptions!$B25+Assumptions!$B26,0)</f>
        <v>0</v>
      </c>
      <c r="M10" s="125">
        <f>IF(MOD(COUNTA($J$8:M$8),Assumptions!$C25)=1, Assumptions!$B25+Assumptions!$B26,0)</f>
        <v>0</v>
      </c>
      <c r="N10" s="125">
        <f>IF(MOD(COUNTA($J$8:N$8),Assumptions!$C25)=1, Assumptions!$B25+Assumptions!$B26,0)</f>
        <v>2500</v>
      </c>
      <c r="O10" s="3"/>
      <c r="P10" s="8">
        <f t="shared" ref="P10:T15" si="0">J10*$G10</f>
        <v>5675000</v>
      </c>
      <c r="Q10" s="8">
        <f t="shared" si="0"/>
        <v>0</v>
      </c>
      <c r="R10" s="8">
        <f t="shared" si="0"/>
        <v>0</v>
      </c>
      <c r="S10" s="8">
        <f t="shared" si="0"/>
        <v>0</v>
      </c>
      <c r="T10" s="8">
        <f t="shared" si="0"/>
        <v>5675000</v>
      </c>
    </row>
    <row r="11" spans="1:25" ht="12.75" customHeight="1" x14ac:dyDescent="0.2">
      <c r="A11" s="7" t="str">
        <f>IF(ISBLANK(B11),"",1+MAX(A$6:A10))</f>
        <v/>
      </c>
      <c r="C11" s="108" t="s">
        <v>71</v>
      </c>
      <c r="D11" s="109" t="s">
        <v>5</v>
      </c>
      <c r="E11" s="110" t="s">
        <v>1</v>
      </c>
      <c r="F11" s="3"/>
      <c r="G11" s="122"/>
      <c r="H11" s="12" t="s">
        <v>43</v>
      </c>
      <c r="I11" s="3"/>
      <c r="J11" s="125"/>
      <c r="K11" s="125"/>
      <c r="L11" s="125"/>
      <c r="M11" s="125"/>
      <c r="N11" s="125"/>
      <c r="O11" s="3"/>
      <c r="P11" s="8">
        <f t="shared" si="0"/>
        <v>0</v>
      </c>
      <c r="Q11" s="8">
        <f t="shared" si="0"/>
        <v>0</v>
      </c>
      <c r="R11" s="8">
        <f t="shared" si="0"/>
        <v>0</v>
      </c>
      <c r="S11" s="8">
        <f t="shared" si="0"/>
        <v>0</v>
      </c>
      <c r="T11" s="8">
        <f t="shared" si="0"/>
        <v>0</v>
      </c>
    </row>
    <row r="12" spans="1:25" ht="12.75" customHeight="1" x14ac:dyDescent="0.2">
      <c r="A12" s="7" t="str">
        <f>IF(ISBLANK(B12),"",1+MAX(A$6:A11))</f>
        <v/>
      </c>
      <c r="C12" s="108" t="s">
        <v>72</v>
      </c>
      <c r="D12" s="109" t="s">
        <v>5</v>
      </c>
      <c r="E12" s="110" t="s">
        <v>1</v>
      </c>
      <c r="F12" s="3"/>
      <c r="G12" s="122">
        <v>1225</v>
      </c>
      <c r="H12" s="12" t="s">
        <v>43</v>
      </c>
      <c r="I12" s="3"/>
      <c r="J12" s="125">
        <f>IF(MOD(COUNTA($J$8:J$8),Assumptions!$C27)=1, Assumptions!$B27,0)</f>
        <v>1830</v>
      </c>
      <c r="K12" s="125">
        <f>IF(MOD(COUNTA($J$8:K$8),Assumptions!$C27)=1, Assumptions!$B27,0)</f>
        <v>0</v>
      </c>
      <c r="L12" s="125">
        <f>IF(MOD(COUNTA($J$8:L$8),Assumptions!$C27)=1, Assumptions!$B27,0)</f>
        <v>0</v>
      </c>
      <c r="M12" s="125">
        <f>IF(MOD(COUNTA($J$8:M$8),Assumptions!$C27)=1, Assumptions!$B27,0)</f>
        <v>1830</v>
      </c>
      <c r="N12" s="125">
        <f>IF(MOD(COUNTA($J$8:N$8),Assumptions!$C27)=1, Assumptions!$B27,0)</f>
        <v>0</v>
      </c>
      <c r="O12" s="3"/>
      <c r="P12" s="8">
        <f t="shared" si="0"/>
        <v>2241750</v>
      </c>
      <c r="Q12" s="8">
        <f t="shared" si="0"/>
        <v>0</v>
      </c>
      <c r="R12" s="8">
        <f t="shared" si="0"/>
        <v>0</v>
      </c>
      <c r="S12" s="8">
        <f t="shared" si="0"/>
        <v>2241750</v>
      </c>
      <c r="T12" s="8">
        <f t="shared" si="0"/>
        <v>0</v>
      </c>
    </row>
    <row r="13" spans="1:25" ht="12.75" customHeight="1" x14ac:dyDescent="0.25">
      <c r="A13" s="7" t="str">
        <f>IF(ISBLANK(B13),"",1+MAX(A$6:A12))</f>
        <v/>
      </c>
      <c r="C13" s="108" t="s">
        <v>73</v>
      </c>
      <c r="D13" s="109" t="s">
        <v>5</v>
      </c>
      <c r="E13" s="110" t="s">
        <v>1</v>
      </c>
      <c r="F13" s="3"/>
      <c r="G13" s="122">
        <v>1442</v>
      </c>
      <c r="H13" s="12" t="s">
        <v>43</v>
      </c>
      <c r="I13" s="3"/>
      <c r="J13" s="125">
        <f>IF(MOD(COUNTA($J$8:J$8),Assumptions!$C28)=1, Assumptions!$B28,0)</f>
        <v>1465</v>
      </c>
      <c r="K13" s="125">
        <f>IF(MOD(COUNTA($J$8:K$8),Assumptions!$C28)=1, Assumptions!$B28,0)</f>
        <v>0</v>
      </c>
      <c r="L13" s="125">
        <f>IF(MOD(COUNTA($J$8:L$8),Assumptions!$C28)=1, Assumptions!$B28,0)</f>
        <v>1465</v>
      </c>
      <c r="M13" s="125">
        <f>IF(MOD(COUNTA($J$8:M$8),Assumptions!$C28)=1, Assumptions!$B28,0)</f>
        <v>0</v>
      </c>
      <c r="N13" s="125">
        <f>IF(MOD(COUNTA($J$8:N$8),Assumptions!$C28)=1, Assumptions!$B28,0)</f>
        <v>1465</v>
      </c>
      <c r="O13" s="3"/>
      <c r="P13" s="8">
        <f t="shared" si="0"/>
        <v>2112530</v>
      </c>
      <c r="Q13" s="8">
        <f t="shared" si="0"/>
        <v>0</v>
      </c>
      <c r="R13" s="8">
        <f t="shared" si="0"/>
        <v>2112530</v>
      </c>
      <c r="S13" s="8">
        <f t="shared" si="0"/>
        <v>0</v>
      </c>
      <c r="T13" s="8">
        <f t="shared" si="0"/>
        <v>2112530</v>
      </c>
      <c r="Y13"/>
    </row>
    <row r="14" spans="1:25" ht="12.75" customHeight="1" x14ac:dyDescent="0.25">
      <c r="A14" s="7" t="str">
        <f>IF(ISBLANK(B14),"",1+MAX(A$6:A13))</f>
        <v/>
      </c>
      <c r="C14" s="108" t="s">
        <v>74</v>
      </c>
      <c r="D14" s="109" t="s">
        <v>5</v>
      </c>
      <c r="E14" s="110" t="s">
        <v>1</v>
      </c>
      <c r="F14" s="3"/>
      <c r="G14" s="122">
        <v>1000</v>
      </c>
      <c r="H14" s="12" t="s">
        <v>43</v>
      </c>
      <c r="I14" s="3"/>
      <c r="J14" s="125">
        <f>IF(MOD(COUNTA($J$8:J$8),Assumptions!$C29)=1, Assumptions!$B29,0)</f>
        <v>150</v>
      </c>
      <c r="K14" s="125">
        <f>IF(MOD(COUNTA($J$8:K$8),Assumptions!$C29)=1, Assumptions!$B29,0)</f>
        <v>0</v>
      </c>
      <c r="L14" s="125">
        <f>IF(MOD(COUNTA($J$8:L$8),Assumptions!$C29)=1, Assumptions!$B29,0)</f>
        <v>0</v>
      </c>
      <c r="M14" s="125">
        <f>IF(MOD(COUNTA($J$8:M$8),Assumptions!$C29)=1, Assumptions!$B29,0)</f>
        <v>150</v>
      </c>
      <c r="N14" s="125">
        <f>IF(MOD(COUNTA($J$8:N$8),Assumptions!$C29)=1, Assumptions!$B29,0)</f>
        <v>0</v>
      </c>
      <c r="O14" s="3"/>
      <c r="P14" s="8">
        <f t="shared" si="0"/>
        <v>150000</v>
      </c>
      <c r="Q14" s="8">
        <f t="shared" si="0"/>
        <v>0</v>
      </c>
      <c r="R14" s="8">
        <f t="shared" si="0"/>
        <v>0</v>
      </c>
      <c r="S14" s="8">
        <f t="shared" si="0"/>
        <v>150000</v>
      </c>
      <c r="T14" s="8">
        <f t="shared" si="0"/>
        <v>0</v>
      </c>
      <c r="Y14"/>
    </row>
    <row r="15" spans="1:25" ht="12.75" customHeight="1" x14ac:dyDescent="0.25">
      <c r="A15" s="7" t="str">
        <f>IF(ISBLANK(B15),"",1+MAX(A$6:A14))</f>
        <v/>
      </c>
      <c r="C15" s="108" t="s">
        <v>75</v>
      </c>
      <c r="D15" s="109" t="s">
        <v>5</v>
      </c>
      <c r="E15" s="110" t="s">
        <v>1</v>
      </c>
      <c r="F15" s="3"/>
      <c r="G15" s="122">
        <v>5000</v>
      </c>
      <c r="H15" s="12" t="s">
        <v>43</v>
      </c>
      <c r="I15" s="3"/>
      <c r="J15" s="125">
        <f>IF(MOD(COUNTA($J$8:J$8),Assumptions!$C30)=1, Assumptions!$B30,0)</f>
        <v>40</v>
      </c>
      <c r="K15" s="125">
        <f>IF(MOD(COUNTA($J$8:K$8),Assumptions!$C30)=1, Assumptions!$B30,0)</f>
        <v>0</v>
      </c>
      <c r="L15" s="125">
        <f>IF(MOD(COUNTA($J$8:L$8),Assumptions!$C30)=1, Assumptions!$B30,0)</f>
        <v>0</v>
      </c>
      <c r="M15" s="125">
        <f>IF(MOD(COUNTA($J$8:M$8),Assumptions!$C30)=1, Assumptions!$B30,0)</f>
        <v>0</v>
      </c>
      <c r="N15" s="125">
        <f>IF(MOD(COUNTA($J$8:N$8),Assumptions!$C30)=1, Assumptions!$B30,0)</f>
        <v>40</v>
      </c>
      <c r="O15" s="3"/>
      <c r="P15" s="8">
        <f t="shared" si="0"/>
        <v>200000</v>
      </c>
      <c r="Q15" s="8">
        <f t="shared" si="0"/>
        <v>0</v>
      </c>
      <c r="R15" s="8">
        <f t="shared" si="0"/>
        <v>0</v>
      </c>
      <c r="S15" s="8">
        <f t="shared" si="0"/>
        <v>0</v>
      </c>
      <c r="T15" s="8">
        <f t="shared" si="0"/>
        <v>200000</v>
      </c>
      <c r="Y15"/>
    </row>
    <row r="16" spans="1:25" s="100" customFormat="1" ht="12.75" customHeight="1" x14ac:dyDescent="0.25">
      <c r="A16" s="7"/>
      <c r="C16" s="108" t="s">
        <v>76</v>
      </c>
      <c r="D16" s="109" t="s">
        <v>5</v>
      </c>
      <c r="E16" s="110" t="s">
        <v>1</v>
      </c>
      <c r="F16" s="3"/>
      <c r="G16" s="122">
        <v>20000</v>
      </c>
      <c r="H16" s="12" t="s">
        <v>43</v>
      </c>
      <c r="I16" s="3"/>
      <c r="J16" s="125">
        <f>IF(MOD(COUNTA($J$8:J$8),Assumptions!$C31)=1, Assumptions!$B31,0)</f>
        <v>20</v>
      </c>
      <c r="K16" s="125">
        <f>IF(MOD(COUNTA($J$8:K$8),Assumptions!$C31)=1, Assumptions!$B31,0)</f>
        <v>0</v>
      </c>
      <c r="L16" s="125">
        <f>IF(MOD(COUNTA($J$8:L$8),Assumptions!$C31)=1, Assumptions!$B31,0)</f>
        <v>0</v>
      </c>
      <c r="M16" s="125">
        <f>IF(MOD(COUNTA($J$8:M$8),Assumptions!$C31)=1, Assumptions!$B31,0)</f>
        <v>20</v>
      </c>
      <c r="N16" s="125">
        <f>IF(MOD(COUNTA($J$8:N$8),Assumptions!$C31)=1, Assumptions!$B31,0)</f>
        <v>0</v>
      </c>
      <c r="O16" s="3"/>
      <c r="P16" s="8">
        <f t="shared" ref="P16" si="1">J16*$G16</f>
        <v>400000</v>
      </c>
      <c r="Q16" s="8">
        <f t="shared" ref="Q16" si="2">K16*$G16</f>
        <v>0</v>
      </c>
      <c r="R16" s="8">
        <f t="shared" ref="R16" si="3">L16*$G16</f>
        <v>0</v>
      </c>
      <c r="S16" s="8">
        <f t="shared" ref="S16" si="4">M16*$G16</f>
        <v>400000</v>
      </c>
      <c r="T16" s="8">
        <f t="shared" ref="T16" si="5">N16*$G16</f>
        <v>0</v>
      </c>
      <c r="Y16"/>
    </row>
    <row r="17" spans="1:25" ht="12.75" customHeight="1" x14ac:dyDescent="0.25">
      <c r="A17" s="7" t="str">
        <f>IF(ISBLANK(B17),"",1+MAX(A$6:A16))</f>
        <v/>
      </c>
      <c r="C17" s="100"/>
      <c r="D17" s="100"/>
      <c r="E17" s="100"/>
      <c r="F17" s="3"/>
      <c r="G17" s="100"/>
      <c r="I17" s="3"/>
      <c r="J17" s="100"/>
      <c r="K17" s="100"/>
      <c r="L17" s="100"/>
      <c r="M17" s="100"/>
      <c r="N17" s="100"/>
      <c r="O17" s="3"/>
      <c r="Y17"/>
    </row>
    <row r="18" spans="1:25" ht="12.75" customHeight="1" x14ac:dyDescent="0.25">
      <c r="A18" s="7"/>
      <c r="C18" s="100"/>
      <c r="D18" s="100"/>
      <c r="E18" s="100"/>
      <c r="F18" s="3"/>
      <c r="G18" s="100"/>
      <c r="I18" s="3"/>
      <c r="J18" s="100"/>
      <c r="K18" s="100"/>
      <c r="L18" s="100"/>
      <c r="M18" s="100"/>
      <c r="N18" s="100"/>
      <c r="O18" s="3"/>
      <c r="Y18"/>
    </row>
    <row r="19" spans="1:25" ht="12.75" customHeight="1" x14ac:dyDescent="0.25">
      <c r="A19" s="7" t="str">
        <f>IF(ISBLANK(B19),"",1+MAX(A$6:A18))</f>
        <v/>
      </c>
      <c r="C19" s="108" t="s">
        <v>70</v>
      </c>
      <c r="D19" s="109" t="s">
        <v>5</v>
      </c>
      <c r="E19" s="110" t="s">
        <v>2</v>
      </c>
      <c r="F19" s="3"/>
      <c r="G19" s="111">
        <v>122.2</v>
      </c>
      <c r="H19" s="12" t="s">
        <v>42</v>
      </c>
      <c r="I19" s="3"/>
      <c r="J19" s="125">
        <f>J10*Assumptions!$D25</f>
        <v>5000</v>
      </c>
      <c r="K19" s="125">
        <f>K10*Assumptions!$D25</f>
        <v>0</v>
      </c>
      <c r="L19" s="125">
        <f>L10*Assumptions!$D25</f>
        <v>0</v>
      </c>
      <c r="M19" s="125">
        <f>M10*Assumptions!$D25</f>
        <v>0</v>
      </c>
      <c r="N19" s="125">
        <f>N10*Assumptions!$D25</f>
        <v>5000</v>
      </c>
      <c r="O19" s="3"/>
      <c r="P19" s="8">
        <f t="shared" ref="P19:T25" si="6">J19*$G19</f>
        <v>611000</v>
      </c>
      <c r="Q19" s="8">
        <f t="shared" si="6"/>
        <v>0</v>
      </c>
      <c r="R19" s="8">
        <f t="shared" si="6"/>
        <v>0</v>
      </c>
      <c r="S19" s="8">
        <f t="shared" si="6"/>
        <v>0</v>
      </c>
      <c r="T19" s="8">
        <f t="shared" si="6"/>
        <v>611000</v>
      </c>
      <c r="Y19"/>
    </row>
    <row r="20" spans="1:25" s="100" customFormat="1" ht="12.75" customHeight="1" x14ac:dyDescent="0.25">
      <c r="A20" s="7"/>
      <c r="C20" s="108" t="s">
        <v>71</v>
      </c>
      <c r="D20" s="109" t="s">
        <v>5</v>
      </c>
      <c r="E20" s="110" t="s">
        <v>2</v>
      </c>
      <c r="F20" s="3"/>
      <c r="G20" s="111">
        <v>122.2</v>
      </c>
      <c r="H20" s="12" t="s">
        <v>42</v>
      </c>
      <c r="I20" s="3"/>
      <c r="J20" s="125">
        <f>J11*Assumptions!$D26</f>
        <v>0</v>
      </c>
      <c r="K20" s="125">
        <f>K11*Assumptions!$D26</f>
        <v>0</v>
      </c>
      <c r="L20" s="125">
        <f>L11*Assumptions!$D26</f>
        <v>0</v>
      </c>
      <c r="M20" s="125">
        <f>M11*Assumptions!$D26</f>
        <v>0</v>
      </c>
      <c r="N20" s="125">
        <f>N11*Assumptions!$D26</f>
        <v>0</v>
      </c>
      <c r="O20" s="3"/>
      <c r="P20" s="8">
        <f t="shared" ref="P20:P24" si="7">J20*$G20</f>
        <v>0</v>
      </c>
      <c r="Q20" s="8">
        <f t="shared" ref="Q20:Q24" si="8">K20*$G20</f>
        <v>0</v>
      </c>
      <c r="R20" s="8">
        <f t="shared" ref="R20:R24" si="9">L20*$G20</f>
        <v>0</v>
      </c>
      <c r="S20" s="8">
        <f t="shared" ref="S20:S24" si="10">M20*$G20</f>
        <v>0</v>
      </c>
      <c r="T20" s="8">
        <f t="shared" ref="T20:T24" si="11">N20*$G20</f>
        <v>0</v>
      </c>
      <c r="Y20"/>
    </row>
    <row r="21" spans="1:25" s="100" customFormat="1" ht="12.75" customHeight="1" x14ac:dyDescent="0.25">
      <c r="A21" s="7"/>
      <c r="C21" s="108" t="s">
        <v>72</v>
      </c>
      <c r="D21" s="109" t="s">
        <v>5</v>
      </c>
      <c r="E21" s="110" t="s">
        <v>2</v>
      </c>
      <c r="F21" s="3"/>
      <c r="G21" s="111">
        <v>122.2</v>
      </c>
      <c r="H21" s="12" t="s">
        <v>42</v>
      </c>
      <c r="I21" s="3"/>
      <c r="J21" s="125">
        <f>J12*Assumptions!$D27</f>
        <v>457.5</v>
      </c>
      <c r="K21" s="125">
        <f>K12*Assumptions!$D27</f>
        <v>0</v>
      </c>
      <c r="L21" s="125">
        <f>L12*Assumptions!$D27</f>
        <v>0</v>
      </c>
      <c r="M21" s="125">
        <f>M12*Assumptions!$D27</f>
        <v>457.5</v>
      </c>
      <c r="N21" s="125">
        <f>N12*Assumptions!$D27</f>
        <v>0</v>
      </c>
      <c r="O21" s="3"/>
      <c r="P21" s="8">
        <f t="shared" si="7"/>
        <v>55906.5</v>
      </c>
      <c r="Q21" s="8">
        <f t="shared" si="8"/>
        <v>0</v>
      </c>
      <c r="R21" s="8">
        <f t="shared" si="9"/>
        <v>0</v>
      </c>
      <c r="S21" s="8">
        <f t="shared" si="10"/>
        <v>55906.5</v>
      </c>
      <c r="T21" s="8">
        <f t="shared" si="11"/>
        <v>0</v>
      </c>
      <c r="Y21"/>
    </row>
    <row r="22" spans="1:25" s="100" customFormat="1" ht="12.75" customHeight="1" x14ac:dyDescent="0.25">
      <c r="A22" s="7"/>
      <c r="C22" s="108" t="s">
        <v>73</v>
      </c>
      <c r="D22" s="109" t="s">
        <v>5</v>
      </c>
      <c r="E22" s="110" t="s">
        <v>2</v>
      </c>
      <c r="F22" s="3"/>
      <c r="G22" s="111">
        <v>122.2</v>
      </c>
      <c r="H22" s="12" t="s">
        <v>42</v>
      </c>
      <c r="I22" s="3"/>
      <c r="J22" s="125">
        <f>J13*Assumptions!$D28</f>
        <v>366.25</v>
      </c>
      <c r="K22" s="125">
        <f>K13*Assumptions!$D28</f>
        <v>0</v>
      </c>
      <c r="L22" s="125">
        <f>L13*Assumptions!$D28</f>
        <v>366.25</v>
      </c>
      <c r="M22" s="125">
        <f>M13*Assumptions!$D28</f>
        <v>0</v>
      </c>
      <c r="N22" s="125">
        <f>N13*Assumptions!$D28</f>
        <v>366.25</v>
      </c>
      <c r="O22" s="3"/>
      <c r="P22" s="8">
        <f t="shared" si="7"/>
        <v>44755.75</v>
      </c>
      <c r="Q22" s="8">
        <f t="shared" si="8"/>
        <v>0</v>
      </c>
      <c r="R22" s="8">
        <f t="shared" si="9"/>
        <v>44755.75</v>
      </c>
      <c r="S22" s="8">
        <f t="shared" si="10"/>
        <v>0</v>
      </c>
      <c r="T22" s="8">
        <f t="shared" si="11"/>
        <v>44755.75</v>
      </c>
      <c r="Y22"/>
    </row>
    <row r="23" spans="1:25" s="100" customFormat="1" ht="12.75" customHeight="1" x14ac:dyDescent="0.25">
      <c r="A23" s="7"/>
      <c r="C23" s="108" t="s">
        <v>74</v>
      </c>
      <c r="D23" s="109" t="s">
        <v>5</v>
      </c>
      <c r="E23" s="110" t="s">
        <v>2</v>
      </c>
      <c r="F23" s="3"/>
      <c r="G23" s="111">
        <v>122.2</v>
      </c>
      <c r="H23" s="12" t="s">
        <v>42</v>
      </c>
      <c r="I23" s="3"/>
      <c r="J23" s="125">
        <f>J14*Assumptions!$D29</f>
        <v>150</v>
      </c>
      <c r="K23" s="125">
        <f>K14*Assumptions!$D29</f>
        <v>0</v>
      </c>
      <c r="L23" s="125">
        <f>L14*Assumptions!$D29</f>
        <v>0</v>
      </c>
      <c r="M23" s="125">
        <f>M14*Assumptions!$D29</f>
        <v>150</v>
      </c>
      <c r="N23" s="125">
        <f>N14*Assumptions!$D29</f>
        <v>0</v>
      </c>
      <c r="O23" s="3"/>
      <c r="P23" s="8">
        <f t="shared" si="7"/>
        <v>18330</v>
      </c>
      <c r="Q23" s="8">
        <f t="shared" si="8"/>
        <v>0</v>
      </c>
      <c r="R23" s="8">
        <f t="shared" si="9"/>
        <v>0</v>
      </c>
      <c r="S23" s="8">
        <f t="shared" si="10"/>
        <v>18330</v>
      </c>
      <c r="T23" s="8">
        <f t="shared" si="11"/>
        <v>0</v>
      </c>
      <c r="Y23"/>
    </row>
    <row r="24" spans="1:25" s="100" customFormat="1" ht="12.75" customHeight="1" x14ac:dyDescent="0.25">
      <c r="A24" s="7"/>
      <c r="C24" s="108" t="s">
        <v>75</v>
      </c>
      <c r="D24" s="109" t="s">
        <v>5</v>
      </c>
      <c r="E24" s="110" t="s">
        <v>2</v>
      </c>
      <c r="F24" s="3"/>
      <c r="G24" s="111">
        <v>122.2</v>
      </c>
      <c r="H24" s="12" t="s">
        <v>42</v>
      </c>
      <c r="I24" s="3"/>
      <c r="J24" s="125">
        <f>J15*Assumptions!$D30</f>
        <v>160</v>
      </c>
      <c r="K24" s="125">
        <f>K15*Assumptions!$D30</f>
        <v>0</v>
      </c>
      <c r="L24" s="125">
        <f>L15*Assumptions!$D30</f>
        <v>0</v>
      </c>
      <c r="M24" s="125">
        <f>M15*Assumptions!$D30</f>
        <v>0</v>
      </c>
      <c r="N24" s="125">
        <f>N15*Assumptions!$D30</f>
        <v>160</v>
      </c>
      <c r="O24" s="3"/>
      <c r="P24" s="8">
        <f t="shared" si="7"/>
        <v>19552</v>
      </c>
      <c r="Q24" s="8">
        <f t="shared" si="8"/>
        <v>0</v>
      </c>
      <c r="R24" s="8">
        <f t="shared" si="9"/>
        <v>0</v>
      </c>
      <c r="S24" s="8">
        <f t="shared" si="10"/>
        <v>0</v>
      </c>
      <c r="T24" s="8">
        <f t="shared" si="11"/>
        <v>19552</v>
      </c>
      <c r="Y24"/>
    </row>
    <row r="25" spans="1:25" ht="12.75" customHeight="1" x14ac:dyDescent="0.25">
      <c r="A25" s="7" t="str">
        <f>IF(ISBLANK(B25),"",1+MAX(A$6:A19))</f>
        <v/>
      </c>
      <c r="C25" s="108" t="s">
        <v>76</v>
      </c>
      <c r="D25" s="109" t="s">
        <v>5</v>
      </c>
      <c r="E25" s="110" t="s">
        <v>2</v>
      </c>
      <c r="F25" s="3"/>
      <c r="G25" s="111">
        <v>122.2</v>
      </c>
      <c r="H25" s="12" t="s">
        <v>42</v>
      </c>
      <c r="I25" s="3"/>
      <c r="J25" s="125">
        <f>J16*Assumptions!$D31</f>
        <v>80</v>
      </c>
      <c r="K25" s="125">
        <f>K16*Assumptions!$D31</f>
        <v>0</v>
      </c>
      <c r="L25" s="125">
        <f>L16*Assumptions!$D31</f>
        <v>0</v>
      </c>
      <c r="M25" s="125">
        <f>M16*Assumptions!$D31</f>
        <v>80</v>
      </c>
      <c r="N25" s="125">
        <f>N16*Assumptions!$D31</f>
        <v>0</v>
      </c>
      <c r="O25" s="3"/>
      <c r="P25" s="8">
        <f t="shared" si="6"/>
        <v>9776</v>
      </c>
      <c r="Q25" s="8">
        <f t="shared" si="6"/>
        <v>0</v>
      </c>
      <c r="R25" s="8">
        <f t="shared" si="6"/>
        <v>0</v>
      </c>
      <c r="S25" s="8">
        <f t="shared" si="6"/>
        <v>9776</v>
      </c>
      <c r="T25" s="8">
        <f t="shared" si="6"/>
        <v>0</v>
      </c>
      <c r="Y25"/>
    </row>
    <row r="26" spans="1:25" ht="12.75" customHeight="1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Y26"/>
    </row>
    <row r="27" spans="1:25" ht="12.75" customHeight="1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Y27"/>
    </row>
    <row r="28" spans="1:25" ht="12.75" customHeight="1" x14ac:dyDescent="0.2">
      <c r="A28" s="7" t="str">
        <f>IF(ISBLANK(B28),"",1+MAX(A$6:A27))</f>
        <v/>
      </c>
      <c r="C28" s="108"/>
      <c r="D28" s="109"/>
      <c r="E28" s="110"/>
      <c r="G28" s="6"/>
      <c r="H28" s="13" t="s">
        <v>44</v>
      </c>
      <c r="J28" s="112"/>
      <c r="K28" s="113"/>
      <c r="L28" s="112"/>
      <c r="M28" s="113"/>
      <c r="N28" s="112"/>
      <c r="P28" s="8">
        <f t="shared" ref="P28:T31" si="12">J28</f>
        <v>0</v>
      </c>
      <c r="Q28" s="8">
        <f t="shared" si="12"/>
        <v>0</v>
      </c>
      <c r="R28" s="8">
        <f t="shared" si="12"/>
        <v>0</v>
      </c>
      <c r="S28" s="8">
        <f t="shared" si="12"/>
        <v>0</v>
      </c>
      <c r="T28" s="8">
        <f t="shared" si="12"/>
        <v>0</v>
      </c>
    </row>
    <row r="29" spans="1:25" s="100" customFormat="1" ht="12.75" customHeight="1" x14ac:dyDescent="0.2">
      <c r="A29" s="7"/>
      <c r="C29" s="108"/>
      <c r="D29" s="109"/>
      <c r="E29" s="110"/>
      <c r="G29" s="6"/>
      <c r="H29" s="13" t="s">
        <v>44</v>
      </c>
      <c r="J29" s="112"/>
      <c r="K29" s="113"/>
      <c r="L29" s="112"/>
      <c r="M29" s="113"/>
      <c r="N29" s="112"/>
      <c r="P29" s="8"/>
      <c r="Q29" s="8"/>
      <c r="R29" s="8"/>
      <c r="S29" s="8"/>
      <c r="T29" s="8"/>
    </row>
    <row r="30" spans="1:25" s="100" customFormat="1" ht="12.75" customHeight="1" x14ac:dyDescent="0.2">
      <c r="A30" s="7"/>
      <c r="C30" s="108"/>
      <c r="D30" s="109"/>
      <c r="E30" s="110"/>
      <c r="G30" s="6"/>
      <c r="H30" s="13" t="s">
        <v>44</v>
      </c>
      <c r="J30" s="112"/>
      <c r="K30" s="113"/>
      <c r="L30" s="112"/>
      <c r="M30" s="113"/>
      <c r="N30" s="112"/>
      <c r="P30" s="8"/>
      <c r="Q30" s="8"/>
      <c r="R30" s="8"/>
      <c r="S30" s="8"/>
      <c r="T30" s="8"/>
    </row>
    <row r="31" spans="1:25" ht="12.75" customHeight="1" x14ac:dyDescent="0.2">
      <c r="A31" s="7"/>
      <c r="C31" s="108"/>
      <c r="D31" s="109"/>
      <c r="E31" s="110"/>
      <c r="G31" s="6"/>
      <c r="H31" s="13" t="s">
        <v>44</v>
      </c>
      <c r="J31" s="112"/>
      <c r="K31" s="113"/>
      <c r="L31" s="112"/>
      <c r="M31" s="113"/>
      <c r="N31" s="112"/>
      <c r="P31" s="8">
        <f t="shared" si="12"/>
        <v>0</v>
      </c>
      <c r="Q31" s="8">
        <f t="shared" si="12"/>
        <v>0</v>
      </c>
      <c r="R31" s="8">
        <f t="shared" si="12"/>
        <v>0</v>
      </c>
      <c r="S31" s="8">
        <f t="shared" si="12"/>
        <v>0</v>
      </c>
      <c r="T31" s="8">
        <f t="shared" si="12"/>
        <v>0</v>
      </c>
    </row>
    <row r="32" spans="1:25" ht="12.75" customHeight="1" x14ac:dyDescent="0.2">
      <c r="A32" s="7"/>
      <c r="B32" s="100"/>
      <c r="C32" s="108"/>
      <c r="D32" s="109"/>
      <c r="E32" s="110"/>
      <c r="F32" s="100"/>
      <c r="G32" s="6"/>
      <c r="H32" s="13" t="s">
        <v>44</v>
      </c>
      <c r="I32" s="100"/>
      <c r="J32" s="112"/>
      <c r="K32" s="113"/>
      <c r="L32" s="112"/>
      <c r="M32" s="113"/>
      <c r="N32" s="112"/>
      <c r="O32" s="100"/>
      <c r="P32" s="8">
        <f t="shared" ref="P32" si="13">J32</f>
        <v>0</v>
      </c>
      <c r="Q32" s="8">
        <f t="shared" ref="Q32" si="14">K32</f>
        <v>0</v>
      </c>
      <c r="R32" s="8">
        <f t="shared" ref="R32" si="15">L32</f>
        <v>0</v>
      </c>
      <c r="S32" s="8">
        <f t="shared" ref="S32" si="16">M32</f>
        <v>0</v>
      </c>
      <c r="T32" s="8">
        <f t="shared" ref="T32" si="17">N32</f>
        <v>0</v>
      </c>
    </row>
    <row r="33" spans="3:25" ht="12.75" customHeight="1" x14ac:dyDescent="0.25">
      <c r="F33" s="100"/>
      <c r="I33" s="100"/>
      <c r="O33" s="100"/>
      <c r="Y33"/>
    </row>
    <row r="34" spans="3:25" ht="12.75" customHeight="1" x14ac:dyDescent="0.25">
      <c r="F34" s="100"/>
      <c r="I34" s="100"/>
      <c r="O34" s="100"/>
      <c r="Y34"/>
    </row>
    <row r="35" spans="3:25" ht="12.75" customHeight="1" x14ac:dyDescent="0.25">
      <c r="C35" s="5" t="s">
        <v>13</v>
      </c>
      <c r="F35" s="100"/>
      <c r="I35" s="100"/>
      <c r="O35" s="100"/>
      <c r="Y35"/>
    </row>
    <row r="36" spans="3:25" ht="12.75" customHeight="1" x14ac:dyDescent="0.2">
      <c r="C36" s="28" t="s">
        <v>2</v>
      </c>
      <c r="D36" s="28" t="s">
        <v>5</v>
      </c>
      <c r="E36" s="28"/>
      <c r="F36" s="100"/>
      <c r="G36" s="28"/>
      <c r="H36" s="29"/>
      <c r="I36" s="100"/>
      <c r="J36" s="28"/>
      <c r="K36" s="28"/>
      <c r="L36" s="28"/>
      <c r="M36" s="28"/>
      <c r="N36" s="28"/>
      <c r="O36" s="100"/>
      <c r="P36" s="30">
        <f t="shared" ref="P36:T41" si="18">SUMIFS(P$10:P$31,$E$10:$E$31,$C36,$D$10:$D$31,$D36)</f>
        <v>759320.25</v>
      </c>
      <c r="Q36" s="30">
        <f t="shared" si="18"/>
        <v>0</v>
      </c>
      <c r="R36" s="30">
        <f t="shared" si="18"/>
        <v>44755.75</v>
      </c>
      <c r="S36" s="30">
        <f t="shared" si="18"/>
        <v>84012.5</v>
      </c>
      <c r="T36" s="30">
        <f t="shared" si="18"/>
        <v>675307.75</v>
      </c>
    </row>
    <row r="37" spans="3:25" ht="12.75" customHeight="1" x14ac:dyDescent="0.2">
      <c r="C37" s="4" t="s">
        <v>1</v>
      </c>
      <c r="D37" s="4" t="s">
        <v>5</v>
      </c>
      <c r="E37" s="4"/>
      <c r="F37" s="100"/>
      <c r="G37" s="4"/>
      <c r="H37" s="13"/>
      <c r="I37" s="100"/>
      <c r="J37" s="4"/>
      <c r="K37" s="4"/>
      <c r="L37" s="4"/>
      <c r="M37" s="4"/>
      <c r="N37" s="4"/>
      <c r="O37" s="100"/>
      <c r="P37" s="9">
        <f t="shared" si="18"/>
        <v>10779280</v>
      </c>
      <c r="Q37" s="9">
        <f t="shared" si="18"/>
        <v>0</v>
      </c>
      <c r="R37" s="9">
        <f t="shared" si="18"/>
        <v>2112530</v>
      </c>
      <c r="S37" s="9">
        <f t="shared" si="18"/>
        <v>2791750</v>
      </c>
      <c r="T37" s="9">
        <f t="shared" si="18"/>
        <v>7987530</v>
      </c>
    </row>
    <row r="38" spans="3:25" ht="12.75" customHeight="1" x14ac:dyDescent="0.2">
      <c r="C38" s="4" t="s">
        <v>4</v>
      </c>
      <c r="D38" s="4" t="s">
        <v>5</v>
      </c>
      <c r="E38" s="4"/>
      <c r="F38" s="100"/>
      <c r="G38" s="4"/>
      <c r="H38" s="13"/>
      <c r="I38" s="100"/>
      <c r="J38" s="4"/>
      <c r="K38" s="4"/>
      <c r="L38" s="4"/>
      <c r="M38" s="4"/>
      <c r="N38" s="4"/>
      <c r="O38" s="100"/>
      <c r="P38" s="9">
        <f t="shared" si="18"/>
        <v>0</v>
      </c>
      <c r="Q38" s="9">
        <f t="shared" si="18"/>
        <v>0</v>
      </c>
      <c r="R38" s="9">
        <f t="shared" si="18"/>
        <v>0</v>
      </c>
      <c r="S38" s="9">
        <f t="shared" si="18"/>
        <v>0</v>
      </c>
      <c r="T38" s="9">
        <f t="shared" si="18"/>
        <v>0</v>
      </c>
    </row>
    <row r="39" spans="3:25" ht="12.75" customHeight="1" x14ac:dyDescent="0.2">
      <c r="C39" s="4" t="s">
        <v>2</v>
      </c>
      <c r="D39" s="4" t="s">
        <v>41</v>
      </c>
      <c r="E39" s="4"/>
      <c r="F39" s="100"/>
      <c r="G39" s="4"/>
      <c r="H39" s="13"/>
      <c r="I39" s="100"/>
      <c r="J39" s="4"/>
      <c r="K39" s="4"/>
      <c r="L39" s="4"/>
      <c r="M39" s="4"/>
      <c r="N39" s="4"/>
      <c r="O39" s="100"/>
      <c r="P39" s="9">
        <f t="shared" si="18"/>
        <v>0</v>
      </c>
      <c r="Q39" s="9">
        <f t="shared" si="18"/>
        <v>0</v>
      </c>
      <c r="R39" s="9">
        <f t="shared" si="18"/>
        <v>0</v>
      </c>
      <c r="S39" s="9">
        <f t="shared" si="18"/>
        <v>0</v>
      </c>
      <c r="T39" s="9">
        <f t="shared" si="18"/>
        <v>0</v>
      </c>
    </row>
    <row r="40" spans="3:25" ht="12.75" customHeight="1" x14ac:dyDescent="0.2">
      <c r="C40" s="4" t="s">
        <v>1</v>
      </c>
      <c r="D40" s="4" t="s">
        <v>41</v>
      </c>
      <c r="E40" s="4"/>
      <c r="F40" s="100"/>
      <c r="G40" s="4"/>
      <c r="H40" s="13"/>
      <c r="I40" s="100"/>
      <c r="J40" s="4"/>
      <c r="K40" s="4"/>
      <c r="L40" s="4"/>
      <c r="M40" s="4"/>
      <c r="N40" s="4"/>
      <c r="O40" s="100"/>
      <c r="P40" s="9">
        <f t="shared" si="18"/>
        <v>0</v>
      </c>
      <c r="Q40" s="9">
        <f t="shared" si="18"/>
        <v>0</v>
      </c>
      <c r="R40" s="9">
        <f t="shared" si="18"/>
        <v>0</v>
      </c>
      <c r="S40" s="9">
        <f t="shared" si="18"/>
        <v>0</v>
      </c>
      <c r="T40" s="9">
        <f t="shared" si="18"/>
        <v>0</v>
      </c>
    </row>
    <row r="41" spans="3:25" ht="12.75" customHeight="1" x14ac:dyDescent="0.2">
      <c r="C41" s="4" t="s">
        <v>4</v>
      </c>
      <c r="D41" s="4" t="s">
        <v>41</v>
      </c>
      <c r="E41" s="7"/>
      <c r="F41" s="100"/>
      <c r="G41" s="7"/>
      <c r="H41" s="31"/>
      <c r="I41" s="100"/>
      <c r="J41" s="7"/>
      <c r="K41" s="7"/>
      <c r="L41" s="7"/>
      <c r="M41" s="7"/>
      <c r="N41" s="7"/>
      <c r="O41" s="100"/>
      <c r="P41" s="9">
        <f t="shared" si="18"/>
        <v>0</v>
      </c>
      <c r="Q41" s="9">
        <f t="shared" si="18"/>
        <v>0</v>
      </c>
      <c r="R41" s="9">
        <f t="shared" si="18"/>
        <v>0</v>
      </c>
      <c r="S41" s="9">
        <f t="shared" si="18"/>
        <v>0</v>
      </c>
      <c r="T41" s="9">
        <f t="shared" si="18"/>
        <v>0</v>
      </c>
    </row>
    <row r="42" spans="3:25" ht="12.75" customHeight="1" x14ac:dyDescent="0.2">
      <c r="C42" s="10" t="str">
        <f>"Total Expenditure ($ "&amp;Assumptions!$B$8&amp;")"</f>
        <v>Total Expenditure ($ 2018)</v>
      </c>
      <c r="D42" s="10"/>
      <c r="E42" s="10"/>
      <c r="F42" s="100"/>
      <c r="G42" s="10"/>
      <c r="H42" s="14"/>
      <c r="I42" s="100"/>
      <c r="J42" s="10"/>
      <c r="K42" s="10"/>
      <c r="L42" s="10"/>
      <c r="M42" s="10"/>
      <c r="N42" s="10"/>
      <c r="O42" s="100"/>
      <c r="P42" s="11">
        <f>SUM(P36:P41)</f>
        <v>11538600.25</v>
      </c>
      <c r="Q42" s="11">
        <f t="shared" ref="Q42:T42" si="19">SUM(Q36:Q41)</f>
        <v>0</v>
      </c>
      <c r="R42" s="11">
        <f t="shared" si="19"/>
        <v>2157285.75</v>
      </c>
      <c r="S42" s="11">
        <f t="shared" si="19"/>
        <v>2875762.5</v>
      </c>
      <c r="T42" s="11">
        <f t="shared" si="19"/>
        <v>8662837.75</v>
      </c>
      <c r="U42" s="44"/>
      <c r="V42" s="100"/>
      <c r="W42" s="100"/>
      <c r="X42" s="100"/>
    </row>
    <row r="43" spans="3:25" ht="12.75" customHeight="1" x14ac:dyDescent="0.2">
      <c r="C43" s="28" t="str">
        <f>"Total Expenditure ($ "&amp;Assumptions!B17&amp;")"</f>
        <v>Total Expenditure ($ 2020/21)</v>
      </c>
      <c r="D43" s="28"/>
      <c r="E43" s="28"/>
      <c r="F43" s="100"/>
      <c r="G43" s="28"/>
      <c r="H43" s="29"/>
      <c r="I43" s="100"/>
      <c r="J43" s="28"/>
      <c r="K43" s="28"/>
      <c r="L43" s="28"/>
      <c r="M43" s="28"/>
      <c r="N43" s="28"/>
      <c r="O43" s="100"/>
      <c r="P43" s="45">
        <f>P42*Assumptions!$B$18</f>
        <v>12219876.259827845</v>
      </c>
      <c r="Q43" s="45">
        <f>Q42*Assumptions!$B$18</f>
        <v>0</v>
      </c>
      <c r="R43" s="45">
        <f>R42*Assumptions!$B$18</f>
        <v>2284658.8278409163</v>
      </c>
      <c r="S43" s="45">
        <f>S42*Assumptions!$B$18</f>
        <v>3045556.7522285185</v>
      </c>
      <c r="T43" s="45">
        <f>T42*Assumptions!$B$18</f>
        <v>9174319.5075993259</v>
      </c>
      <c r="U43" s="44"/>
      <c r="V43" s="100"/>
      <c r="W43" s="100"/>
      <c r="X43" s="100"/>
    </row>
    <row r="44" spans="3:25" x14ac:dyDescent="0.2">
      <c r="C44" s="101" t="s">
        <v>12</v>
      </c>
      <c r="D44" s="101"/>
      <c r="E44" s="101"/>
      <c r="F44" s="100"/>
      <c r="G44" s="101"/>
      <c r="H44" s="101"/>
      <c r="I44" s="100"/>
      <c r="J44" s="101"/>
      <c r="K44" s="101"/>
      <c r="L44" s="101"/>
      <c r="M44" s="101"/>
      <c r="N44" s="101"/>
      <c r="O44" s="100"/>
      <c r="P44" s="102">
        <f>P42-SUM(P10:P32)</f>
        <v>0</v>
      </c>
      <c r="Q44" s="102">
        <f t="shared" ref="Q44:T44" si="20">Q42-SUM(Q10:Q32)</f>
        <v>0</v>
      </c>
      <c r="R44" s="102">
        <f t="shared" si="20"/>
        <v>0</v>
      </c>
      <c r="S44" s="102">
        <f t="shared" si="20"/>
        <v>0</v>
      </c>
      <c r="T44" s="102">
        <f t="shared" si="20"/>
        <v>0</v>
      </c>
      <c r="U44" s="100"/>
      <c r="V44" s="102">
        <f>SUM(P44:T44)</f>
        <v>0</v>
      </c>
      <c r="W44" s="100"/>
      <c r="X44" s="100"/>
    </row>
    <row r="45" spans="3:25" ht="12.75" customHeight="1" x14ac:dyDescent="0.2">
      <c r="C45" s="100"/>
      <c r="D45" s="100"/>
      <c r="E45" s="100"/>
      <c r="F45" s="100"/>
      <c r="G45" s="100"/>
      <c r="I45" s="100"/>
      <c r="J45" s="100"/>
      <c r="K45" s="100"/>
      <c r="L45" s="100"/>
      <c r="M45" s="100"/>
      <c r="N45" s="100"/>
      <c r="O45" s="100"/>
      <c r="P45" s="100"/>
      <c r="Q45" s="100"/>
      <c r="R45" s="100"/>
      <c r="S45" s="100"/>
      <c r="T45" s="100"/>
      <c r="U45" s="100"/>
      <c r="V45" s="100"/>
      <c r="W45" s="100"/>
      <c r="X45" s="100"/>
    </row>
    <row r="46" spans="3:25" ht="12.75" customHeight="1" x14ac:dyDescent="0.2">
      <c r="C46" s="128" t="str">
        <f>"NPV ($ "&amp;Assumptions!$B$17&amp;")"</f>
        <v>NPV ($ 2020/21)</v>
      </c>
      <c r="D46" s="129">
        <f>NPV(Assumptions!$B$6,$P$43:$T$43)</f>
        <v>24741871.380315479</v>
      </c>
      <c r="E46" s="40"/>
      <c r="F46" s="100"/>
      <c r="G46" s="100"/>
      <c r="I46" s="100"/>
      <c r="J46" s="100"/>
      <c r="K46" s="100"/>
      <c r="L46" s="100"/>
      <c r="M46" s="100"/>
      <c r="N46" s="100"/>
      <c r="O46" s="100"/>
      <c r="P46" s="100"/>
      <c r="Q46" s="100"/>
      <c r="R46" s="100"/>
      <c r="S46" s="100"/>
      <c r="T46" s="100"/>
      <c r="U46" s="100"/>
      <c r="V46" s="100"/>
      <c r="W46" s="100"/>
      <c r="X46" s="100"/>
    </row>
    <row r="47" spans="3:25" ht="12.75" customHeight="1" x14ac:dyDescent="0.2">
      <c r="F47" s="100"/>
      <c r="I47" s="100"/>
      <c r="O47" s="100"/>
    </row>
    <row r="48" spans="3:25" ht="12.75" customHeight="1" x14ac:dyDescent="0.2">
      <c r="F48" s="100"/>
      <c r="I48" s="100"/>
      <c r="O48" s="100"/>
    </row>
    <row r="49" spans="6:15" ht="12.75" customHeight="1" x14ac:dyDescent="0.2">
      <c r="F49" s="100"/>
      <c r="I49" s="100"/>
      <c r="O49" s="100"/>
    </row>
    <row r="50" spans="6:15" ht="12.75" customHeight="1" x14ac:dyDescent="0.2">
      <c r="F50" s="100"/>
      <c r="I50" s="100"/>
      <c r="O50" s="100"/>
    </row>
    <row r="51" spans="6:15" ht="12.75" customHeight="1" x14ac:dyDescent="0.2"/>
  </sheetData>
  <conditionalFormatting sqref="P44:T44">
    <cfRule type="expression" dxfId="1" priority="5">
      <formula>ABS(P44)&gt;0.001</formula>
    </cfRule>
  </conditionalFormatting>
  <conditionalFormatting sqref="V44">
    <cfRule type="expression" dxfId="0" priority="1">
      <formula>ABS(V44)&gt;0.001</formula>
    </cfRule>
  </conditionalFormatting>
  <dataValidations count="2">
    <dataValidation type="list" allowBlank="1" showInputMessage="1" showErrorMessage="1" sqref="E28:E32 E10:E16 E19:E25">
      <formula1>"Labour, Materials, Contracts"</formula1>
    </dataValidation>
    <dataValidation type="list" allowBlank="1" showInputMessage="1" showErrorMessage="1" sqref="D28:D32 D19:D25 D10:D16">
      <formula1>"CapEx, OpEx"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7</vt:i4>
      </vt:variant>
    </vt:vector>
  </HeadingPairs>
  <TitlesOfParts>
    <vt:vector size="12" baseType="lpstr">
      <vt:lpstr>Output</vt:lpstr>
      <vt:lpstr>Summary</vt:lpstr>
      <vt:lpstr>Assumptions</vt:lpstr>
      <vt:lpstr>Option 1</vt:lpstr>
      <vt:lpstr>Option 2</vt:lpstr>
      <vt:lpstr>Conv_2021</vt:lpstr>
      <vt:lpstr>Option1_categories</vt:lpstr>
      <vt:lpstr>Option1_costs</vt:lpstr>
      <vt:lpstr>Option2_categories</vt:lpstr>
      <vt:lpstr>Option2_costs</vt:lpstr>
      <vt:lpstr>Summary!Print_Area</vt:lpstr>
      <vt:lpstr>years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2019-12-30T23:41:10Z</dcterms:created>
  <dcterms:modified xsi:type="dcterms:W3CDTF">2020-01-28T07:32:55Z</dcterms:modified>
</cp:coreProperties>
</file>