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5" windowWidth="12120" windowHeight="9885" tabRatio="711"/>
  </bookViews>
  <sheets>
    <sheet name="Output tables" sheetId="8" r:id="rId1"/>
    <sheet name="2021-2026 Unserved Energy" sheetId="1" r:id="rId2"/>
    <sheet name="Base &amp; REFCL &gt;" sheetId="16" r:id="rId3"/>
    <sheet name="T1 Base" sheetId="14" r:id="rId4"/>
    <sheet name="T2 Base" sheetId="15" r:id="rId5"/>
    <sheet name="T3 Base" sheetId="17" r:id="rId6"/>
    <sheet name="Smart ACRs &gt;" sheetId="18" r:id="rId7"/>
    <sheet name="T1 Smart ACRs" sheetId="19" r:id="rId8"/>
    <sheet name="T2 Smart ACRs" sheetId="20" r:id="rId9"/>
    <sheet name="T3 Smart ACRs" sheetId="21" r:id="rId10"/>
  </sheets>
  <externalReferences>
    <externalReference r:id="rId11"/>
  </externalReferences>
  <definedNames>
    <definedName name="BEx3O85IKWARA6NCJOLRBRJFMEWW" localSheetId="7" hidden="1">'[1]Newco pl-act'!#REF!</definedName>
    <definedName name="BEx3O85IKWARA6NCJOLRBRJFMEWW" localSheetId="4" hidden="1">'[1]Newco pl-act'!#REF!</definedName>
    <definedName name="BEx3O85IKWARA6NCJOLRBRJFMEWW" localSheetId="8" hidden="1">'[1]Newco pl-act'!#REF!</definedName>
    <definedName name="BEx3O85IKWARA6NCJOLRBRJFMEWW" localSheetId="5" hidden="1">'[1]Newco pl-act'!#REF!</definedName>
    <definedName name="BEx3O85IKWARA6NCJOLRBRJFMEWW" localSheetId="9" hidden="1">'[1]Newco pl-act'!#REF!</definedName>
    <definedName name="BEx3O85IKWARA6NCJOLRBRJFMEWW" hidden="1">'[1]Newco pl-act'!#REF!</definedName>
    <definedName name="BEx5MLQZM68YQSKARVWTTPINFQ2C" localSheetId="7" hidden="1">'[1]Newco pl-act'!#REF!</definedName>
    <definedName name="BEx5MLQZM68YQSKARVWTTPINFQ2C" localSheetId="4" hidden="1">'[1]Newco pl-act'!#REF!</definedName>
    <definedName name="BEx5MLQZM68YQSKARVWTTPINFQ2C" localSheetId="8" hidden="1">'[1]Newco pl-act'!#REF!</definedName>
    <definedName name="BEx5MLQZM68YQSKARVWTTPINFQ2C" localSheetId="5" hidden="1">'[1]Newco pl-act'!#REF!</definedName>
    <definedName name="BEx5MLQZM68YQSKARVWTTPINFQ2C" localSheetId="9" hidden="1">'[1]Newco pl-act'!#REF!</definedName>
    <definedName name="BEx5MLQZM68YQSKARVWTTPINFQ2C" hidden="1">'[1]Newco pl-act'!#REF!</definedName>
    <definedName name="BExERWCEBKQRYWRQLYJ4UCMMKTHG" localSheetId="7" hidden="1">'[1]Newco pl-act'!#REF!</definedName>
    <definedName name="BExERWCEBKQRYWRQLYJ4UCMMKTHG" localSheetId="4" hidden="1">'[1]Newco pl-act'!#REF!</definedName>
    <definedName name="BExERWCEBKQRYWRQLYJ4UCMMKTHG" localSheetId="8" hidden="1">'[1]Newco pl-act'!#REF!</definedName>
    <definedName name="BExERWCEBKQRYWRQLYJ4UCMMKTHG" localSheetId="5" hidden="1">'[1]Newco pl-act'!#REF!</definedName>
    <definedName name="BExERWCEBKQRYWRQLYJ4UCMMKTHG" localSheetId="9" hidden="1">'[1]Newco pl-act'!#REF!</definedName>
    <definedName name="BExERWCEBKQRYWRQLYJ4UCMMKTHG" hidden="1">'[1]Newco pl-act'!#REF!</definedName>
    <definedName name="BExMBYPQDG9AYDQ5E8IECVFREPO6" localSheetId="7" hidden="1">'[1]Newco pl-act'!#REF!</definedName>
    <definedName name="BExMBYPQDG9AYDQ5E8IECVFREPO6" localSheetId="4" hidden="1">'[1]Newco pl-act'!#REF!</definedName>
    <definedName name="BExMBYPQDG9AYDQ5E8IECVFREPO6" localSheetId="8" hidden="1">'[1]Newco pl-act'!#REF!</definedName>
    <definedName name="BExMBYPQDG9AYDQ5E8IECVFREPO6" localSheetId="5" hidden="1">'[1]Newco pl-act'!#REF!</definedName>
    <definedName name="BExMBYPQDG9AYDQ5E8IECVFREPO6" localSheetId="9" hidden="1">'[1]Newco pl-act'!#REF!</definedName>
    <definedName name="BExMBYPQDG9AYDQ5E8IECVFREPO6" hidden="1">'[1]Newco pl-act'!#REF!</definedName>
    <definedName name="BExQ9ZLYHWABXAA9NJDW8ZS0UQ9P" localSheetId="7" hidden="1">'[1]Newco pl-act'!#REF!</definedName>
    <definedName name="BExQ9ZLYHWABXAA9NJDW8ZS0UQ9P" localSheetId="4" hidden="1">'[1]Newco pl-act'!#REF!</definedName>
    <definedName name="BExQ9ZLYHWABXAA9NJDW8ZS0UQ9P" localSheetId="8" hidden="1">'[1]Newco pl-act'!#REF!</definedName>
    <definedName name="BExQ9ZLYHWABXAA9NJDW8ZS0UQ9P" localSheetId="5" hidden="1">'[1]Newco pl-act'!#REF!</definedName>
    <definedName name="BExQ9ZLYHWABXAA9NJDW8ZS0UQ9P" localSheetId="9" hidden="1">'[1]Newco pl-act'!#REF!</definedName>
    <definedName name="BExQ9ZLYHWABXAA9NJDW8ZS0UQ9P" hidden="1">'[1]Newco pl-act'!#REF!</definedName>
    <definedName name="BExTUY9WNSJ91GV8CP0SKJTEIV82" localSheetId="7" hidden="1">'[1]Newco pl-act'!#REF!</definedName>
    <definedName name="BExTUY9WNSJ91GV8CP0SKJTEIV82" localSheetId="4" hidden="1">'[1]Newco pl-act'!#REF!</definedName>
    <definedName name="BExTUY9WNSJ91GV8CP0SKJTEIV82" localSheetId="8" hidden="1">'[1]Newco pl-act'!#REF!</definedName>
    <definedName name="BExTUY9WNSJ91GV8CP0SKJTEIV82" localSheetId="5" hidden="1">'[1]Newco pl-act'!#REF!</definedName>
    <definedName name="BExTUY9WNSJ91GV8CP0SKJTEIV82" localSheetId="9" hidden="1">'[1]Newco pl-act'!#REF!</definedName>
    <definedName name="BExTUY9WNSJ91GV8CP0SKJTEIV82" hidden="1">'[1]Newco pl-act'!#REF!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</definedNames>
  <calcPr calcId="145621"/>
</workbook>
</file>

<file path=xl/calcChain.xml><?xml version="1.0" encoding="utf-8"?>
<calcChain xmlns="http://schemas.openxmlformats.org/spreadsheetml/2006/main">
  <c r="M69" i="1" l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G107" i="1"/>
  <c r="H107" i="1"/>
  <c r="J107" i="1"/>
  <c r="K107" i="1"/>
  <c r="L107" i="1"/>
  <c r="M107" i="1" l="1"/>
  <c r="K40" i="21" l="1"/>
  <c r="K56" i="21" s="1"/>
  <c r="J40" i="21"/>
  <c r="I40" i="21"/>
  <c r="I56" i="21" s="1"/>
  <c r="K39" i="21"/>
  <c r="J39" i="21"/>
  <c r="I39" i="21"/>
  <c r="K38" i="21"/>
  <c r="K54" i="21" s="1"/>
  <c r="J38" i="21"/>
  <c r="I38" i="21"/>
  <c r="K37" i="21"/>
  <c r="J37" i="21"/>
  <c r="I37" i="21"/>
  <c r="K32" i="21"/>
  <c r="J32" i="21"/>
  <c r="I32" i="21"/>
  <c r="I50" i="21" s="1"/>
  <c r="K31" i="21"/>
  <c r="J31" i="21"/>
  <c r="J49" i="21" s="1"/>
  <c r="I31" i="21"/>
  <c r="I49" i="21" s="1"/>
  <c r="K30" i="21"/>
  <c r="J30" i="21"/>
  <c r="I30" i="21"/>
  <c r="I48" i="21" s="1"/>
  <c r="K29" i="21"/>
  <c r="K47" i="21" s="1"/>
  <c r="J29" i="21"/>
  <c r="J47" i="21" s="1"/>
  <c r="I29" i="21"/>
  <c r="C113" i="21"/>
  <c r="C112" i="21"/>
  <c r="C111" i="21"/>
  <c r="C110" i="21"/>
  <c r="C107" i="21"/>
  <c r="C106" i="21"/>
  <c r="C105" i="21"/>
  <c r="C104" i="21"/>
  <c r="C101" i="21"/>
  <c r="C100" i="21"/>
  <c r="C99" i="21"/>
  <c r="C98" i="21"/>
  <c r="C95" i="21"/>
  <c r="C94" i="21"/>
  <c r="C93" i="21"/>
  <c r="C92" i="21"/>
  <c r="C89" i="21"/>
  <c r="C88" i="21"/>
  <c r="C87" i="21"/>
  <c r="C86" i="21"/>
  <c r="C83" i="21"/>
  <c r="C82" i="21"/>
  <c r="C81" i="21"/>
  <c r="C80" i="21"/>
  <c r="C77" i="21"/>
  <c r="C76" i="21"/>
  <c r="C75" i="21"/>
  <c r="C74" i="21"/>
  <c r="C68" i="21"/>
  <c r="C67" i="21"/>
  <c r="C66" i="21"/>
  <c r="C65" i="21"/>
  <c r="C62" i="21"/>
  <c r="C61" i="21"/>
  <c r="C60" i="21"/>
  <c r="C59" i="21"/>
  <c r="C56" i="21"/>
  <c r="J55" i="21"/>
  <c r="C55" i="21"/>
  <c r="J54" i="21"/>
  <c r="C54" i="21"/>
  <c r="J53" i="21"/>
  <c r="C53" i="21"/>
  <c r="C50" i="21"/>
  <c r="C49" i="21"/>
  <c r="C48" i="21"/>
  <c r="C47" i="21"/>
  <c r="C44" i="21"/>
  <c r="J56" i="21"/>
  <c r="C40" i="21"/>
  <c r="K55" i="21"/>
  <c r="I55" i="21"/>
  <c r="C39" i="21"/>
  <c r="I54" i="21"/>
  <c r="C38" i="21"/>
  <c r="K53" i="21"/>
  <c r="I53" i="21"/>
  <c r="C37" i="21"/>
  <c r="K50" i="21"/>
  <c r="J50" i="21"/>
  <c r="K49" i="21"/>
  <c r="K48" i="21"/>
  <c r="J48" i="21"/>
  <c r="I47" i="21"/>
  <c r="G21" i="21"/>
  <c r="G20" i="21"/>
  <c r="K40" i="20"/>
  <c r="J40" i="20"/>
  <c r="I40" i="20"/>
  <c r="K39" i="20"/>
  <c r="J39" i="20"/>
  <c r="I39" i="20"/>
  <c r="K38" i="20"/>
  <c r="J38" i="20"/>
  <c r="I38" i="20"/>
  <c r="K37" i="20"/>
  <c r="J37" i="20"/>
  <c r="I37" i="20"/>
  <c r="K32" i="20"/>
  <c r="J32" i="20"/>
  <c r="I32" i="20"/>
  <c r="K31" i="20"/>
  <c r="J31" i="20"/>
  <c r="I31" i="20"/>
  <c r="K30" i="20"/>
  <c r="J30" i="20"/>
  <c r="I30" i="20"/>
  <c r="K29" i="20"/>
  <c r="J29" i="20"/>
  <c r="I29" i="20"/>
  <c r="J66" i="21" l="1"/>
  <c r="J65" i="21"/>
  <c r="K60" i="21"/>
  <c r="J61" i="21"/>
  <c r="J77" i="21"/>
  <c r="J95" i="21" s="1"/>
  <c r="J62" i="21"/>
  <c r="J68" i="21"/>
  <c r="K77" i="21"/>
  <c r="K89" i="21" s="1"/>
  <c r="K65" i="21"/>
  <c r="K59" i="21"/>
  <c r="K61" i="21"/>
  <c r="K67" i="21"/>
  <c r="K62" i="21"/>
  <c r="K68" i="21"/>
  <c r="L47" i="21"/>
  <c r="I74" i="21"/>
  <c r="I80" i="21" s="1"/>
  <c r="I98" i="21" s="1"/>
  <c r="J75" i="21"/>
  <c r="J81" i="21" s="1"/>
  <c r="K76" i="21"/>
  <c r="K82" i="21" s="1"/>
  <c r="J74" i="21"/>
  <c r="J80" i="21" s="1"/>
  <c r="J98" i="21" s="1"/>
  <c r="K75" i="21"/>
  <c r="K81" i="21" s="1"/>
  <c r="L50" i="21"/>
  <c r="I77" i="21"/>
  <c r="I89" i="21" s="1"/>
  <c r="L53" i="21"/>
  <c r="L65" i="21" s="1"/>
  <c r="I65" i="21"/>
  <c r="I59" i="21"/>
  <c r="I66" i="21"/>
  <c r="I60" i="21"/>
  <c r="L54" i="21"/>
  <c r="L66" i="21" s="1"/>
  <c r="I67" i="21"/>
  <c r="L55" i="21"/>
  <c r="L67" i="21" s="1"/>
  <c r="I61" i="21"/>
  <c r="L56" i="21"/>
  <c r="L68" i="21" s="1"/>
  <c r="I62" i="21"/>
  <c r="I68" i="21"/>
  <c r="L49" i="21"/>
  <c r="I75" i="21"/>
  <c r="I87" i="21" s="1"/>
  <c r="L48" i="21"/>
  <c r="K66" i="21"/>
  <c r="I76" i="21"/>
  <c r="I82" i="21" s="1"/>
  <c r="J67" i="21"/>
  <c r="J59" i="21"/>
  <c r="J60" i="21"/>
  <c r="J76" i="21"/>
  <c r="J94" i="21" s="1"/>
  <c r="K74" i="21"/>
  <c r="K86" i="21" s="1"/>
  <c r="C113" i="20"/>
  <c r="C112" i="20"/>
  <c r="C111" i="20"/>
  <c r="C110" i="20"/>
  <c r="C107" i="20"/>
  <c r="C106" i="20"/>
  <c r="C105" i="20"/>
  <c r="C104" i="20"/>
  <c r="C101" i="20"/>
  <c r="C100" i="20"/>
  <c r="C99" i="20"/>
  <c r="C98" i="20"/>
  <c r="C95" i="20"/>
  <c r="C94" i="20"/>
  <c r="C93" i="20"/>
  <c r="C92" i="20"/>
  <c r="C89" i="20"/>
  <c r="C88" i="20"/>
  <c r="C87" i="20"/>
  <c r="C86" i="20"/>
  <c r="C83" i="20"/>
  <c r="C82" i="20"/>
  <c r="C81" i="20"/>
  <c r="C80" i="20"/>
  <c r="C77" i="20"/>
  <c r="C76" i="20"/>
  <c r="C75" i="20"/>
  <c r="C74" i="20"/>
  <c r="C68" i="20"/>
  <c r="C67" i="20"/>
  <c r="C66" i="20"/>
  <c r="C65" i="20"/>
  <c r="C62" i="20"/>
  <c r="C61" i="20"/>
  <c r="C60" i="20"/>
  <c r="C59" i="20"/>
  <c r="C56" i="20"/>
  <c r="C55" i="20"/>
  <c r="C54" i="20"/>
  <c r="C53" i="20"/>
  <c r="C50" i="20"/>
  <c r="C49" i="20"/>
  <c r="C48" i="20"/>
  <c r="C47" i="20"/>
  <c r="C44" i="20"/>
  <c r="K56" i="20"/>
  <c r="J56" i="20"/>
  <c r="I56" i="20"/>
  <c r="C40" i="20"/>
  <c r="K55" i="20"/>
  <c r="J55" i="20"/>
  <c r="I55" i="20"/>
  <c r="C39" i="20"/>
  <c r="K54" i="20"/>
  <c r="J54" i="20"/>
  <c r="I54" i="20"/>
  <c r="C38" i="20"/>
  <c r="K53" i="20"/>
  <c r="J53" i="20"/>
  <c r="I53" i="20"/>
  <c r="C37" i="20"/>
  <c r="K50" i="20"/>
  <c r="J50" i="20"/>
  <c r="I50" i="20"/>
  <c r="K49" i="20"/>
  <c r="J49" i="20"/>
  <c r="I49" i="20"/>
  <c r="K48" i="20"/>
  <c r="J48" i="20"/>
  <c r="I48" i="20"/>
  <c r="K47" i="20"/>
  <c r="J47" i="20"/>
  <c r="I47" i="20"/>
  <c r="G21" i="20"/>
  <c r="G20" i="20"/>
  <c r="J82" i="21" l="1"/>
  <c r="J88" i="21"/>
  <c r="I88" i="21"/>
  <c r="I93" i="21"/>
  <c r="J69" i="21"/>
  <c r="K93" i="21"/>
  <c r="J104" i="21"/>
  <c r="J83" i="21"/>
  <c r="J101" i="21" s="1"/>
  <c r="J107" i="21" s="1"/>
  <c r="K94" i="21"/>
  <c r="I81" i="21"/>
  <c r="J92" i="21"/>
  <c r="J93" i="21"/>
  <c r="J89" i="21"/>
  <c r="I92" i="21"/>
  <c r="I104" i="21"/>
  <c r="M34" i="1" s="1"/>
  <c r="J99" i="21"/>
  <c r="J105" i="21" s="1"/>
  <c r="K80" i="21"/>
  <c r="K98" i="21" s="1"/>
  <c r="K104" i="21" s="1"/>
  <c r="I94" i="21"/>
  <c r="L69" i="21"/>
  <c r="I95" i="21"/>
  <c r="K87" i="21"/>
  <c r="J86" i="21"/>
  <c r="K88" i="21"/>
  <c r="J87" i="21"/>
  <c r="I86" i="21"/>
  <c r="K69" i="21"/>
  <c r="K95" i="21"/>
  <c r="K92" i="21"/>
  <c r="K99" i="21" s="1"/>
  <c r="K105" i="21" s="1"/>
  <c r="I83" i="21"/>
  <c r="I101" i="21" s="1"/>
  <c r="K83" i="21"/>
  <c r="K101" i="21" s="1"/>
  <c r="K107" i="21" s="1"/>
  <c r="I69" i="21"/>
  <c r="I65" i="20"/>
  <c r="I59" i="20"/>
  <c r="L53" i="20"/>
  <c r="L65" i="20" s="1"/>
  <c r="I66" i="20"/>
  <c r="I60" i="20"/>
  <c r="L54" i="20"/>
  <c r="L66" i="20" s="1"/>
  <c r="I67" i="20"/>
  <c r="L55" i="20"/>
  <c r="L67" i="20" s="1"/>
  <c r="I61" i="20"/>
  <c r="L56" i="20"/>
  <c r="L68" i="20" s="1"/>
  <c r="I62" i="20"/>
  <c r="I68" i="20"/>
  <c r="K75" i="20"/>
  <c r="K93" i="20" s="1"/>
  <c r="K74" i="20"/>
  <c r="K92" i="20" s="1"/>
  <c r="L49" i="20"/>
  <c r="I76" i="20"/>
  <c r="I88" i="20" s="1"/>
  <c r="J77" i="20"/>
  <c r="J95" i="20" s="1"/>
  <c r="J65" i="20"/>
  <c r="J59" i="20"/>
  <c r="J66" i="20"/>
  <c r="J60" i="20"/>
  <c r="J61" i="20"/>
  <c r="J67" i="20"/>
  <c r="J62" i="20"/>
  <c r="J68" i="20"/>
  <c r="J74" i="20"/>
  <c r="J80" i="20" s="1"/>
  <c r="J98" i="20" s="1"/>
  <c r="L50" i="20"/>
  <c r="I77" i="20"/>
  <c r="I83" i="20" s="1"/>
  <c r="I101" i="20" s="1"/>
  <c r="I75" i="20"/>
  <c r="I81" i="20" s="1"/>
  <c r="L48" i="20"/>
  <c r="J76" i="20"/>
  <c r="J88" i="20" s="1"/>
  <c r="K77" i="20"/>
  <c r="K89" i="20" s="1"/>
  <c r="K65" i="20"/>
  <c r="K59" i="20"/>
  <c r="K60" i="20"/>
  <c r="K66" i="20"/>
  <c r="K61" i="20"/>
  <c r="K67" i="20"/>
  <c r="K62" i="20"/>
  <c r="K68" i="20"/>
  <c r="I74" i="20"/>
  <c r="I86" i="20" s="1"/>
  <c r="L47" i="20"/>
  <c r="J75" i="20"/>
  <c r="J93" i="20" s="1"/>
  <c r="K76" i="20"/>
  <c r="K94" i="20" s="1"/>
  <c r="K40" i="19"/>
  <c r="J40" i="19"/>
  <c r="I40" i="19"/>
  <c r="K39" i="19"/>
  <c r="J39" i="19"/>
  <c r="I39" i="19"/>
  <c r="K38" i="19"/>
  <c r="J38" i="19"/>
  <c r="I38" i="19"/>
  <c r="K37" i="19"/>
  <c r="J37" i="19"/>
  <c r="I37" i="19"/>
  <c r="K32" i="19"/>
  <c r="J32" i="19"/>
  <c r="I32" i="19"/>
  <c r="K31" i="19"/>
  <c r="J31" i="19"/>
  <c r="I31" i="19"/>
  <c r="K30" i="19"/>
  <c r="J30" i="19"/>
  <c r="I30" i="19"/>
  <c r="K29" i="19"/>
  <c r="J29" i="19"/>
  <c r="I29" i="19"/>
  <c r="J100" i="21" l="1"/>
  <c r="J106" i="21" s="1"/>
  <c r="J112" i="21" s="1"/>
  <c r="I99" i="21"/>
  <c r="L99" i="21" s="1"/>
  <c r="K111" i="21"/>
  <c r="O35" i="1"/>
  <c r="J111" i="21"/>
  <c r="N35" i="1"/>
  <c r="J110" i="21"/>
  <c r="N34" i="1"/>
  <c r="K113" i="21"/>
  <c r="O37" i="1"/>
  <c r="K110" i="21"/>
  <c r="O34" i="1"/>
  <c r="I100" i="21"/>
  <c r="I106" i="21" s="1"/>
  <c r="M36" i="1" s="1"/>
  <c r="J113" i="21"/>
  <c r="N37" i="1"/>
  <c r="L98" i="21"/>
  <c r="I110" i="21"/>
  <c r="L104" i="21"/>
  <c r="L110" i="21" s="1"/>
  <c r="K100" i="21"/>
  <c r="K106" i="21" s="1"/>
  <c r="L101" i="21"/>
  <c r="I107" i="21"/>
  <c r="M37" i="1" s="1"/>
  <c r="L69" i="20"/>
  <c r="K82" i="20"/>
  <c r="I89" i="20"/>
  <c r="J83" i="20"/>
  <c r="J101" i="20" s="1"/>
  <c r="I82" i="20"/>
  <c r="I87" i="20"/>
  <c r="I95" i="20"/>
  <c r="J86" i="20"/>
  <c r="J89" i="20"/>
  <c r="K80" i="20"/>
  <c r="K98" i="20" s="1"/>
  <c r="K104" i="20" s="1"/>
  <c r="J81" i="20"/>
  <c r="I93" i="20"/>
  <c r="J92" i="20"/>
  <c r="I94" i="20"/>
  <c r="K86" i="20"/>
  <c r="K81" i="20"/>
  <c r="K87" i="20"/>
  <c r="I107" i="20"/>
  <c r="M28" i="1" s="1"/>
  <c r="I92" i="20"/>
  <c r="K69" i="20"/>
  <c r="K95" i="20"/>
  <c r="J94" i="20"/>
  <c r="J104" i="20"/>
  <c r="J107" i="20"/>
  <c r="K88" i="20"/>
  <c r="J87" i="20"/>
  <c r="I80" i="20"/>
  <c r="I98" i="20" s="1"/>
  <c r="K83" i="20"/>
  <c r="K101" i="20" s="1"/>
  <c r="K107" i="20" s="1"/>
  <c r="J82" i="20"/>
  <c r="J100" i="20" s="1"/>
  <c r="J106" i="20" s="1"/>
  <c r="J69" i="20"/>
  <c r="I69" i="20"/>
  <c r="C113" i="19"/>
  <c r="C112" i="19"/>
  <c r="C111" i="19"/>
  <c r="C110" i="19"/>
  <c r="C107" i="19"/>
  <c r="C106" i="19"/>
  <c r="C105" i="19"/>
  <c r="C104" i="19"/>
  <c r="C101" i="19"/>
  <c r="C100" i="19"/>
  <c r="C99" i="19"/>
  <c r="C98" i="19"/>
  <c r="C95" i="19"/>
  <c r="C94" i="19"/>
  <c r="C93" i="19"/>
  <c r="C92" i="19"/>
  <c r="C89" i="19"/>
  <c r="C88" i="19"/>
  <c r="C87" i="19"/>
  <c r="C86" i="19"/>
  <c r="C83" i="19"/>
  <c r="C82" i="19"/>
  <c r="C81" i="19"/>
  <c r="C80" i="19"/>
  <c r="C77" i="19"/>
  <c r="C76" i="19"/>
  <c r="C75" i="19"/>
  <c r="C74" i="19"/>
  <c r="C68" i="19"/>
  <c r="C67" i="19"/>
  <c r="C66" i="19"/>
  <c r="C65" i="19"/>
  <c r="C62" i="19"/>
  <c r="C61" i="19"/>
  <c r="C60" i="19"/>
  <c r="C59" i="19"/>
  <c r="K56" i="19"/>
  <c r="J56" i="19"/>
  <c r="I56" i="19"/>
  <c r="C56" i="19"/>
  <c r="K55" i="19"/>
  <c r="J55" i="19"/>
  <c r="I55" i="19"/>
  <c r="C55" i="19"/>
  <c r="K54" i="19"/>
  <c r="J54" i="19"/>
  <c r="I54" i="19"/>
  <c r="C54" i="19"/>
  <c r="K53" i="19"/>
  <c r="J53" i="19"/>
  <c r="I53" i="19"/>
  <c r="C53" i="19"/>
  <c r="K50" i="19"/>
  <c r="J50" i="19"/>
  <c r="I50" i="19"/>
  <c r="C50" i="19"/>
  <c r="K49" i="19"/>
  <c r="J49" i="19"/>
  <c r="I49" i="19"/>
  <c r="C49" i="19"/>
  <c r="K48" i="19"/>
  <c r="J48" i="19"/>
  <c r="I48" i="19"/>
  <c r="C48" i="19"/>
  <c r="K47" i="19"/>
  <c r="J47" i="19"/>
  <c r="I47" i="19"/>
  <c r="C47" i="19"/>
  <c r="C44" i="19"/>
  <c r="C40" i="19"/>
  <c r="C39" i="19"/>
  <c r="C38" i="19"/>
  <c r="C37" i="19"/>
  <c r="G21" i="19"/>
  <c r="G20" i="19"/>
  <c r="C111" i="17"/>
  <c r="C110" i="17"/>
  <c r="C109" i="17"/>
  <c r="C108" i="17"/>
  <c r="C105" i="17"/>
  <c r="C104" i="17"/>
  <c r="C103" i="17"/>
  <c r="C102" i="17"/>
  <c r="C99" i="17"/>
  <c r="C98" i="17"/>
  <c r="C97" i="17"/>
  <c r="C96" i="17"/>
  <c r="C93" i="17"/>
  <c r="C92" i="17"/>
  <c r="C91" i="17"/>
  <c r="C90" i="17"/>
  <c r="C87" i="17"/>
  <c r="C86" i="17"/>
  <c r="C85" i="17"/>
  <c r="C84" i="17"/>
  <c r="C81" i="17"/>
  <c r="C80" i="17"/>
  <c r="C79" i="17"/>
  <c r="C78" i="17"/>
  <c r="C75" i="17"/>
  <c r="C74" i="17"/>
  <c r="C73" i="17"/>
  <c r="C72" i="17"/>
  <c r="C66" i="17"/>
  <c r="C65" i="17"/>
  <c r="C64" i="17"/>
  <c r="C63" i="17"/>
  <c r="C60" i="17"/>
  <c r="C59" i="17"/>
  <c r="C58" i="17"/>
  <c r="C57" i="17"/>
  <c r="J54" i="17"/>
  <c r="D37" i="1" s="1"/>
  <c r="C54" i="17"/>
  <c r="C53" i="17"/>
  <c r="C52" i="17"/>
  <c r="C51" i="17"/>
  <c r="C48" i="17"/>
  <c r="C47" i="17"/>
  <c r="C46" i="17"/>
  <c r="C45" i="17"/>
  <c r="C42" i="17"/>
  <c r="C38" i="17"/>
  <c r="C37" i="17"/>
  <c r="C36" i="17"/>
  <c r="C35" i="17"/>
  <c r="G19" i="17"/>
  <c r="G18" i="17"/>
  <c r="G17" i="17"/>
  <c r="G16" i="17"/>
  <c r="I53" i="17" s="1"/>
  <c r="C36" i="1" s="1"/>
  <c r="G14" i="17"/>
  <c r="G13" i="17"/>
  <c r="G12" i="17"/>
  <c r="G11" i="17"/>
  <c r="G8" i="17"/>
  <c r="G7" i="17"/>
  <c r="G6" i="17"/>
  <c r="G5" i="17"/>
  <c r="I100" i="20" l="1"/>
  <c r="K100" i="20"/>
  <c r="K106" i="20" s="1"/>
  <c r="N36" i="1"/>
  <c r="I105" i="21"/>
  <c r="M35" i="1" s="1"/>
  <c r="L100" i="21"/>
  <c r="J114" i="21"/>
  <c r="K112" i="21"/>
  <c r="K114" i="21" s="1"/>
  <c r="O36" i="1"/>
  <c r="J112" i="20"/>
  <c r="N27" i="1"/>
  <c r="K99" i="20"/>
  <c r="K105" i="20" s="1"/>
  <c r="K113" i="20"/>
  <c r="O28" i="1"/>
  <c r="J113" i="20"/>
  <c r="N28" i="1"/>
  <c r="K112" i="20"/>
  <c r="O27" i="1"/>
  <c r="J110" i="20"/>
  <c r="N25" i="1"/>
  <c r="K110" i="20"/>
  <c r="O25" i="1"/>
  <c r="I45" i="17"/>
  <c r="I72" i="17" s="1"/>
  <c r="J48" i="17"/>
  <c r="J75" i="17" s="1"/>
  <c r="K53" i="17"/>
  <c r="K65" i="17" s="1"/>
  <c r="K47" i="17"/>
  <c r="K74" i="17" s="1"/>
  <c r="K80" i="17" s="1"/>
  <c r="I51" i="17"/>
  <c r="C34" i="1" s="1"/>
  <c r="J65" i="19"/>
  <c r="J66" i="19"/>
  <c r="I112" i="21"/>
  <c r="L106" i="21"/>
  <c r="L112" i="21" s="1"/>
  <c r="L107" i="21"/>
  <c r="L113" i="21" s="1"/>
  <c r="I113" i="21"/>
  <c r="I111" i="21"/>
  <c r="L105" i="21"/>
  <c r="L111" i="21" s="1"/>
  <c r="J99" i="20"/>
  <c r="J105" i="20" s="1"/>
  <c r="I99" i="20"/>
  <c r="I105" i="20" s="1"/>
  <c r="M26" i="1" s="1"/>
  <c r="I104" i="20"/>
  <c r="M25" i="1" s="1"/>
  <c r="L98" i="20"/>
  <c r="L107" i="20"/>
  <c r="L113" i="20" s="1"/>
  <c r="I113" i="20"/>
  <c r="I106" i="20"/>
  <c r="M27" i="1" s="1"/>
  <c r="L100" i="20"/>
  <c r="L101" i="20"/>
  <c r="L56" i="19"/>
  <c r="L68" i="19" s="1"/>
  <c r="L49" i="19"/>
  <c r="J61" i="19"/>
  <c r="L50" i="19"/>
  <c r="I65" i="19"/>
  <c r="I66" i="19"/>
  <c r="I67" i="19"/>
  <c r="K65" i="19"/>
  <c r="K60" i="19"/>
  <c r="K61" i="19"/>
  <c r="J62" i="19"/>
  <c r="L55" i="19"/>
  <c r="L67" i="19" s="1"/>
  <c r="K62" i="19"/>
  <c r="L47" i="19"/>
  <c r="L53" i="19"/>
  <c r="L65" i="19" s="1"/>
  <c r="K66" i="19"/>
  <c r="J67" i="19"/>
  <c r="I68" i="19"/>
  <c r="L48" i="19"/>
  <c r="L54" i="19"/>
  <c r="L66" i="19" s="1"/>
  <c r="I59" i="19"/>
  <c r="I60" i="19"/>
  <c r="I61" i="19"/>
  <c r="I62" i="19"/>
  <c r="K67" i="19"/>
  <c r="J68" i="19"/>
  <c r="I74" i="19"/>
  <c r="I92" i="19" s="1"/>
  <c r="I75" i="19"/>
  <c r="I93" i="19" s="1"/>
  <c r="I76" i="19"/>
  <c r="I94" i="19" s="1"/>
  <c r="I77" i="19"/>
  <c r="I95" i="19" s="1"/>
  <c r="I80" i="19"/>
  <c r="I98" i="19" s="1"/>
  <c r="J59" i="19"/>
  <c r="J60" i="19"/>
  <c r="K68" i="19"/>
  <c r="J74" i="19"/>
  <c r="J92" i="19" s="1"/>
  <c r="J75" i="19"/>
  <c r="J93" i="19" s="1"/>
  <c r="J76" i="19"/>
  <c r="J94" i="19" s="1"/>
  <c r="J77" i="19"/>
  <c r="J95" i="19" s="1"/>
  <c r="J80" i="19"/>
  <c r="J98" i="19" s="1"/>
  <c r="J81" i="19"/>
  <c r="K59" i="19"/>
  <c r="K74" i="19"/>
  <c r="K92" i="19" s="1"/>
  <c r="K75" i="19"/>
  <c r="K93" i="19" s="1"/>
  <c r="K76" i="19"/>
  <c r="K94" i="19" s="1"/>
  <c r="K77" i="19"/>
  <c r="K95" i="19" s="1"/>
  <c r="I65" i="17"/>
  <c r="I63" i="17"/>
  <c r="I78" i="17"/>
  <c r="I96" i="17" s="1"/>
  <c r="K46" i="17"/>
  <c r="J47" i="17"/>
  <c r="I48" i="17"/>
  <c r="K52" i="17"/>
  <c r="E35" i="1" s="1"/>
  <c r="J53" i="17"/>
  <c r="D36" i="1" s="1"/>
  <c r="I54" i="17"/>
  <c r="C37" i="1" s="1"/>
  <c r="J66" i="17"/>
  <c r="J45" i="17"/>
  <c r="I46" i="17"/>
  <c r="K48" i="17"/>
  <c r="J51" i="17"/>
  <c r="D34" i="1" s="1"/>
  <c r="I52" i="17"/>
  <c r="C35" i="1" s="1"/>
  <c r="K54" i="17"/>
  <c r="E37" i="1" s="1"/>
  <c r="K45" i="17"/>
  <c r="J46" i="17"/>
  <c r="I47" i="17"/>
  <c r="I59" i="17" s="1"/>
  <c r="K51" i="17"/>
  <c r="E34" i="1" s="1"/>
  <c r="J52" i="17"/>
  <c r="D35" i="1" s="1"/>
  <c r="I83" i="19" l="1"/>
  <c r="I101" i="19" s="1"/>
  <c r="I107" i="19" s="1"/>
  <c r="M19" i="1" s="1"/>
  <c r="J87" i="19"/>
  <c r="I90" i="17"/>
  <c r="I84" i="17"/>
  <c r="I57" i="17"/>
  <c r="I86" i="19"/>
  <c r="K80" i="19"/>
  <c r="K98" i="19" s="1"/>
  <c r="K104" i="19" s="1"/>
  <c r="I82" i="19"/>
  <c r="I100" i="19" s="1"/>
  <c r="J87" i="17"/>
  <c r="J81" i="17"/>
  <c r="J99" i="17" s="1"/>
  <c r="J60" i="17"/>
  <c r="J111" i="20"/>
  <c r="J114" i="20" s="1"/>
  <c r="N26" i="1"/>
  <c r="K111" i="20"/>
  <c r="K114" i="20" s="1"/>
  <c r="O26" i="1"/>
  <c r="I81" i="19"/>
  <c r="I99" i="19" s="1"/>
  <c r="I105" i="19" s="1"/>
  <c r="M17" i="1" s="1"/>
  <c r="K88" i="19"/>
  <c r="J86" i="19"/>
  <c r="J99" i="19"/>
  <c r="J105" i="19" s="1"/>
  <c r="K59" i="17"/>
  <c r="E36" i="1"/>
  <c r="I114" i="21"/>
  <c r="L114" i="21"/>
  <c r="L99" i="20"/>
  <c r="I112" i="20"/>
  <c r="L106" i="20"/>
  <c r="L112" i="20" s="1"/>
  <c r="I111" i="20"/>
  <c r="L105" i="20"/>
  <c r="L111" i="20" s="1"/>
  <c r="I110" i="20"/>
  <c r="L104" i="20"/>
  <c r="L110" i="20" s="1"/>
  <c r="J89" i="19"/>
  <c r="K82" i="19"/>
  <c r="J88" i="19"/>
  <c r="J83" i="19"/>
  <c r="J101" i="19" s="1"/>
  <c r="J107" i="19" s="1"/>
  <c r="J69" i="19"/>
  <c r="K69" i="19"/>
  <c r="K87" i="19"/>
  <c r="K86" i="19"/>
  <c r="I89" i="19"/>
  <c r="K89" i="19"/>
  <c r="K83" i="19"/>
  <c r="K101" i="19" s="1"/>
  <c r="K107" i="19" s="1"/>
  <c r="I88" i="19"/>
  <c r="J82" i="19"/>
  <c r="I87" i="19"/>
  <c r="K81" i="19"/>
  <c r="I69" i="19"/>
  <c r="J104" i="19"/>
  <c r="I104" i="19"/>
  <c r="M16" i="1" s="1"/>
  <c r="L69" i="19"/>
  <c r="J64" i="17"/>
  <c r="J58" i="17"/>
  <c r="K72" i="17"/>
  <c r="K84" i="17" s="1"/>
  <c r="K86" i="17"/>
  <c r="K60" i="17"/>
  <c r="K66" i="17"/>
  <c r="L46" i="17"/>
  <c r="I73" i="17"/>
  <c r="I79" i="17" s="1"/>
  <c r="I97" i="17" s="1"/>
  <c r="J59" i="17"/>
  <c r="J65" i="17"/>
  <c r="J74" i="17"/>
  <c r="J92" i="17" s="1"/>
  <c r="J73" i="17"/>
  <c r="J91" i="17" s="1"/>
  <c r="J63" i="17"/>
  <c r="J57" i="17"/>
  <c r="K75" i="17"/>
  <c r="K87" i="17" s="1"/>
  <c r="L54" i="17"/>
  <c r="L66" i="17" s="1"/>
  <c r="I60" i="17"/>
  <c r="I66" i="17"/>
  <c r="L48" i="17"/>
  <c r="I75" i="17"/>
  <c r="I87" i="17" s="1"/>
  <c r="K92" i="17"/>
  <c r="J93" i="17"/>
  <c r="K63" i="17"/>
  <c r="K57" i="17"/>
  <c r="I74" i="17"/>
  <c r="I92" i="17" s="1"/>
  <c r="L47" i="17"/>
  <c r="I64" i="17"/>
  <c r="L52" i="17"/>
  <c r="L64" i="17" s="1"/>
  <c r="I58" i="17"/>
  <c r="J72" i="17"/>
  <c r="J84" i="17" s="1"/>
  <c r="K58" i="17"/>
  <c r="K64" i="17"/>
  <c r="K73" i="17"/>
  <c r="K91" i="17" s="1"/>
  <c r="I102" i="17"/>
  <c r="H34" i="1" s="1"/>
  <c r="L53" i="17"/>
  <c r="L65" i="17" s="1"/>
  <c r="L51" i="17"/>
  <c r="L63" i="17" s="1"/>
  <c r="L45" i="17"/>
  <c r="L98" i="19" l="1"/>
  <c r="J105" i="17"/>
  <c r="J86" i="17"/>
  <c r="L101" i="19"/>
  <c r="J100" i="19"/>
  <c r="J106" i="19" s="1"/>
  <c r="I80" i="17"/>
  <c r="K99" i="19"/>
  <c r="K105" i="19" s="1"/>
  <c r="K100" i="19"/>
  <c r="K106" i="19" s="1"/>
  <c r="J111" i="19"/>
  <c r="N17" i="1"/>
  <c r="J113" i="19"/>
  <c r="N19" i="1"/>
  <c r="J110" i="19"/>
  <c r="N16" i="1"/>
  <c r="K113" i="19"/>
  <c r="O19" i="1"/>
  <c r="K110" i="19"/>
  <c r="O16" i="1"/>
  <c r="I67" i="17"/>
  <c r="L67" i="17"/>
  <c r="L114" i="20"/>
  <c r="I114" i="20"/>
  <c r="L107" i="19"/>
  <c r="L113" i="19" s="1"/>
  <c r="I113" i="19"/>
  <c r="I111" i="19"/>
  <c r="I110" i="19"/>
  <c r="L104" i="19"/>
  <c r="L110" i="19" s="1"/>
  <c r="I106" i="19"/>
  <c r="M18" i="1" s="1"/>
  <c r="K85" i="17"/>
  <c r="I86" i="17"/>
  <c r="J85" i="17"/>
  <c r="I103" i="17"/>
  <c r="H35" i="1" s="1"/>
  <c r="K79" i="17"/>
  <c r="K97" i="17" s="1"/>
  <c r="K103" i="17" s="1"/>
  <c r="J90" i="17"/>
  <c r="I93" i="17"/>
  <c r="K93" i="17"/>
  <c r="J79" i="17"/>
  <c r="J97" i="17" s="1"/>
  <c r="J103" i="17" s="1"/>
  <c r="J80" i="17"/>
  <c r="J98" i="17" s="1"/>
  <c r="J104" i="17" s="1"/>
  <c r="I85" i="17"/>
  <c r="K90" i="17"/>
  <c r="K98" i="17" s="1"/>
  <c r="K104" i="17" s="1"/>
  <c r="I108" i="17"/>
  <c r="I91" i="17"/>
  <c r="J78" i="17"/>
  <c r="J96" i="17" s="1"/>
  <c r="K67" i="17"/>
  <c r="I81" i="17"/>
  <c r="I99" i="17" s="1"/>
  <c r="K81" i="17"/>
  <c r="K99" i="17" s="1"/>
  <c r="K105" i="17" s="1"/>
  <c r="J67" i="17"/>
  <c r="K78" i="17"/>
  <c r="K96" i="17" s="1"/>
  <c r="K102" i="17" s="1"/>
  <c r="J111" i="17" l="1"/>
  <c r="I37" i="1"/>
  <c r="I98" i="17"/>
  <c r="L98" i="17" s="1"/>
  <c r="L99" i="19"/>
  <c r="K111" i="19"/>
  <c r="O17" i="1"/>
  <c r="L105" i="19"/>
  <c r="L111" i="19" s="1"/>
  <c r="J112" i="19"/>
  <c r="J114" i="19" s="1"/>
  <c r="N18" i="1"/>
  <c r="K109" i="17"/>
  <c r="J35" i="1"/>
  <c r="K110" i="17"/>
  <c r="J36" i="1"/>
  <c r="K108" i="17"/>
  <c r="J34" i="1"/>
  <c r="L100" i="19"/>
  <c r="K111" i="17"/>
  <c r="J37" i="1"/>
  <c r="K112" i="19"/>
  <c r="O18" i="1"/>
  <c r="J110" i="17"/>
  <c r="I36" i="1"/>
  <c r="J109" i="17"/>
  <c r="I35" i="1"/>
  <c r="I112" i="19"/>
  <c r="I114" i="19" s="1"/>
  <c r="L106" i="19"/>
  <c r="L112" i="19" s="1"/>
  <c r="I104" i="17"/>
  <c r="H36" i="1" s="1"/>
  <c r="J102" i="17"/>
  <c r="I34" i="1" s="1"/>
  <c r="L96" i="17"/>
  <c r="L97" i="17"/>
  <c r="L99" i="17"/>
  <c r="I105" i="17"/>
  <c r="H37" i="1" s="1"/>
  <c r="I109" i="17"/>
  <c r="L103" i="17"/>
  <c r="L109" i="17" s="1"/>
  <c r="K112" i="17" l="1"/>
  <c r="L114" i="19"/>
  <c r="K114" i="19"/>
  <c r="I110" i="17"/>
  <c r="L104" i="17"/>
  <c r="L110" i="17" s="1"/>
  <c r="J108" i="17"/>
  <c r="J112" i="17" s="1"/>
  <c r="L102" i="17"/>
  <c r="L108" i="17" s="1"/>
  <c r="L105" i="17"/>
  <c r="L111" i="17" s="1"/>
  <c r="I111" i="17"/>
  <c r="I112" i="17" l="1"/>
  <c r="L112" i="17"/>
  <c r="G19" i="15" l="1"/>
  <c r="G18" i="15"/>
  <c r="G19" i="14"/>
  <c r="G18" i="14"/>
  <c r="G17" i="15"/>
  <c r="G16" i="15"/>
  <c r="G14" i="15"/>
  <c r="G13" i="15"/>
  <c r="G12" i="15"/>
  <c r="G11" i="15"/>
  <c r="G8" i="15"/>
  <c r="G7" i="15"/>
  <c r="G6" i="15"/>
  <c r="G5" i="15"/>
  <c r="C111" i="15" l="1"/>
  <c r="C110" i="15"/>
  <c r="C109" i="15"/>
  <c r="C108" i="15"/>
  <c r="C105" i="15"/>
  <c r="C104" i="15"/>
  <c r="C103" i="15"/>
  <c r="C102" i="15"/>
  <c r="C99" i="15"/>
  <c r="C98" i="15"/>
  <c r="C97" i="15"/>
  <c r="C96" i="15"/>
  <c r="C93" i="15"/>
  <c r="C92" i="15"/>
  <c r="C91" i="15"/>
  <c r="C90" i="15"/>
  <c r="C87" i="15"/>
  <c r="C86" i="15"/>
  <c r="C85" i="15"/>
  <c r="C84" i="15"/>
  <c r="C81" i="15"/>
  <c r="C80" i="15"/>
  <c r="C79" i="15"/>
  <c r="C78" i="15"/>
  <c r="C75" i="15"/>
  <c r="C74" i="15"/>
  <c r="C73" i="15"/>
  <c r="C72" i="15"/>
  <c r="C66" i="15"/>
  <c r="C65" i="15"/>
  <c r="C64" i="15"/>
  <c r="C63" i="15"/>
  <c r="C60" i="15"/>
  <c r="C59" i="15"/>
  <c r="C58" i="15"/>
  <c r="C57" i="15"/>
  <c r="K54" i="15"/>
  <c r="E28" i="1" s="1"/>
  <c r="J54" i="15"/>
  <c r="I54" i="15"/>
  <c r="C28" i="1" s="1"/>
  <c r="C54" i="15"/>
  <c r="K53" i="15"/>
  <c r="E27" i="1" s="1"/>
  <c r="J53" i="15"/>
  <c r="D27" i="1" s="1"/>
  <c r="I53" i="15"/>
  <c r="C53" i="15"/>
  <c r="K52" i="15"/>
  <c r="E26" i="1" s="1"/>
  <c r="J52" i="15"/>
  <c r="I52" i="15"/>
  <c r="C52" i="15"/>
  <c r="K51" i="15"/>
  <c r="J51" i="15"/>
  <c r="I51" i="15"/>
  <c r="C51" i="15"/>
  <c r="K48" i="15"/>
  <c r="J48" i="15"/>
  <c r="I48" i="15"/>
  <c r="C48" i="15"/>
  <c r="K47" i="15"/>
  <c r="J47" i="15"/>
  <c r="I47" i="15"/>
  <c r="C47" i="15"/>
  <c r="K46" i="15"/>
  <c r="J46" i="15"/>
  <c r="I46" i="15"/>
  <c r="C46" i="15"/>
  <c r="K45" i="15"/>
  <c r="J45" i="15"/>
  <c r="I45" i="15"/>
  <c r="C45" i="15"/>
  <c r="C42" i="15"/>
  <c r="C38" i="15"/>
  <c r="C37" i="15"/>
  <c r="C36" i="15"/>
  <c r="C35" i="15"/>
  <c r="I63" i="15" l="1"/>
  <c r="C25" i="1"/>
  <c r="I64" i="15"/>
  <c r="C26" i="1"/>
  <c r="I65" i="15"/>
  <c r="C27" i="1"/>
  <c r="J63" i="15"/>
  <c r="D25" i="1"/>
  <c r="J64" i="15"/>
  <c r="D26" i="1"/>
  <c r="J66" i="15"/>
  <c r="D28" i="1"/>
  <c r="K63" i="15"/>
  <c r="E25" i="1"/>
  <c r="L47" i="15"/>
  <c r="K59" i="15"/>
  <c r="K58" i="15"/>
  <c r="L54" i="15"/>
  <c r="L66" i="15" s="1"/>
  <c r="J59" i="15"/>
  <c r="K60" i="15"/>
  <c r="L48" i="15"/>
  <c r="L51" i="15"/>
  <c r="L63" i="15" s="1"/>
  <c r="K64" i="15"/>
  <c r="J65" i="15"/>
  <c r="I66" i="15"/>
  <c r="L45" i="15"/>
  <c r="L46" i="15"/>
  <c r="L52" i="15"/>
  <c r="L64" i="15" s="1"/>
  <c r="I57" i="15"/>
  <c r="I58" i="15"/>
  <c r="I59" i="15"/>
  <c r="I60" i="15"/>
  <c r="K65" i="15"/>
  <c r="I72" i="15"/>
  <c r="I90" i="15" s="1"/>
  <c r="I73" i="15"/>
  <c r="I91" i="15" s="1"/>
  <c r="I74" i="15"/>
  <c r="I92" i="15" s="1"/>
  <c r="I75" i="15"/>
  <c r="I93" i="15" s="1"/>
  <c r="I78" i="15"/>
  <c r="I96" i="15" s="1"/>
  <c r="I79" i="15"/>
  <c r="I97" i="15" s="1"/>
  <c r="I80" i="15"/>
  <c r="I81" i="15"/>
  <c r="I99" i="15" s="1"/>
  <c r="I84" i="15"/>
  <c r="I85" i="15"/>
  <c r="I86" i="15"/>
  <c r="I87" i="15"/>
  <c r="L53" i="15"/>
  <c r="L65" i="15" s="1"/>
  <c r="J57" i="15"/>
  <c r="J58" i="15"/>
  <c r="J60" i="15"/>
  <c r="K66" i="15"/>
  <c r="J72" i="15"/>
  <c r="J90" i="15" s="1"/>
  <c r="J73" i="15"/>
  <c r="J91" i="15" s="1"/>
  <c r="J74" i="15"/>
  <c r="J92" i="15" s="1"/>
  <c r="J75" i="15"/>
  <c r="J93" i="15" s="1"/>
  <c r="J78" i="15"/>
  <c r="J96" i="15" s="1"/>
  <c r="J102" i="15" s="1"/>
  <c r="J80" i="15"/>
  <c r="K57" i="15"/>
  <c r="K72" i="15"/>
  <c r="K90" i="15" s="1"/>
  <c r="K73" i="15"/>
  <c r="K91" i="15" s="1"/>
  <c r="K74" i="15"/>
  <c r="K80" i="15" s="1"/>
  <c r="K75" i="15"/>
  <c r="K93" i="15" s="1"/>
  <c r="C35" i="14"/>
  <c r="C36" i="14"/>
  <c r="C37" i="14"/>
  <c r="C38" i="14"/>
  <c r="C42" i="14"/>
  <c r="C45" i="14"/>
  <c r="I45" i="14"/>
  <c r="J45" i="14"/>
  <c r="J72" i="14" s="1"/>
  <c r="K45" i="14"/>
  <c r="K72" i="14" s="1"/>
  <c r="C46" i="14"/>
  <c r="I46" i="14"/>
  <c r="J46" i="14"/>
  <c r="J73" i="14" s="1"/>
  <c r="K46" i="14"/>
  <c r="K73" i="14" s="1"/>
  <c r="C47" i="14"/>
  <c r="I47" i="14"/>
  <c r="I74" i="14" s="1"/>
  <c r="J47" i="14"/>
  <c r="J74" i="14" s="1"/>
  <c r="K47" i="14"/>
  <c r="K74" i="14" s="1"/>
  <c r="K80" i="14" s="1"/>
  <c r="C48" i="14"/>
  <c r="I48" i="14"/>
  <c r="I75" i="14" s="1"/>
  <c r="J48" i="14"/>
  <c r="K48" i="14"/>
  <c r="K75" i="14" s="1"/>
  <c r="C51" i="14"/>
  <c r="I51" i="14"/>
  <c r="I63" i="14" s="1"/>
  <c r="J51" i="14"/>
  <c r="J57" i="14" s="1"/>
  <c r="K51" i="14"/>
  <c r="E16" i="1" s="1"/>
  <c r="C52" i="14"/>
  <c r="I52" i="14"/>
  <c r="C17" i="1" s="1"/>
  <c r="J52" i="14"/>
  <c r="J58" i="14" s="1"/>
  <c r="K52" i="14"/>
  <c r="E17" i="1" s="1"/>
  <c r="C53" i="14"/>
  <c r="I53" i="14"/>
  <c r="J53" i="14"/>
  <c r="D18" i="1" s="1"/>
  <c r="K53" i="14"/>
  <c r="E18" i="1" s="1"/>
  <c r="C54" i="14"/>
  <c r="I54" i="14"/>
  <c r="C19" i="1" s="1"/>
  <c r="J54" i="14"/>
  <c r="J66" i="14" s="1"/>
  <c r="K54" i="14"/>
  <c r="E19" i="1" s="1"/>
  <c r="C57" i="14"/>
  <c r="I57" i="14"/>
  <c r="C58" i="14"/>
  <c r="C59" i="14"/>
  <c r="C60" i="14"/>
  <c r="C63" i="14"/>
  <c r="C64" i="14"/>
  <c r="C65" i="14"/>
  <c r="C66" i="14"/>
  <c r="C72" i="14"/>
  <c r="I72" i="14"/>
  <c r="I90" i="14" s="1"/>
  <c r="C73" i="14"/>
  <c r="I73" i="14"/>
  <c r="I85" i="14" s="1"/>
  <c r="C74" i="14"/>
  <c r="C75" i="14"/>
  <c r="C78" i="14"/>
  <c r="I78" i="14"/>
  <c r="I96" i="14" s="1"/>
  <c r="I102" i="14" s="1"/>
  <c r="I108" i="14" s="1"/>
  <c r="C79" i="14"/>
  <c r="C80" i="14"/>
  <c r="C81" i="14"/>
  <c r="C84" i="14"/>
  <c r="I84" i="14"/>
  <c r="C85" i="14"/>
  <c r="C86" i="14"/>
  <c r="C87" i="14"/>
  <c r="C90" i="14"/>
  <c r="C91" i="14"/>
  <c r="I91" i="14"/>
  <c r="C92" i="14"/>
  <c r="C93" i="14"/>
  <c r="C96" i="14"/>
  <c r="C97" i="14"/>
  <c r="C98" i="14"/>
  <c r="C99" i="14"/>
  <c r="C102" i="14"/>
  <c r="C103" i="14"/>
  <c r="C104" i="14"/>
  <c r="C105" i="14"/>
  <c r="C108" i="14"/>
  <c r="C109" i="14"/>
  <c r="C110" i="14"/>
  <c r="C111" i="14"/>
  <c r="J79" i="15" l="1"/>
  <c r="J97" i="15" s="1"/>
  <c r="J103" i="15" s="1"/>
  <c r="K86" i="14"/>
  <c r="K63" i="14"/>
  <c r="K92" i="14"/>
  <c r="I79" i="14"/>
  <c r="I97" i="14" s="1"/>
  <c r="K65" i="14"/>
  <c r="J85" i="15"/>
  <c r="K93" i="14"/>
  <c r="K91" i="14"/>
  <c r="K90" i="14"/>
  <c r="K87" i="14"/>
  <c r="K85" i="14"/>
  <c r="K84" i="14"/>
  <c r="K81" i="14"/>
  <c r="K99" i="14" s="1"/>
  <c r="K79" i="14"/>
  <c r="K97" i="14" s="1"/>
  <c r="K78" i="14"/>
  <c r="K96" i="14" s="1"/>
  <c r="K66" i="14"/>
  <c r="L48" i="14"/>
  <c r="I67" i="15"/>
  <c r="J91" i="14"/>
  <c r="J90" i="14"/>
  <c r="J85" i="14"/>
  <c r="J84" i="14"/>
  <c r="J79" i="14"/>
  <c r="J97" i="14" s="1"/>
  <c r="J103" i="14" s="1"/>
  <c r="J109" i="14" s="1"/>
  <c r="J78" i="14"/>
  <c r="J96" i="14" s="1"/>
  <c r="K64" i="14"/>
  <c r="K60" i="14"/>
  <c r="K81" i="15"/>
  <c r="K99" i="15" s="1"/>
  <c r="K105" i="15" s="1"/>
  <c r="K111" i="15" s="1"/>
  <c r="J86" i="15"/>
  <c r="J65" i="14"/>
  <c r="I58" i="14"/>
  <c r="I103" i="14" s="1"/>
  <c r="L46" i="14"/>
  <c r="J102" i="14"/>
  <c r="J108" i="14" s="1"/>
  <c r="J59" i="14"/>
  <c r="L53" i="14"/>
  <c r="L65" i="14" s="1"/>
  <c r="I64" i="14"/>
  <c r="J86" i="14"/>
  <c r="J80" i="14"/>
  <c r="J75" i="14"/>
  <c r="J93" i="14" s="1"/>
  <c r="I59" i="14"/>
  <c r="I93" i="14"/>
  <c r="I92" i="14"/>
  <c r="I87" i="14"/>
  <c r="I86" i="14"/>
  <c r="I81" i="14"/>
  <c r="I99" i="14" s="1"/>
  <c r="I80" i="14"/>
  <c r="I66" i="14"/>
  <c r="I65" i="14"/>
  <c r="J64" i="14"/>
  <c r="J63" i="14"/>
  <c r="I60" i="14"/>
  <c r="K57" i="14"/>
  <c r="K102" i="14" s="1"/>
  <c r="K59" i="14"/>
  <c r="L52" i="14"/>
  <c r="L64" i="14" s="1"/>
  <c r="L45" i="14"/>
  <c r="D16" i="1"/>
  <c r="J109" i="15"/>
  <c r="I26" i="1"/>
  <c r="J67" i="15"/>
  <c r="K58" i="14"/>
  <c r="K103" i="14" s="1"/>
  <c r="K109" i="14" s="1"/>
  <c r="L54" i="14"/>
  <c r="L66" i="14" s="1"/>
  <c r="C18" i="1"/>
  <c r="D19" i="1"/>
  <c r="J108" i="15"/>
  <c r="I25" i="1"/>
  <c r="J92" i="14"/>
  <c r="L51" i="14"/>
  <c r="L63" i="14" s="1"/>
  <c r="L47" i="14"/>
  <c r="C16" i="1"/>
  <c r="D17" i="1"/>
  <c r="J84" i="15"/>
  <c r="K87" i="15"/>
  <c r="J87" i="15"/>
  <c r="K78" i="15"/>
  <c r="K96" i="15" s="1"/>
  <c r="K102" i="15" s="1"/>
  <c r="J81" i="15"/>
  <c r="J99" i="15" s="1"/>
  <c r="J105" i="15" s="1"/>
  <c r="K67" i="15"/>
  <c r="L67" i="15"/>
  <c r="K86" i="15"/>
  <c r="K84" i="15"/>
  <c r="K92" i="15"/>
  <c r="K98" i="15" s="1"/>
  <c r="K104" i="15" s="1"/>
  <c r="I105" i="15"/>
  <c r="H28" i="1" s="1"/>
  <c r="I98" i="15"/>
  <c r="I103" i="15"/>
  <c r="H26" i="1" s="1"/>
  <c r="K85" i="15"/>
  <c r="J98" i="15"/>
  <c r="J104" i="15" s="1"/>
  <c r="I102" i="15"/>
  <c r="H25" i="1" s="1"/>
  <c r="K79" i="15"/>
  <c r="K97" i="15" s="1"/>
  <c r="K103" i="15" s="1"/>
  <c r="L97" i="14"/>
  <c r="J60" i="14"/>
  <c r="E38" i="1"/>
  <c r="D38" i="1"/>
  <c r="C38" i="1"/>
  <c r="E29" i="1"/>
  <c r="D29" i="1"/>
  <c r="C29" i="1"/>
  <c r="O38" i="1"/>
  <c r="N38" i="1"/>
  <c r="M38" i="1"/>
  <c r="O29" i="1"/>
  <c r="N29" i="1"/>
  <c r="M29" i="1"/>
  <c r="O20" i="1"/>
  <c r="N20" i="1"/>
  <c r="M20" i="1"/>
  <c r="E20" i="1"/>
  <c r="K67" i="14" l="1"/>
  <c r="K105" i="14"/>
  <c r="K111" i="14" s="1"/>
  <c r="K98" i="14"/>
  <c r="L96" i="14"/>
  <c r="C20" i="1"/>
  <c r="J28" i="1"/>
  <c r="L96" i="15"/>
  <c r="D20" i="1"/>
  <c r="J81" i="14"/>
  <c r="J99" i="14" s="1"/>
  <c r="L99" i="14" s="1"/>
  <c r="J87" i="14"/>
  <c r="L67" i="14"/>
  <c r="K104" i="14"/>
  <c r="K110" i="14" s="1"/>
  <c r="J67" i="14"/>
  <c r="I105" i="14"/>
  <c r="I111" i="14" s="1"/>
  <c r="I67" i="14"/>
  <c r="K108" i="14"/>
  <c r="K112" i="14" s="1"/>
  <c r="L102" i="14"/>
  <c r="L108" i="14" s="1"/>
  <c r="K110" i="15"/>
  <c r="J27" i="1"/>
  <c r="J111" i="15"/>
  <c r="I28" i="1"/>
  <c r="K108" i="15"/>
  <c r="J25" i="1"/>
  <c r="I98" i="14"/>
  <c r="J110" i="15"/>
  <c r="I27" i="1"/>
  <c r="J98" i="14"/>
  <c r="J104" i="14" s="1"/>
  <c r="J110" i="14" s="1"/>
  <c r="K109" i="15"/>
  <c r="J26" i="1"/>
  <c r="L99" i="15"/>
  <c r="L97" i="15"/>
  <c r="I104" i="15"/>
  <c r="H27" i="1" s="1"/>
  <c r="L98" i="15"/>
  <c r="I108" i="15"/>
  <c r="L102" i="15"/>
  <c r="L108" i="15" s="1"/>
  <c r="I109" i="15"/>
  <c r="L103" i="15"/>
  <c r="L109" i="15" s="1"/>
  <c r="L105" i="15"/>
  <c r="L111" i="15" s="1"/>
  <c r="I111" i="15"/>
  <c r="I109" i="14"/>
  <c r="L103" i="14"/>
  <c r="L109" i="14" s="1"/>
  <c r="J112" i="15" l="1"/>
  <c r="J105" i="14"/>
  <c r="K112" i="15"/>
  <c r="I104" i="14"/>
  <c r="L98" i="14"/>
  <c r="I110" i="15"/>
  <c r="I112" i="15" s="1"/>
  <c r="L104" i="15"/>
  <c r="L110" i="15" s="1"/>
  <c r="L112" i="15" s="1"/>
  <c r="C22" i="8"/>
  <c r="C21" i="8"/>
  <c r="C20" i="8"/>
  <c r="C19" i="8"/>
  <c r="C18" i="8"/>
  <c r="C17" i="8"/>
  <c r="C16" i="8"/>
  <c r="C15" i="8"/>
  <c r="D17" i="8"/>
  <c r="D15" i="8"/>
  <c r="D19" i="8"/>
  <c r="D20" i="8"/>
  <c r="D21" i="8"/>
  <c r="D16" i="8"/>
  <c r="L105" i="14" l="1"/>
  <c r="L111" i="14" s="1"/>
  <c r="J111" i="14"/>
  <c r="J112" i="14" s="1"/>
  <c r="I110" i="14"/>
  <c r="I112" i="14" s="1"/>
  <c r="L104" i="14"/>
  <c r="L110" i="14" s="1"/>
  <c r="E16" i="8"/>
  <c r="E20" i="8"/>
  <c r="E19" i="8"/>
  <c r="E21" i="8"/>
  <c r="E17" i="8"/>
  <c r="C23" i="8"/>
  <c r="D22" i="8"/>
  <c r="D18" i="8"/>
  <c r="E15" i="8"/>
  <c r="L112" i="14" l="1"/>
  <c r="E22" i="8"/>
  <c r="E18" i="8"/>
  <c r="J38" i="1"/>
  <c r="H38" i="1"/>
  <c r="I38" i="1"/>
  <c r="D23" i="8"/>
  <c r="J19" i="1"/>
  <c r="I19" i="1"/>
  <c r="H19" i="1"/>
  <c r="J18" i="1"/>
  <c r="I18" i="1"/>
  <c r="H18" i="1"/>
  <c r="J17" i="1"/>
  <c r="I17" i="1"/>
  <c r="H17" i="1"/>
  <c r="J16" i="1"/>
  <c r="I16" i="1"/>
  <c r="H16" i="1"/>
  <c r="E23" i="8" l="1"/>
  <c r="C6" i="8" s="1"/>
  <c r="I20" i="1"/>
  <c r="I29" i="1"/>
  <c r="J20" i="1"/>
  <c r="J29" i="1"/>
  <c r="H20" i="1"/>
  <c r="H29" i="1"/>
  <c r="P27" i="1"/>
  <c r="P28" i="1"/>
  <c r="P19" i="1"/>
  <c r="P37" i="1"/>
  <c r="P36" i="1"/>
  <c r="P35" i="1"/>
  <c r="P34" i="1"/>
  <c r="P25" i="1"/>
  <c r="P38" i="1" l="1"/>
  <c r="P18" i="1"/>
  <c r="P17" i="1"/>
  <c r="P16" i="1"/>
  <c r="P26" i="1"/>
  <c r="P29" i="1" s="1"/>
  <c r="P20" i="1" l="1"/>
  <c r="K37" i="1"/>
  <c r="K36" i="1"/>
  <c r="K27" i="1"/>
  <c r="K26" i="1" l="1"/>
  <c r="K35" i="1"/>
  <c r="K25" i="1"/>
  <c r="K28" i="1"/>
  <c r="K34" i="1"/>
  <c r="K29" i="1" l="1"/>
  <c r="K38" i="1"/>
  <c r="K19" i="1"/>
  <c r="K18" i="1"/>
  <c r="K17" i="1"/>
  <c r="K16" i="1"/>
  <c r="K20" i="1" l="1"/>
  <c r="G45" i="1"/>
  <c r="H45" i="1" s="1"/>
  <c r="G44" i="1"/>
  <c r="H44" i="1" s="1"/>
  <c r="G43" i="1"/>
  <c r="H43" i="1" s="1"/>
  <c r="E45" i="1"/>
  <c r="F45" i="1" s="1"/>
  <c r="E44" i="1" l="1"/>
  <c r="F44" i="1" s="1"/>
  <c r="E43" i="1"/>
  <c r="F43" i="1" l="1"/>
  <c r="F37" i="1"/>
  <c r="F36" i="1"/>
  <c r="F35" i="1"/>
  <c r="F34" i="1"/>
  <c r="F28" i="1"/>
  <c r="F27" i="1"/>
  <c r="F26" i="1"/>
  <c r="F25" i="1"/>
  <c r="F19" i="1"/>
  <c r="F18" i="1"/>
  <c r="F17" i="1"/>
  <c r="F16" i="1"/>
  <c r="F29" i="1" l="1"/>
  <c r="C44" i="1" s="1"/>
  <c r="D44" i="1" s="1"/>
  <c r="F38" i="1"/>
  <c r="C45" i="1" s="1"/>
  <c r="D45" i="1" s="1"/>
  <c r="F20" i="1"/>
  <c r="C43" i="1" s="1"/>
  <c r="C29" i="8" l="1"/>
  <c r="C30" i="8"/>
  <c r="D43" i="1"/>
  <c r="C28" i="8"/>
  <c r="D52" i="1" l="1"/>
  <c r="D57" i="1" s="1"/>
  <c r="F30" i="8" s="1"/>
  <c r="C52" i="1"/>
  <c r="D51" i="1"/>
  <c r="D56" i="1" s="1"/>
  <c r="F29" i="8" s="1"/>
  <c r="C51" i="1"/>
  <c r="D50" i="1"/>
  <c r="D55" i="1" s="1"/>
  <c r="C50" i="1"/>
  <c r="C31" i="8"/>
  <c r="D30" i="8"/>
  <c r="D28" i="8"/>
  <c r="D29" i="8"/>
  <c r="C56" i="1" l="1"/>
  <c r="E51" i="1"/>
  <c r="E56" i="1" s="1"/>
  <c r="E50" i="1"/>
  <c r="E55" i="1" s="1"/>
  <c r="C55" i="1"/>
  <c r="E52" i="1"/>
  <c r="E57" i="1" s="1"/>
  <c r="C57" i="1"/>
  <c r="D62" i="1"/>
  <c r="E62" i="1"/>
  <c r="G62" i="1"/>
  <c r="F62" i="1"/>
  <c r="C62" i="1"/>
  <c r="D58" i="1"/>
  <c r="F31" i="8" s="1"/>
  <c r="F28" i="8"/>
  <c r="D31" i="8"/>
  <c r="H62" i="1" l="1"/>
  <c r="D11" i="8" s="1"/>
  <c r="D61" i="1"/>
  <c r="D63" i="1" s="1"/>
  <c r="C61" i="1"/>
  <c r="E61" i="1"/>
  <c r="E63" i="1" s="1"/>
  <c r="E44" i="8" s="1"/>
  <c r="F61" i="1"/>
  <c r="F63" i="1" s="1"/>
  <c r="F44" i="8" s="1"/>
  <c r="G61" i="1"/>
  <c r="G63" i="1" s="1"/>
  <c r="G44" i="8" s="1"/>
  <c r="C58" i="1"/>
  <c r="F51" i="1"/>
  <c r="F56" i="1" s="1"/>
  <c r="F52" i="1"/>
  <c r="F57" i="1" s="1"/>
  <c r="E58" i="1"/>
  <c r="F50" i="1"/>
  <c r="F55" i="1" s="1"/>
  <c r="E30" i="8"/>
  <c r="G30" i="8" s="1"/>
  <c r="E29" i="8"/>
  <c r="G29" i="8" s="1"/>
  <c r="D38" i="8"/>
  <c r="C38" i="8"/>
  <c r="D44" i="8"/>
  <c r="E28" i="8"/>
  <c r="G28" i="8" s="1"/>
  <c r="C37" i="8"/>
  <c r="D37" i="8"/>
  <c r="D36" i="8"/>
  <c r="C36" i="8"/>
  <c r="F58" i="1" l="1"/>
  <c r="H61" i="1"/>
  <c r="H63" i="1" s="1"/>
  <c r="C63" i="1"/>
  <c r="C44" i="8" s="1"/>
  <c r="D39" i="8"/>
  <c r="E31" i="8"/>
  <c r="G31" i="8" s="1"/>
  <c r="C39" i="8"/>
  <c r="D10" i="8" l="1"/>
  <c r="H44" i="8"/>
  <c r="D6" i="8"/>
</calcChain>
</file>

<file path=xl/sharedStrings.xml><?xml version="1.0" encoding="utf-8"?>
<sst xmlns="http://schemas.openxmlformats.org/spreadsheetml/2006/main" count="964" uniqueCount="195">
  <si>
    <t>Outage Level</t>
  </si>
  <si>
    <t>22KV Dist Sub Outage</t>
  </si>
  <si>
    <t>HV 22kv ACR Outage</t>
  </si>
  <si>
    <t>HV 22KV CB Outage</t>
  </si>
  <si>
    <t>HV 22KV Line Outage</t>
  </si>
  <si>
    <t>Urban</t>
  </si>
  <si>
    <t>Rural Short</t>
  </si>
  <si>
    <t>Rural Long</t>
  </si>
  <si>
    <t>Total</t>
  </si>
  <si>
    <t>Tranche 1 (Less CLC)</t>
  </si>
  <si>
    <t>Tranche 2 + CLC</t>
  </si>
  <si>
    <t>5 Year Average Base Performance Pre REFCL
11/12' to 15/16'</t>
  </si>
  <si>
    <t>5 Year Average Base Performance Pre REFCL
14/15' to 18/19'</t>
  </si>
  <si>
    <t>Operational Practices With Smart ACR's</t>
  </si>
  <si>
    <t>Current Operational REFCL Practices</t>
  </si>
  <si>
    <t>Base Case</t>
  </si>
  <si>
    <t>Unplanned Lost MWh's</t>
  </si>
  <si>
    <t>Network Energy MWh</t>
  </si>
  <si>
    <t>Tranche 3</t>
  </si>
  <si>
    <t>Order</t>
  </si>
  <si>
    <t>Feeder</t>
  </si>
  <si>
    <t>Zone Substation</t>
  </si>
  <si>
    <t>Order Start Date</t>
  </si>
  <si>
    <t>Current REFCL Outages</t>
  </si>
  <si>
    <t>Outages Without REFCL</t>
  </si>
  <si>
    <t>Comments</t>
  </si>
  <si>
    <t>Custs Affected Sustained</t>
  </si>
  <si>
    <t>New Cust Affected Sustained</t>
  </si>
  <si>
    <t>New CMOS</t>
  </si>
  <si>
    <t>F-12998-b</t>
  </si>
  <si>
    <t>GSB014</t>
  </si>
  <si>
    <t>GSB</t>
  </si>
  <si>
    <t>F-13195-b</t>
  </si>
  <si>
    <t>F-14011-b</t>
  </si>
  <si>
    <t>CDN006</t>
  </si>
  <si>
    <t>CDN</t>
  </si>
  <si>
    <t>F-172-c</t>
  </si>
  <si>
    <t>WND022</t>
  </si>
  <si>
    <t>WND</t>
  </si>
  <si>
    <t>F-126-d</t>
  </si>
  <si>
    <t>CMN001</t>
  </si>
  <si>
    <t>CMN</t>
  </si>
  <si>
    <t>F-14633-b</t>
  </si>
  <si>
    <t>CMN003</t>
  </si>
  <si>
    <t>F-14643-b</t>
  </si>
  <si>
    <t>MRO005</t>
  </si>
  <si>
    <t>MRO</t>
  </si>
  <si>
    <t>F-15274-b</t>
  </si>
  <si>
    <t>CDN001</t>
  </si>
  <si>
    <t>Only a momentary outage with traditional protection</t>
  </si>
  <si>
    <t>F-15323-b</t>
  </si>
  <si>
    <t>GSB011</t>
  </si>
  <si>
    <t>F-15431-b</t>
  </si>
  <si>
    <t>F-15434-b</t>
  </si>
  <si>
    <t>WND024</t>
  </si>
  <si>
    <t>F-15438-b</t>
  </si>
  <si>
    <t>EHK024</t>
  </si>
  <si>
    <t>EHK</t>
  </si>
  <si>
    <t>1224779-1</t>
  </si>
  <si>
    <t>WND013</t>
  </si>
  <si>
    <t>F-15530-b</t>
  </si>
  <si>
    <t>F-15533-b</t>
  </si>
  <si>
    <t>F-15935-b</t>
  </si>
  <si>
    <t>F-16051-b</t>
  </si>
  <si>
    <t>F-16076-b</t>
  </si>
  <si>
    <t>CLC006</t>
  </si>
  <si>
    <t>CLC</t>
  </si>
  <si>
    <t>REFCL Testing</t>
  </si>
  <si>
    <t>F-16077-b</t>
  </si>
  <si>
    <t>CLC002</t>
  </si>
  <si>
    <t>F-16145-b</t>
  </si>
  <si>
    <t>WIN011</t>
  </si>
  <si>
    <t>WIN</t>
  </si>
  <si>
    <t>F-16170-b</t>
  </si>
  <si>
    <t>F-16237-b</t>
  </si>
  <si>
    <t>CLC014</t>
  </si>
  <si>
    <t>F-16295-b</t>
  </si>
  <si>
    <t>F-16479-b</t>
  </si>
  <si>
    <t>F-16530-b</t>
  </si>
  <si>
    <t>F-16625-b</t>
  </si>
  <si>
    <t>CDN003</t>
  </si>
  <si>
    <t>F-16727-b</t>
  </si>
  <si>
    <t>F-16938-b</t>
  </si>
  <si>
    <t>F-17437-b</t>
  </si>
  <si>
    <t>GSB013</t>
  </si>
  <si>
    <t>F-17590-b</t>
  </si>
  <si>
    <t>F-17624-b</t>
  </si>
  <si>
    <t>CLC013</t>
  </si>
  <si>
    <t>F-18363-b</t>
  </si>
  <si>
    <t>F-17706-b</t>
  </si>
  <si>
    <t>F-17777-b</t>
  </si>
  <si>
    <t>F-18135-b</t>
  </si>
  <si>
    <t>F-17813-b</t>
  </si>
  <si>
    <t>F-18457-b</t>
  </si>
  <si>
    <t>REFCLs</t>
  </si>
  <si>
    <t>Smart ACRs</t>
  </si>
  <si>
    <t>Value of energy saved</t>
  </si>
  <si>
    <t>Residual</t>
  </si>
  <si>
    <t>Tranche 1</t>
  </si>
  <si>
    <t>Tranche 2</t>
  </si>
  <si>
    <t>2021/22</t>
  </si>
  <si>
    <t>2022/23</t>
  </si>
  <si>
    <t>2023/24</t>
  </si>
  <si>
    <t>2024/25</t>
  </si>
  <si>
    <t>2025/26</t>
  </si>
  <si>
    <t>REFCL</t>
  </si>
  <si>
    <t>Smart ACR</t>
  </si>
  <si>
    <t>July 2018 to October 2019</t>
  </si>
  <si>
    <t>Modelled annual impact</t>
  </si>
  <si>
    <t>8 REFCL ZSs</t>
  </si>
  <si>
    <t>22 REFCL ZS</t>
  </si>
  <si>
    <t>Value of unserved energy</t>
  </si>
  <si>
    <t>Option</t>
  </si>
  <si>
    <t>Description</t>
  </si>
  <si>
    <t>Do nothing - do not replace traditional ACRs with smart ACRs</t>
  </si>
  <si>
    <t>Mitigate reliability impacts - replace traditional ACRs with smart ACRs on REFCL network</t>
  </si>
  <si>
    <t>Zone substation</t>
  </si>
  <si>
    <t>Tranche</t>
  </si>
  <si>
    <t>minutes p.a.</t>
  </si>
  <si>
    <t>mwh p.a.</t>
  </si>
  <si>
    <t>Tranche 1 ZSS (excl. CLC)</t>
  </si>
  <si>
    <t>Tranche 2 ZSS (incl. CLC)</t>
  </si>
  <si>
    <t>Tranche 3 ZSS</t>
  </si>
  <si>
    <t>Value of energy saved by installing smart ACRs</t>
  </si>
  <si>
    <t>2021-2026</t>
  </si>
  <si>
    <t>2026-2031</t>
  </si>
  <si>
    <t>Value of saved energy</t>
  </si>
  <si>
    <t>Variance</t>
  </si>
  <si>
    <t>Subtotal</t>
  </si>
  <si>
    <t>Energy not supplied</t>
  </si>
  <si>
    <t>Scenario</t>
  </si>
  <si>
    <t>2018 Average Cust Numbers</t>
  </si>
  <si>
    <t>T1 Performance Less CLC ZSS - With Current REFCL Protection
11/12' to 15/16'</t>
  </si>
  <si>
    <t>T1 Performance - Less CLC - With REFCL &amp; Smart ACR's
11/12' to 15/16'</t>
  </si>
  <si>
    <t>T2 Performance + CLC ZSS - With Current REFCL Protection
14/15' to 18/19'</t>
  </si>
  <si>
    <t>T2 Performance + CLC ZSS - With REFCL &amp; Smart ACR's
14/15' to 18/19'</t>
  </si>
  <si>
    <t>T3 Performance - With Current REFCL Protection
14/15' to 18/19'</t>
  </si>
  <si>
    <t>T3 Performance - With REFCL &amp; Smart ACR's
14/15' to 18/19'</t>
  </si>
  <si>
    <t>VCR $m</t>
  </si>
  <si>
    <t>VCR $</t>
  </si>
  <si>
    <t>VCR Comparison</t>
  </si>
  <si>
    <t>Key assumptions</t>
  </si>
  <si>
    <t>Key inputs</t>
  </si>
  <si>
    <t>Value of customer reliability (June $2021/MWh)</t>
  </si>
  <si>
    <t>End</t>
  </si>
  <si>
    <t>CMOS</t>
  </si>
  <si>
    <t>Total # Events Occurring</t>
  </si>
  <si>
    <t>E/L or SEF Faults Escalated - CB Trip</t>
  </si>
  <si>
    <t># E/L or SEF Faults Eliminated</t>
  </si>
  <si>
    <t># Faults Still Occurring With REFCL In Service</t>
  </si>
  <si>
    <t>No Events With REFCL Not In Service</t>
  </si>
  <si>
    <t>Annual Average Performance After</t>
  </si>
  <si>
    <t>Average Cust Effected Per Event</t>
  </si>
  <si>
    <t>Number of order</t>
  </si>
  <si>
    <t>Calculations</t>
  </si>
  <si>
    <t>[Mins]</t>
  </si>
  <si>
    <t>CMOS - Customer Minutes off Supply</t>
  </si>
  <si>
    <t>[#]</t>
  </si>
  <si>
    <t>Number of Orders</t>
  </si>
  <si>
    <t>2015/2016</t>
  </si>
  <si>
    <t>To</t>
  </si>
  <si>
    <t>2011/2012</t>
  </si>
  <si>
    <t>From</t>
  </si>
  <si>
    <t>[Customers - Matches Energy Supplied]</t>
  </si>
  <si>
    <t>Average Customer Numbers</t>
  </si>
  <si>
    <t>[%]</t>
  </si>
  <si>
    <t>% REFCL Availability</t>
  </si>
  <si>
    <t>[Yrs]</t>
  </si>
  <si>
    <t>No. of Years</t>
  </si>
  <si>
    <t>E/L or SEF Faults Escalated</t>
  </si>
  <si>
    <t>E/L or SEF Faults Eliminated</t>
  </si>
  <si>
    <t>Global Inputs</t>
  </si>
  <si>
    <t>2014/2015</t>
  </si>
  <si>
    <t>2018/2019</t>
  </si>
  <si>
    <t>Trips by SMART ACRs</t>
  </si>
  <si>
    <t>Other Reliability Data</t>
  </si>
  <si>
    <t>Unplanned CMOS
Current Operational REFCL Practices</t>
  </si>
  <si>
    <t>Unplanned CMOS
Operational Practices With Smart ACRs</t>
  </si>
  <si>
    <t>Unplanned CMOS
Base Case</t>
  </si>
  <si>
    <t>Base Case
Unplanned Lost MWhs</t>
  </si>
  <si>
    <t>Current Ops Practices
Unplanned Lost MWhs</t>
  </si>
  <si>
    <t>Smart ACRs
Unplanned Lost MWhs</t>
  </si>
  <si>
    <t>Output tables</t>
  </si>
  <si>
    <t>Scenarios: Customer minutes off supply (CMOS)</t>
  </si>
  <si>
    <t xml:space="preserve"> $m p.a.</t>
  </si>
  <si>
    <t>No. of events, July 2018 to October 2019</t>
  </si>
  <si>
    <t>Value of additional unserved energy with REFCL</t>
  </si>
  <si>
    <t>Additional CMOS with REFCL and traditional protection</t>
  </si>
  <si>
    <t>Additional unserved energy with REFCL</t>
  </si>
  <si>
    <t>Value of additional unserved energy with REFCL and smart ACRS</t>
  </si>
  <si>
    <t>$m</t>
  </si>
  <si>
    <t>Value of energy saved, $m</t>
  </si>
  <si>
    <t>Value of unserved energy, $m</t>
  </si>
  <si>
    <t>Additional unserved energy, mwh</t>
  </si>
  <si>
    <t>Value of additional unserved energy, $m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</si>
</sst>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0.0"/>
    <numFmt numFmtId="167" formatCode="_-* #,##0.0_-;\-* #,##0.0_-;_-* &quot;-&quot;??_-;_-@_-"/>
    <numFmt numFmtId="168" formatCode="_-* #,##0.0_-;\-* #,##0.0_-;_-* &quot;-&quot;?_-;_-@_-"/>
    <numFmt numFmtId="169" formatCode="#,##0.0"/>
    <numFmt numFmtId="170" formatCode="#,##0_);\(#,##0\);\-\-_)"/>
    <numFmt numFmtId="171" formatCode="0.0%"/>
    <numFmt numFmtId="172" formatCode="#,##0\ &quot;bps&quot;;\-#,##0\ &quot;bps&quot;;#,##0\ &quot;bps&quot;"/>
    <numFmt numFmtId="173" formatCode="&quot;Check&quot;;&quot;Check&quot;;&quot;OK&quot;"/>
    <numFmt numFmtId="174" formatCode="[$-409]d\-mmm\-yy;&quot;nm&quot;;&quot;nm&quot;"/>
    <numFmt numFmtId="175" formatCode="[$-409]mmm\-yy;&quot;nm&quot;;&quot;nm&quot;"/>
    <numFmt numFmtId="176" formatCode="#,##0\ &quot;days&quot;;\-#,##0\ &quot;days&quot;"/>
    <numFmt numFmtId="177" formatCode="#,##0.000,,_);\(#,##0.000,,\);\-\-_)"/>
    <numFmt numFmtId="178" formatCode="#,##0\ &quot;mths&quot;;\-#,##0\ &quot;mths&quot;;#,##0\ &quot;mths&quot;"/>
    <numFmt numFmtId="179" formatCode="0.00\x;\-0.00\x;0.00\x"/>
    <numFmt numFmtId="180" formatCode="0.00%;\-0.00%;\-\-\%"/>
    <numFmt numFmtId="181" formatCode="#,##0.000,_);\(#,##0.000,\);\-\-_)"/>
    <numFmt numFmtId="182" formatCode="#,##0\ &quot;yrs&quot;;\-#,##0\ &quot;yrs&quot;;@_x"/>
  </numFmts>
  <fonts count="47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sz val="8"/>
      <color theme="1"/>
      <name val="Tahoma"/>
      <family val="2"/>
    </font>
    <font>
      <b/>
      <sz val="8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b/>
      <sz val="8"/>
      <color rgb="FFFFFFFF"/>
      <name val="Tahoma"/>
      <family val="2"/>
    </font>
    <font>
      <b/>
      <sz val="10"/>
      <color indexed="9"/>
      <name val="Arial"/>
      <family val="2"/>
    </font>
    <font>
      <sz val="8"/>
      <color indexed="55"/>
      <name val="Arial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12"/>
      <name val="Calibri"/>
      <family val="2"/>
      <scheme val="minor"/>
    </font>
    <font>
      <sz val="10"/>
      <color indexed="9"/>
      <name val="Arial"/>
      <family val="2"/>
    </font>
    <font>
      <sz val="10"/>
      <color indexed="63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10"/>
      <color indexed="39"/>
      <name val="Arial"/>
      <family val="2"/>
    </font>
    <font>
      <sz val="9"/>
      <color indexed="8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name val="Tahoma"/>
      <family val="2"/>
    </font>
    <font>
      <sz val="9"/>
      <color theme="0"/>
      <name val="Tahoma"/>
      <family val="2"/>
    </font>
    <font>
      <sz val="9"/>
      <color indexed="55"/>
      <name val="Tahoma"/>
      <family val="2"/>
    </font>
    <font>
      <b/>
      <sz val="9"/>
      <color indexed="9"/>
      <name val="Tahoma"/>
      <family val="2"/>
    </font>
    <font>
      <b/>
      <sz val="9"/>
      <name val="Tahoma"/>
      <family val="2"/>
    </font>
    <font>
      <u/>
      <sz val="9"/>
      <name val="Tahoma"/>
      <family val="2"/>
    </font>
    <font>
      <sz val="9"/>
      <color theme="1"/>
      <name val="Tahoma"/>
      <family val="2"/>
    </font>
    <font>
      <b/>
      <sz val="9"/>
      <color theme="0"/>
      <name val="Tahoma"/>
      <family val="2"/>
    </font>
    <font>
      <i/>
      <u/>
      <sz val="9"/>
      <color theme="0"/>
      <name val="Tahoma"/>
      <family val="2"/>
    </font>
    <font>
      <i/>
      <u/>
      <sz val="9"/>
      <name val="Tahoma"/>
      <family val="2"/>
    </font>
    <font>
      <b/>
      <i/>
      <sz val="9"/>
      <name val="Tahoma"/>
      <family val="2"/>
    </font>
    <font>
      <sz val="9"/>
      <color rgb="FF0000FF"/>
      <name val="Tahoma"/>
      <family val="2"/>
    </font>
    <font>
      <i/>
      <sz val="9"/>
      <name val="Tahoma"/>
      <family val="2"/>
    </font>
    <font>
      <u/>
      <sz val="9"/>
      <color theme="0"/>
      <name val="Tahoma"/>
      <family val="2"/>
    </font>
    <font>
      <b/>
      <sz val="9"/>
      <color theme="1"/>
      <name val="Tahoma"/>
      <family val="2"/>
    </font>
    <font>
      <b/>
      <u/>
      <sz val="9"/>
      <name val="Tahoma"/>
      <family val="2"/>
    </font>
  </fonts>
  <fills count="5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rgb="FFFFFF0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20"/>
      </patternFill>
    </fill>
  </fills>
  <borders count="1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002060"/>
      </bottom>
      <diagonal/>
    </border>
    <border>
      <left/>
      <right/>
      <top style="medium">
        <color rgb="FFFFFFFF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48"/>
      </left>
      <right style="thin">
        <color indexed="48"/>
      </right>
      <top/>
      <bottom/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" fillId="2" borderId="1">
      <alignment horizontal="right" vertical="center" wrapText="1" indent="1"/>
    </xf>
    <xf numFmtId="170" fontId="2" fillId="0" borderId="0" applyFill="0" applyBorder="0">
      <alignment vertical="center"/>
    </xf>
    <xf numFmtId="0" fontId="12" fillId="0" borderId="0">
      <alignment horizontal="center"/>
    </xf>
    <xf numFmtId="0" fontId="13" fillId="11" borderId="0" applyNumberFormat="0">
      <alignment vertical="center"/>
    </xf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3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5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2" fillId="0" borderId="0" applyFont="0" applyFill="0" applyBorder="0" applyAlignment="0" applyProtection="0"/>
    <xf numFmtId="0" fontId="17" fillId="26" borderId="0">
      <alignment horizontal="center"/>
    </xf>
    <xf numFmtId="0" fontId="18" fillId="27" borderId="0" applyNumberFormat="0">
      <alignment vertical="center"/>
    </xf>
    <xf numFmtId="0" fontId="11" fillId="27" borderId="0" applyNumberFormat="0">
      <alignment vertical="center"/>
    </xf>
    <xf numFmtId="0" fontId="13" fillId="11" borderId="0" applyNumberFormat="0">
      <alignment vertical="center"/>
    </xf>
    <xf numFmtId="0" fontId="19" fillId="28" borderId="0" applyNumberFormat="0">
      <alignment vertical="center"/>
    </xf>
    <xf numFmtId="172" fontId="2" fillId="0" borderId="0" applyFill="0" applyBorder="0">
      <alignment vertical="center"/>
    </xf>
    <xf numFmtId="172" fontId="2" fillId="0" borderId="0" applyFill="0" applyBorder="0">
      <alignment vertical="center"/>
    </xf>
    <xf numFmtId="173" fontId="20" fillId="0" borderId="0" applyFont="0" applyFill="0" applyBorder="0" applyAlignment="0">
      <alignment vertical="center"/>
    </xf>
    <xf numFmtId="174" fontId="2" fillId="0" borderId="0" applyFill="0" applyBorder="0">
      <alignment vertical="center"/>
    </xf>
    <xf numFmtId="174" fontId="2" fillId="0" borderId="0" applyFill="0" applyBorder="0">
      <alignment vertical="center"/>
    </xf>
    <xf numFmtId="175" fontId="2" fillId="0" borderId="0" applyFill="0" applyBorder="0">
      <alignment vertical="center"/>
    </xf>
    <xf numFmtId="175" fontId="2" fillId="0" borderId="0" applyFill="0" applyBorder="0">
      <alignment vertical="center"/>
    </xf>
    <xf numFmtId="176" fontId="2" fillId="0" borderId="0" applyFill="0" applyBorder="0">
      <alignment vertical="center"/>
    </xf>
    <xf numFmtId="176" fontId="2" fillId="0" borderId="0" applyFill="0" applyBorder="0">
      <alignment vertical="center"/>
    </xf>
    <xf numFmtId="177" fontId="2" fillId="0" borderId="0" applyFill="0" applyBorder="0">
      <alignment vertical="center"/>
    </xf>
    <xf numFmtId="178" fontId="2" fillId="0" borderId="0">
      <alignment vertical="center"/>
    </xf>
    <xf numFmtId="178" fontId="2" fillId="0" borderId="0">
      <alignment vertical="center"/>
    </xf>
    <xf numFmtId="179" fontId="2" fillId="0" borderId="0" applyFill="0" applyBorder="0">
      <alignment vertical="center"/>
    </xf>
    <xf numFmtId="179" fontId="2" fillId="0" borderId="0" applyFill="0" applyBorder="0">
      <alignment vertical="center"/>
    </xf>
    <xf numFmtId="170" fontId="2" fillId="0" borderId="0" applyFill="0" applyBorder="0">
      <alignment vertical="center"/>
    </xf>
    <xf numFmtId="180" fontId="2" fillId="0" borderId="0" applyFill="0" applyBorder="0">
      <alignment vertical="center"/>
    </xf>
    <xf numFmtId="180" fontId="2" fillId="0" borderId="0" applyFill="0" applyBorder="0">
      <alignment vertical="center"/>
    </xf>
    <xf numFmtId="181" fontId="2" fillId="0" borderId="0">
      <alignment vertical="center"/>
    </xf>
    <xf numFmtId="182" fontId="2" fillId="0" borderId="0" applyFill="0" applyBorder="0">
      <alignment vertical="center"/>
    </xf>
    <xf numFmtId="182" fontId="2" fillId="0" borderId="0" applyFill="0" applyBorder="0">
      <alignment vertical="center"/>
    </xf>
    <xf numFmtId="0" fontId="2" fillId="0" borderId="0"/>
    <xf numFmtId="0" fontId="2" fillId="0" borderId="0" applyFill="0"/>
    <xf numFmtId="0" fontId="2" fillId="0" borderId="0" applyFill="0"/>
    <xf numFmtId="4" fontId="21" fillId="29" borderId="12" applyNumberFormat="0" applyProtection="0">
      <alignment vertical="center"/>
    </xf>
    <xf numFmtId="4" fontId="22" fillId="30" borderId="12" applyNumberFormat="0" applyProtection="0">
      <alignment vertical="center"/>
    </xf>
    <xf numFmtId="4" fontId="21" fillId="30" borderId="12" applyNumberFormat="0" applyProtection="0">
      <alignment horizontal="left" vertical="center" indent="1"/>
    </xf>
    <xf numFmtId="0" fontId="21" fillId="30" borderId="12" applyNumberFormat="0" applyProtection="0">
      <alignment horizontal="left" vertical="top" indent="1"/>
    </xf>
    <xf numFmtId="4" fontId="21" fillId="0" borderId="0" applyNumberFormat="0" applyProtection="0">
      <alignment horizontal="left" vertical="center" indent="1"/>
    </xf>
    <xf numFmtId="4" fontId="3" fillId="31" borderId="12" applyNumberFormat="0" applyProtection="0">
      <alignment horizontal="right" vertical="center"/>
    </xf>
    <xf numFmtId="4" fontId="3" fillId="32" borderId="12" applyNumberFormat="0" applyProtection="0">
      <alignment horizontal="right" vertical="center"/>
    </xf>
    <xf numFmtId="4" fontId="3" fillId="33" borderId="12" applyNumberFormat="0" applyProtection="0">
      <alignment horizontal="right" vertical="center"/>
    </xf>
    <xf numFmtId="4" fontId="3" fillId="34" borderId="12" applyNumberFormat="0" applyProtection="0">
      <alignment horizontal="right" vertical="center"/>
    </xf>
    <xf numFmtId="4" fontId="3" fillId="35" borderId="12" applyNumberFormat="0" applyProtection="0">
      <alignment horizontal="right" vertical="center"/>
    </xf>
    <xf numFmtId="4" fontId="3" fillId="36" borderId="12" applyNumberFormat="0" applyProtection="0">
      <alignment horizontal="right" vertical="center"/>
    </xf>
    <xf numFmtId="4" fontId="3" fillId="37" borderId="12" applyNumberFormat="0" applyProtection="0">
      <alignment horizontal="right" vertical="center"/>
    </xf>
    <xf numFmtId="4" fontId="3" fillId="38" borderId="12" applyNumberFormat="0" applyProtection="0">
      <alignment horizontal="right" vertical="center"/>
    </xf>
    <xf numFmtId="4" fontId="3" fillId="39" borderId="12" applyNumberFormat="0" applyProtection="0">
      <alignment horizontal="right" vertical="center"/>
    </xf>
    <xf numFmtId="4" fontId="21" fillId="40" borderId="13" applyNumberFormat="0" applyProtection="0">
      <alignment horizontal="left" vertical="center" indent="1"/>
    </xf>
    <xf numFmtId="4" fontId="3" fillId="41" borderId="0" applyNumberFormat="0" applyProtection="0">
      <alignment horizontal="left" vertical="center" indent="1"/>
    </xf>
    <xf numFmtId="4" fontId="23" fillId="42" borderId="0" applyNumberFormat="0" applyProtection="0">
      <alignment horizontal="left" vertical="center" indent="1"/>
    </xf>
    <xf numFmtId="4" fontId="3" fillId="43" borderId="14" applyNumberFormat="0" applyProtection="0">
      <alignment horizontal="center" vertical="center"/>
    </xf>
    <xf numFmtId="4" fontId="3" fillId="41" borderId="0" applyNumberFormat="0" applyProtection="0">
      <alignment horizontal="left" vertical="center" indent="1"/>
    </xf>
    <xf numFmtId="4" fontId="3" fillId="28" borderId="0" applyNumberFormat="0" applyProtection="0">
      <alignment horizontal="left" vertical="center" indent="1"/>
    </xf>
    <xf numFmtId="0" fontId="2" fillId="43" borderId="12" applyNumberFormat="0" applyProtection="0">
      <alignment horizontal="left" vertical="center" indent="1"/>
    </xf>
    <xf numFmtId="0" fontId="2" fillId="42" borderId="12" applyNumberFormat="0" applyProtection="0">
      <alignment horizontal="left" vertical="top" indent="1"/>
    </xf>
    <xf numFmtId="0" fontId="2" fillId="43" borderId="12" applyNumberFormat="0" applyProtection="0">
      <alignment horizontal="left" vertical="center" indent="1"/>
    </xf>
    <xf numFmtId="0" fontId="2" fillId="28" borderId="12" applyNumberFormat="0" applyProtection="0">
      <alignment horizontal="left" vertical="top" indent="1"/>
    </xf>
    <xf numFmtId="0" fontId="2" fillId="43" borderId="12" applyNumberFormat="0" applyProtection="0">
      <alignment horizontal="left" vertical="center" indent="1"/>
    </xf>
    <xf numFmtId="0" fontId="2" fillId="44" borderId="12" applyNumberFormat="0" applyProtection="0">
      <alignment horizontal="left" vertical="top" indent="1"/>
    </xf>
    <xf numFmtId="0" fontId="2" fillId="43" borderId="12" applyNumberFormat="0" applyProtection="0">
      <alignment horizontal="left" vertical="center" indent="1"/>
    </xf>
    <xf numFmtId="0" fontId="2" fillId="45" borderId="12" applyNumberFormat="0" applyProtection="0">
      <alignment horizontal="left" vertical="top" indent="1"/>
    </xf>
    <xf numFmtId="0" fontId="2" fillId="46" borderId="15" applyNumberFormat="0">
      <protection locked="0"/>
    </xf>
    <xf numFmtId="0" fontId="24" fillId="47" borderId="16" applyBorder="0"/>
    <xf numFmtId="4" fontId="3" fillId="48" borderId="12" applyNumberFormat="0" applyProtection="0">
      <alignment vertical="center"/>
    </xf>
    <xf numFmtId="4" fontId="25" fillId="48" borderId="12" applyNumberFormat="0" applyProtection="0">
      <alignment vertical="center"/>
    </xf>
    <xf numFmtId="4" fontId="3" fillId="48" borderId="12" applyNumberFormat="0" applyProtection="0">
      <alignment horizontal="left" vertical="center" indent="1"/>
    </xf>
    <xf numFmtId="0" fontId="3" fillId="48" borderId="12" applyNumberFormat="0" applyProtection="0">
      <alignment horizontal="left" vertical="top" indent="1"/>
    </xf>
    <xf numFmtId="4" fontId="26" fillId="0" borderId="12" applyNumberFormat="0" applyProtection="0">
      <alignment horizontal="right" vertical="center"/>
    </xf>
    <xf numFmtId="4" fontId="25" fillId="0" borderId="12" applyNumberFormat="0" applyProtection="0">
      <alignment horizontal="right" vertical="center"/>
    </xf>
    <xf numFmtId="4" fontId="3" fillId="49" borderId="12" applyNumberFormat="0" applyProtection="0">
      <alignment horizontal="left" vertical="center" indent="1"/>
    </xf>
    <xf numFmtId="0" fontId="21" fillId="49" borderId="17" applyNumberFormat="0" applyProtection="0">
      <alignment horizontal="center" vertical="top"/>
    </xf>
    <xf numFmtId="4" fontId="27" fillId="0" borderId="0" applyNumberFormat="0" applyProtection="0">
      <alignment horizontal="left" vertical="center" indent="1"/>
    </xf>
    <xf numFmtId="0" fontId="28" fillId="50" borderId="15"/>
    <xf numFmtId="4" fontId="29" fillId="41" borderId="12" applyNumberFormat="0" applyProtection="0">
      <alignment horizontal="right" vertical="center"/>
    </xf>
    <xf numFmtId="0" fontId="30" fillId="0" borderId="0" applyNumberFormat="0" applyFill="0" applyBorder="0" applyAlignment="0" applyProtection="0"/>
  </cellStyleXfs>
  <cellXfs count="182">
    <xf numFmtId="0" fontId="0" fillId="0" borderId="0" xfId="0"/>
    <xf numFmtId="0" fontId="5" fillId="0" borderId="0" xfId="0" applyFont="1"/>
    <xf numFmtId="0" fontId="5" fillId="0" borderId="0" xfId="0" applyFont="1" applyBorder="1"/>
    <xf numFmtId="168" fontId="5" fillId="0" borderId="0" xfId="0" applyNumberFormat="1" applyFont="1"/>
    <xf numFmtId="0" fontId="6" fillId="3" borderId="0" xfId="0" applyFont="1" applyFill="1" applyBorder="1" applyAlignment="1">
      <alignment horizontal="left" vertical="center" wrapText="1"/>
    </xf>
    <xf numFmtId="43" fontId="6" fillId="3" borderId="0" xfId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 wrapText="1"/>
    </xf>
    <xf numFmtId="43" fontId="6" fillId="3" borderId="7" xfId="1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7" fillId="0" borderId="0" xfId="0" applyFont="1" applyBorder="1"/>
    <xf numFmtId="0" fontId="9" fillId="0" borderId="0" xfId="0" applyFont="1"/>
    <xf numFmtId="0" fontId="5" fillId="0" borderId="0" xfId="0" applyFont="1" applyFill="1"/>
    <xf numFmtId="0" fontId="5" fillId="0" borderId="0" xfId="0" applyFont="1" applyFill="1" applyBorder="1"/>
    <xf numFmtId="0" fontId="5" fillId="0" borderId="0" xfId="0" applyFont="1" applyBorder="1" applyAlignment="1">
      <alignment horizontal="center"/>
    </xf>
    <xf numFmtId="164" fontId="5" fillId="0" borderId="0" xfId="0" applyNumberFormat="1" applyFont="1" applyFill="1" applyBorder="1"/>
    <xf numFmtId="0" fontId="9" fillId="0" borderId="0" xfId="0" applyFont="1" applyBorder="1"/>
    <xf numFmtId="0" fontId="5" fillId="0" borderId="0" xfId="0" applyFont="1" applyAlignment="1">
      <alignment horizontal="left"/>
    </xf>
    <xf numFmtId="0" fontId="5" fillId="4" borderId="4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indent="1"/>
    </xf>
    <xf numFmtId="0" fontId="9" fillId="4" borderId="5" xfId="0" applyFont="1" applyFill="1" applyBorder="1" applyAlignment="1">
      <alignment horizontal="left" vertical="center" indent="1"/>
    </xf>
    <xf numFmtId="0" fontId="9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/>
    </xf>
    <xf numFmtId="167" fontId="5" fillId="4" borderId="4" xfId="0" applyNumberFormat="1" applyFont="1" applyFill="1" applyBorder="1" applyAlignment="1">
      <alignment horizontal="right" vertical="center" wrapText="1"/>
    </xf>
    <xf numFmtId="166" fontId="5" fillId="4" borderId="4" xfId="0" applyNumberFormat="1" applyFont="1" applyFill="1" applyBorder="1" applyAlignment="1">
      <alignment horizontal="right" vertical="center" wrapText="1"/>
    </xf>
    <xf numFmtId="169" fontId="5" fillId="4" borderId="3" xfId="0" applyNumberFormat="1" applyFont="1" applyFill="1" applyBorder="1" applyAlignment="1">
      <alignment horizontal="right" vertical="center"/>
    </xf>
    <xf numFmtId="169" fontId="5" fillId="4" borderId="4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 wrapText="1"/>
    </xf>
    <xf numFmtId="166" fontId="5" fillId="4" borderId="3" xfId="0" applyNumberFormat="1" applyFont="1" applyFill="1" applyBorder="1" applyAlignment="1">
      <alignment horizontal="right" vertical="center" wrapText="1"/>
    </xf>
    <xf numFmtId="167" fontId="5" fillId="4" borderId="3" xfId="1" applyNumberFormat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 vertical="center" wrapText="1"/>
    </xf>
    <xf numFmtId="166" fontId="9" fillId="4" borderId="2" xfId="0" applyNumberFormat="1" applyFont="1" applyFill="1" applyBorder="1" applyAlignment="1">
      <alignment horizontal="right" vertical="center" wrapText="1"/>
    </xf>
    <xf numFmtId="167" fontId="9" fillId="4" borderId="2" xfId="1" applyNumberFormat="1" applyFont="1" applyFill="1" applyBorder="1" applyAlignment="1">
      <alignment horizontal="right" vertical="center" wrapText="1"/>
    </xf>
    <xf numFmtId="3" fontId="5" fillId="4" borderId="3" xfId="0" applyNumberFormat="1" applyFont="1" applyFill="1" applyBorder="1" applyAlignment="1">
      <alignment vertical="center"/>
    </xf>
    <xf numFmtId="166" fontId="5" fillId="4" borderId="3" xfId="0" applyNumberFormat="1" applyFont="1" applyFill="1" applyBorder="1" applyAlignment="1">
      <alignment vertical="center"/>
    </xf>
    <xf numFmtId="3" fontId="9" fillId="4" borderId="5" xfId="0" applyNumberFormat="1" applyFont="1" applyFill="1" applyBorder="1" applyAlignment="1">
      <alignment vertical="center"/>
    </xf>
    <xf numFmtId="166" fontId="9" fillId="4" borderId="5" xfId="0" applyNumberFormat="1" applyFont="1" applyFill="1" applyBorder="1" applyAlignment="1">
      <alignment vertical="center"/>
    </xf>
    <xf numFmtId="166" fontId="9" fillId="4" borderId="5" xfId="0" applyNumberFormat="1" applyFont="1" applyFill="1" applyBorder="1" applyAlignment="1">
      <alignment horizontal="right" vertical="center" wrapText="1"/>
    </xf>
    <xf numFmtId="166" fontId="5" fillId="4" borderId="5" xfId="0" applyNumberFormat="1" applyFont="1" applyFill="1" applyBorder="1" applyAlignment="1">
      <alignment vertical="center"/>
    </xf>
    <xf numFmtId="0" fontId="6" fillId="8" borderId="0" xfId="0" applyFont="1" applyFill="1"/>
    <xf numFmtId="0" fontId="6" fillId="8" borderId="0" xfId="0" applyFont="1" applyFill="1" applyBorder="1"/>
    <xf numFmtId="43" fontId="9" fillId="0" borderId="0" xfId="0" applyNumberFormat="1" applyFont="1" applyFill="1" applyBorder="1"/>
    <xf numFmtId="164" fontId="9" fillId="0" borderId="0" xfId="1" applyNumberFormat="1" applyFont="1" applyFill="1" applyBorder="1"/>
    <xf numFmtId="0" fontId="5" fillId="0" borderId="7" xfId="0" applyFont="1" applyBorder="1"/>
    <xf numFmtId="164" fontId="5" fillId="0" borderId="7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67" fontId="9" fillId="0" borderId="0" xfId="0" applyNumberFormat="1" applyFont="1" applyFill="1" applyBorder="1"/>
    <xf numFmtId="164" fontId="9" fillId="0" borderId="0" xfId="0" applyNumberFormat="1" applyFont="1" applyFill="1" applyBorder="1"/>
    <xf numFmtId="164" fontId="5" fillId="0" borderId="0" xfId="1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 applyFill="1" applyBorder="1"/>
    <xf numFmtId="3" fontId="5" fillId="6" borderId="6" xfId="7" applyNumberFormat="1" applyFont="1" applyFill="1" applyBorder="1"/>
    <xf numFmtId="0" fontId="7" fillId="0" borderId="7" xfId="0" applyFont="1" applyFill="1" applyBorder="1" applyAlignment="1">
      <alignment horizontal="left"/>
    </xf>
    <xf numFmtId="0" fontId="6" fillId="3" borderId="0" xfId="0" applyFont="1" applyFill="1"/>
    <xf numFmtId="164" fontId="7" fillId="6" borderId="6" xfId="1" applyNumberFormat="1" applyFont="1" applyFill="1" applyBorder="1" applyAlignment="1"/>
    <xf numFmtId="164" fontId="5" fillId="0" borderId="6" xfId="1" applyNumberFormat="1" applyFont="1" applyFill="1" applyBorder="1" applyAlignment="1"/>
    <xf numFmtId="166" fontId="5" fillId="0" borderId="6" xfId="0" applyNumberFormat="1" applyFont="1" applyFill="1" applyBorder="1" applyAlignment="1"/>
    <xf numFmtId="167" fontId="5" fillId="0" borderId="6" xfId="1" applyNumberFormat="1" applyFont="1" applyFill="1" applyBorder="1" applyAlignment="1"/>
    <xf numFmtId="164" fontId="5" fillId="0" borderId="6" xfId="1" applyNumberFormat="1" applyFont="1" applyFill="1" applyBorder="1"/>
    <xf numFmtId="164" fontId="5" fillId="0" borderId="6" xfId="0" applyNumberFormat="1" applyFont="1" applyBorder="1"/>
    <xf numFmtId="164" fontId="5" fillId="0" borderId="6" xfId="1" applyNumberFormat="1" applyFont="1" applyBorder="1"/>
    <xf numFmtId="167" fontId="5" fillId="0" borderId="6" xfId="0" applyNumberFormat="1" applyFont="1" applyFill="1" applyBorder="1"/>
    <xf numFmtId="0" fontId="9" fillId="0" borderId="7" xfId="0" applyFont="1" applyBorder="1"/>
    <xf numFmtId="167" fontId="9" fillId="0" borderId="7" xfId="0" applyNumberFormat="1" applyFont="1" applyFill="1" applyBorder="1"/>
    <xf numFmtId="0" fontId="6" fillId="3" borderId="0" xfId="0" applyFont="1" applyFill="1" applyAlignment="1">
      <alignment horizontal="right"/>
    </xf>
    <xf numFmtId="167" fontId="5" fillId="0" borderId="8" xfId="0" applyNumberFormat="1" applyFont="1" applyFill="1" applyBorder="1"/>
    <xf numFmtId="0" fontId="6" fillId="3" borderId="7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right" vertical="center" wrapText="1"/>
    </xf>
    <xf numFmtId="164" fontId="5" fillId="0" borderId="8" xfId="1" applyNumberFormat="1" applyFont="1" applyFill="1" applyBorder="1"/>
    <xf numFmtId="164" fontId="5" fillId="0" borderId="8" xfId="0" applyNumberFormat="1" applyFont="1" applyBorder="1"/>
    <xf numFmtId="0" fontId="6" fillId="5" borderId="0" xfId="8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7" borderId="0" xfId="8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 wrapText="1"/>
    </xf>
    <xf numFmtId="2" fontId="6" fillId="9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/>
    <xf numFmtId="0" fontId="31" fillId="0" borderId="0" xfId="2" applyFont="1" applyAlignment="1">
      <alignment horizontal="left"/>
    </xf>
    <xf numFmtId="0" fontId="32" fillId="8" borderId="0" xfId="2" applyFont="1" applyFill="1" applyAlignment="1">
      <alignment horizontal="left"/>
    </xf>
    <xf numFmtId="0" fontId="33" fillId="0" borderId="0" xfId="11" applyFont="1" applyAlignment="1">
      <alignment horizontal="left"/>
    </xf>
    <xf numFmtId="0" fontId="32" fillId="3" borderId="0" xfId="12" applyFont="1" applyFill="1" applyBorder="1" applyAlignment="1">
      <alignment horizontal="left"/>
    </xf>
    <xf numFmtId="0" fontId="34" fillId="0" borderId="0" xfId="2" applyFont="1" applyAlignment="1"/>
    <xf numFmtId="0" fontId="35" fillId="0" borderId="0" xfId="2" applyFont="1" applyAlignment="1"/>
    <xf numFmtId="0" fontId="36" fillId="0" borderId="0" xfId="2" applyFont="1" applyAlignment="1"/>
    <xf numFmtId="0" fontId="31" fillId="0" borderId="0" xfId="2" applyFont="1" applyAlignment="1"/>
    <xf numFmtId="0" fontId="37" fillId="0" borderId="0" xfId="0" applyFont="1"/>
    <xf numFmtId="0" fontId="38" fillId="8" borderId="0" xfId="2" applyFont="1" applyFill="1" applyAlignment="1"/>
    <xf numFmtId="0" fontId="39" fillId="8" borderId="0" xfId="2" applyFont="1" applyFill="1" applyAlignment="1"/>
    <xf numFmtId="0" fontId="32" fillId="8" borderId="0" xfId="2" applyFont="1" applyFill="1" applyAlignment="1"/>
    <xf numFmtId="0" fontId="40" fillId="0" borderId="0" xfId="2" applyFont="1" applyAlignment="1"/>
    <xf numFmtId="0" fontId="41" fillId="0" borderId="0" xfId="2" applyFont="1" applyAlignment="1"/>
    <xf numFmtId="9" fontId="42" fillId="6" borderId="6" xfId="6" applyFont="1" applyFill="1" applyBorder="1" applyAlignment="1" applyProtection="1">
      <protection locked="0"/>
    </xf>
    <xf numFmtId="0" fontId="43" fillId="0" borderId="0" xfId="2" applyFont="1" applyAlignment="1"/>
    <xf numFmtId="0" fontId="42" fillId="6" borderId="11" xfId="2" applyFont="1" applyFill="1" applyBorder="1" applyAlignment="1"/>
    <xf numFmtId="171" fontId="42" fillId="6" borderId="11" xfId="6" applyNumberFormat="1" applyFont="1" applyFill="1" applyBorder="1" applyAlignment="1"/>
    <xf numFmtId="49" fontId="42" fillId="6" borderId="6" xfId="10" applyNumberFormat="1" applyFont="1" applyFill="1" applyBorder="1" applyAlignment="1" applyProtection="1">
      <alignment horizontal="center"/>
      <protection locked="0"/>
    </xf>
    <xf numFmtId="0" fontId="38" fillId="3" borderId="0" xfId="12" applyFont="1" applyFill="1" applyBorder="1" applyAlignment="1"/>
    <xf numFmtId="0" fontId="44" fillId="3" borderId="0" xfId="12" applyFont="1" applyFill="1" applyBorder="1" applyAlignment="1"/>
    <xf numFmtId="0" fontId="32" fillId="3" borderId="0" xfId="12" applyFont="1" applyFill="1" applyBorder="1" applyAlignment="1"/>
    <xf numFmtId="170" fontId="35" fillId="0" borderId="7" xfId="10" applyFont="1" applyBorder="1" applyAlignment="1">
      <alignment horizontal="right"/>
    </xf>
    <xf numFmtId="0" fontId="31" fillId="6" borderId="6" xfId="2" applyFont="1" applyFill="1" applyBorder="1" applyAlignment="1"/>
    <xf numFmtId="0" fontId="36" fillId="6" borderId="6" xfId="2" applyFont="1" applyFill="1" applyBorder="1" applyAlignment="1"/>
    <xf numFmtId="170" fontId="42" fillId="6" borderId="8" xfId="10" applyFont="1" applyFill="1" applyBorder="1" applyAlignment="1" applyProtection="1">
      <protection locked="0"/>
    </xf>
    <xf numFmtId="170" fontId="42" fillId="6" borderId="6" xfId="10" applyFont="1" applyFill="1" applyBorder="1" applyAlignment="1" applyProtection="1">
      <protection locked="0"/>
    </xf>
    <xf numFmtId="164" fontId="37" fillId="0" borderId="6" xfId="2" applyNumberFormat="1" applyFont="1" applyFill="1" applyBorder="1" applyAlignment="1"/>
    <xf numFmtId="0" fontId="31" fillId="0" borderId="7" xfId="2" applyFont="1" applyBorder="1" applyAlignment="1"/>
    <xf numFmtId="0" fontId="36" fillId="0" borderId="7" xfId="2" applyFont="1" applyBorder="1" applyAlignment="1"/>
    <xf numFmtId="0" fontId="31" fillId="0" borderId="7" xfId="2" applyFont="1" applyBorder="1" applyAlignment="1">
      <alignment horizontal="left"/>
    </xf>
    <xf numFmtId="3" fontId="37" fillId="0" borderId="10" xfId="2" applyNumberFormat="1" applyFont="1" applyFill="1" applyBorder="1" applyAlignment="1"/>
    <xf numFmtId="164" fontId="37" fillId="0" borderId="6" xfId="3" applyNumberFormat="1" applyFont="1" applyFill="1" applyBorder="1" applyAlignment="1"/>
    <xf numFmtId="3" fontId="37" fillId="0" borderId="9" xfId="2" applyNumberFormat="1" applyFont="1" applyFill="1" applyBorder="1" applyAlignment="1"/>
    <xf numFmtId="3" fontId="45" fillId="0" borderId="0" xfId="2" applyNumberFormat="1" applyFont="1" applyFill="1" applyBorder="1" applyAlignment="1"/>
    <xf numFmtId="164" fontId="37" fillId="0" borderId="6" xfId="2" applyNumberFormat="1" applyFont="1" applyFill="1" applyBorder="1"/>
    <xf numFmtId="164" fontId="37" fillId="10" borderId="6" xfId="2" applyNumberFormat="1" applyFont="1" applyFill="1" applyBorder="1"/>
    <xf numFmtId="167" fontId="37" fillId="0" borderId="6" xfId="1" applyNumberFormat="1" applyFont="1" applyFill="1" applyBorder="1" applyAlignment="1"/>
    <xf numFmtId="0" fontId="46" fillId="0" borderId="0" xfId="2" applyFont="1" applyAlignment="1"/>
    <xf numFmtId="0" fontId="35" fillId="0" borderId="0" xfId="2" applyFont="1" applyAlignment="1">
      <alignment horizontal="left"/>
    </xf>
    <xf numFmtId="167" fontId="45" fillId="0" borderId="0" xfId="1" applyNumberFormat="1" applyFont="1" applyFill="1" applyBorder="1" applyAlignment="1"/>
    <xf numFmtId="164" fontId="37" fillId="0" borderId="6" xfId="1" applyNumberFormat="1" applyFont="1" applyFill="1" applyBorder="1"/>
    <xf numFmtId="9" fontId="42" fillId="10" borderId="6" xfId="6" applyFont="1" applyFill="1" applyBorder="1" applyAlignment="1" applyProtection="1">
      <protection locked="0"/>
    </xf>
    <xf numFmtId="0" fontId="42" fillId="10" borderId="11" xfId="2" applyFont="1" applyFill="1" applyBorder="1" applyAlignment="1"/>
    <xf numFmtId="171" fontId="42" fillId="10" borderId="11" xfId="6" applyNumberFormat="1" applyFont="1" applyFill="1" applyBorder="1" applyAlignment="1"/>
    <xf numFmtId="164" fontId="42" fillId="10" borderId="11" xfId="1" applyNumberFormat="1" applyFont="1" applyFill="1" applyBorder="1" applyAlignment="1"/>
    <xf numFmtId="164" fontId="7" fillId="6" borderId="8" xfId="1" applyNumberFormat="1" applyFont="1" applyFill="1" applyBorder="1" applyAlignment="1"/>
    <xf numFmtId="0" fontId="6" fillId="3" borderId="7" xfId="0" applyFont="1" applyFill="1" applyBorder="1"/>
    <xf numFmtId="170" fontId="42" fillId="10" borderId="8" xfId="10" applyFont="1" applyFill="1" applyBorder="1" applyAlignment="1" applyProtection="1">
      <protection locked="0"/>
    </xf>
    <xf numFmtId="170" fontId="42" fillId="10" borderId="6" xfId="10" applyFont="1" applyFill="1" applyBorder="1" applyAlignment="1" applyProtection="1">
      <protection locked="0"/>
    </xf>
    <xf numFmtId="164" fontId="5" fillId="0" borderId="6" xfId="0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7" fillId="6" borderId="6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15" fontId="5" fillId="6" borderId="6" xfId="0" applyNumberFormat="1" applyFont="1" applyFill="1" applyBorder="1" applyAlignment="1">
      <alignment horizontal="center"/>
    </xf>
    <xf numFmtId="167" fontId="5" fillId="6" borderId="6" xfId="1" applyNumberFormat="1" applyFont="1" applyFill="1" applyBorder="1" applyAlignment="1">
      <alignment horizontal="center"/>
    </xf>
    <xf numFmtId="167" fontId="9" fillId="0" borderId="0" xfId="1" applyNumberFormat="1" applyFont="1" applyBorder="1" applyAlignment="1">
      <alignment horizontal="center"/>
    </xf>
    <xf numFmtId="164" fontId="5" fillId="6" borderId="6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7" fontId="5" fillId="0" borderId="0" xfId="1" applyNumberFormat="1" applyFont="1" applyFill="1" applyBorder="1" applyAlignment="1">
      <alignment horizontal="center"/>
    </xf>
    <xf numFmtId="167" fontId="5" fillId="0" borderId="7" xfId="1" applyNumberFormat="1" applyFont="1" applyFill="1" applyBorder="1" applyAlignment="1">
      <alignment horizontal="center"/>
    </xf>
    <xf numFmtId="0" fontId="7" fillId="0" borderId="7" xfId="0" applyFont="1" applyBorder="1"/>
    <xf numFmtId="43" fontId="6" fillId="3" borderId="7" xfId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vertical="center"/>
    </xf>
    <xf numFmtId="0" fontId="10" fillId="3" borderId="0" xfId="0" applyFont="1" applyFill="1" applyAlignment="1">
      <alignment horizontal="right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10" fillId="3" borderId="0" xfId="0" applyFont="1" applyFill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9" borderId="0" xfId="0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43" fontId="6" fillId="3" borderId="0" xfId="1" applyFont="1" applyFill="1" applyBorder="1" applyAlignment="1">
      <alignment horizontal="center" vertical="center"/>
    </xf>
    <xf numFmtId="0" fontId="38" fillId="3" borderId="0" xfId="2" applyFont="1" applyFill="1" applyBorder="1" applyAlignment="1">
      <alignment horizontal="left"/>
    </xf>
    <xf numFmtId="0" fontId="38" fillId="5" borderId="0" xfId="2" applyFont="1" applyFill="1" applyBorder="1" applyAlignment="1">
      <alignment horizontal="left"/>
    </xf>
  </cellXfs>
  <cellStyles count="105">
    <cellStyle name="Accent1 - 20%" xfId="13"/>
    <cellStyle name="Accent1 - 40%" xfId="14"/>
    <cellStyle name="Accent1 - 60%" xfId="15"/>
    <cellStyle name="Accent2 - 20%" xfId="16"/>
    <cellStyle name="Accent2 - 40%" xfId="17"/>
    <cellStyle name="Accent2 - 60%" xfId="18"/>
    <cellStyle name="Accent3 - 20%" xfId="19"/>
    <cellStyle name="Accent3 - 40%" xfId="20"/>
    <cellStyle name="Accent3 - 60%" xfId="21"/>
    <cellStyle name="Accent4 - 20%" xfId="22"/>
    <cellStyle name="Accent4 - 40%" xfId="23"/>
    <cellStyle name="Accent4 - 60%" xfId="24"/>
    <cellStyle name="Accent5 - 20%" xfId="25"/>
    <cellStyle name="Accent5 - 40%" xfId="26"/>
    <cellStyle name="Accent5 - 60%" xfId="27"/>
    <cellStyle name="Accent6 - 20%" xfId="28"/>
    <cellStyle name="Accent6 - 40%" xfId="29"/>
    <cellStyle name="Accent6 - 60%" xfId="30"/>
    <cellStyle name="Comma" xfId="1" builtinId="3"/>
    <cellStyle name="Comma 2" xfId="3"/>
    <cellStyle name="Currency" xfId="7" builtinId="4"/>
    <cellStyle name="Currency 2" xfId="5"/>
    <cellStyle name="Currency 3" xfId="4"/>
    <cellStyle name="dms_BY1" xfId="9"/>
    <cellStyle name="Emphasis 1" xfId="31"/>
    <cellStyle name="Emphasis 2" xfId="32"/>
    <cellStyle name="Emphasis 3" xfId="33"/>
    <cellStyle name="Euro" xfId="34"/>
    <cellStyle name="Input2" xfId="35"/>
    <cellStyle name="K_Banner" xfId="36"/>
    <cellStyle name="K_BannerBold" xfId="37"/>
    <cellStyle name="K_BannerGrp1" xfId="12"/>
    <cellStyle name="K_BannerGrp1_TEA model_v7.4" xfId="38"/>
    <cellStyle name="K_BannerGrp2" xfId="39"/>
    <cellStyle name="K_Bps" xfId="40"/>
    <cellStyle name="K_Bps 2" xfId="41"/>
    <cellStyle name="K_Check" xfId="42"/>
    <cellStyle name="K_Date" xfId="43"/>
    <cellStyle name="K_Date 2" xfId="44"/>
    <cellStyle name="K_DateShort" xfId="45"/>
    <cellStyle name="K_DateShort 2" xfId="46"/>
    <cellStyle name="K_Days" xfId="47"/>
    <cellStyle name="K_Days 2" xfId="48"/>
    <cellStyle name="K_Millions" xfId="49"/>
    <cellStyle name="K_Months" xfId="50"/>
    <cellStyle name="K_Months 2" xfId="51"/>
    <cellStyle name="K_Multiple" xfId="52"/>
    <cellStyle name="K_Multiple 2" xfId="53"/>
    <cellStyle name="K_Number" xfId="54"/>
    <cellStyle name="K_Number 2" xfId="10"/>
    <cellStyle name="K_Perc" xfId="55"/>
    <cellStyle name="K_Perc 2" xfId="56"/>
    <cellStyle name="K_Thousands" xfId="57"/>
    <cellStyle name="K_UnitDesignator" xfId="11"/>
    <cellStyle name="K_Years" xfId="58"/>
    <cellStyle name="K_Years 2" xfId="59"/>
    <cellStyle name="Normal" xfId="0" builtinId="0"/>
    <cellStyle name="Normal 2" xfId="2"/>
    <cellStyle name="Normal 2 2" xfId="60"/>
    <cellStyle name="Normal 5" xfId="61"/>
    <cellStyle name="Normal 5 2" xfId="62"/>
    <cellStyle name="Normal_Sheet1" xfId="8"/>
    <cellStyle name="Percent 2" xfId="6"/>
    <cellStyle name="SAPBEXaggData" xfId="63"/>
    <cellStyle name="SAPBEXaggDataEmph" xfId="64"/>
    <cellStyle name="SAPBEXaggItem" xfId="65"/>
    <cellStyle name="SAPBEXaggItemX" xfId="66"/>
    <cellStyle name="SAPBEXchaText" xfId="67"/>
    <cellStyle name="SAPBEXexcBad7" xfId="68"/>
    <cellStyle name="SAPBEXexcBad8" xfId="69"/>
    <cellStyle name="SAPBEXexcBad9" xfId="70"/>
    <cellStyle name="SAPBEXexcCritical4" xfId="71"/>
    <cellStyle name="SAPBEXexcCritical5" xfId="72"/>
    <cellStyle name="SAPBEXexcCritical6" xfId="73"/>
    <cellStyle name="SAPBEXexcGood1" xfId="74"/>
    <cellStyle name="SAPBEXexcGood2" xfId="75"/>
    <cellStyle name="SAPBEXexcGood3" xfId="76"/>
    <cellStyle name="SAPBEXfilterDrill" xfId="77"/>
    <cellStyle name="SAPBEXfilterItem" xfId="78"/>
    <cellStyle name="SAPBEXfilterText" xfId="79"/>
    <cellStyle name="SAPBEXformats" xfId="80"/>
    <cellStyle name="SAPBEXheaderItem" xfId="81"/>
    <cellStyle name="SAPBEXheaderText" xfId="82"/>
    <cellStyle name="SAPBEXHLevel0" xfId="83"/>
    <cellStyle name="SAPBEXHLevel0X" xfId="84"/>
    <cellStyle name="SAPBEXHLevel1" xfId="85"/>
    <cellStyle name="SAPBEXHLevel1X" xfId="86"/>
    <cellStyle name="SAPBEXHLevel2" xfId="87"/>
    <cellStyle name="SAPBEXHLevel2X" xfId="88"/>
    <cellStyle name="SAPBEXHLevel3" xfId="89"/>
    <cellStyle name="SAPBEXHLevel3X" xfId="90"/>
    <cellStyle name="SAPBEXinputData" xfId="91"/>
    <cellStyle name="SAPBEXItemHeader" xfId="92"/>
    <cellStyle name="SAPBEXresData" xfId="93"/>
    <cellStyle name="SAPBEXresDataEmph" xfId="94"/>
    <cellStyle name="SAPBEXresItem" xfId="95"/>
    <cellStyle name="SAPBEXresItemX" xfId="96"/>
    <cellStyle name="SAPBEXstdData" xfId="97"/>
    <cellStyle name="SAPBEXstdDataEmph" xfId="98"/>
    <cellStyle name="SAPBEXstdItem" xfId="99"/>
    <cellStyle name="SAPBEXstdItemX" xfId="100"/>
    <cellStyle name="SAPBEXtitle" xfId="101"/>
    <cellStyle name="SAPBEXunassignedItem" xfId="102"/>
    <cellStyle name="SAPBEXundefined" xfId="103"/>
    <cellStyle name="Sheet Title" xfId="104"/>
  </cellStyles>
  <dxfs count="0"/>
  <tableStyles count="0" defaultTableStyle="TableStyleMedium2" defaultPivotStyle="PivotStyleLight16"/>
  <colors>
    <mruColors>
      <color rgb="FF9CFEA5"/>
      <color rgb="FFFFFFCC"/>
      <color rgb="FFFF00FF"/>
      <color rgb="FF00FF00"/>
      <color rgb="FF76F8FE"/>
      <color rgb="FF66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KT/INTER-DEPT/DEPT/CMA/2010/01-Jan/Mgmt%20Report/Productivity%20&amp;%20Efficiency%20index-J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ummary"/>
      <sheetName val="Newco pl-act"/>
      <sheetName val="newco pl-bud"/>
      <sheetName val="PAL-cust no-Bud"/>
      <sheetName val="CP-cust no-bud"/>
      <sheetName val="FCAST&amp;BUD 09"/>
      <sheetName val="E-mail from Andrew-CP"/>
      <sheetName val="e-mail from Joe-P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63"/>
  <sheetViews>
    <sheetView showGridLines="0" tabSelected="1" zoomScaleNormal="100" workbookViewId="0">
      <selection activeCell="B44" sqref="B44"/>
    </sheetView>
  </sheetViews>
  <sheetFormatPr defaultColWidth="0" defaultRowHeight="10.5" zeroHeight="1" x14ac:dyDescent="0.15"/>
  <cols>
    <col min="1" max="1" width="3" style="1" customWidth="1"/>
    <col min="2" max="2" width="19.375" style="19" customWidth="1"/>
    <col min="3" max="3" width="28.25" style="1" customWidth="1"/>
    <col min="4" max="4" width="18.375" style="1" bestFit="1" customWidth="1"/>
    <col min="5" max="5" width="14.875" style="1" customWidth="1"/>
    <col min="6" max="6" width="12.875" style="1" customWidth="1"/>
    <col min="7" max="7" width="11.75" style="1" customWidth="1"/>
    <col min="8" max="8" width="9" style="1" customWidth="1"/>
    <col min="9" max="9" width="2.75" style="1" customWidth="1"/>
    <col min="10" max="16384" width="9" style="1" hidden="1"/>
  </cols>
  <sheetData>
    <row r="1" spans="1:16" ht="9.9499999999999993" x14ac:dyDescent="0.2"/>
    <row r="2" spans="1:16" ht="9.9499999999999993" x14ac:dyDescent="0.2">
      <c r="A2" s="46" t="s">
        <v>182</v>
      </c>
      <c r="B2" s="46"/>
      <c r="C2" s="47"/>
      <c r="D2" s="47"/>
      <c r="E2" s="47"/>
      <c r="F2" s="47"/>
      <c r="G2" s="47"/>
      <c r="H2" s="46"/>
      <c r="I2" s="46"/>
      <c r="J2" s="46"/>
      <c r="K2" s="46"/>
      <c r="L2" s="46"/>
      <c r="M2" s="46"/>
      <c r="N2" s="46"/>
      <c r="O2" s="46"/>
      <c r="P2" s="46"/>
    </row>
    <row r="3" spans="1:16" ht="9.9499999999999993" x14ac:dyDescent="0.2"/>
    <row r="4" spans="1:16" x14ac:dyDescent="0.15">
      <c r="B4" s="167" t="s">
        <v>190</v>
      </c>
      <c r="C4" s="161" t="s">
        <v>107</v>
      </c>
      <c r="D4" s="161" t="s">
        <v>108</v>
      </c>
    </row>
    <row r="5" spans="1:16" ht="11.25" thickBot="1" x14ac:dyDescent="0.2">
      <c r="B5" s="168"/>
      <c r="C5" s="162" t="s">
        <v>109</v>
      </c>
      <c r="D5" s="162" t="s">
        <v>110</v>
      </c>
    </row>
    <row r="6" spans="1:16" thickBot="1" x14ac:dyDescent="0.25">
      <c r="B6" s="20" t="s">
        <v>111</v>
      </c>
      <c r="C6" s="30">
        <f>E23</f>
        <v>3.1283680051713363</v>
      </c>
      <c r="D6" s="31">
        <f>E31</f>
        <v>20.663776408175206</v>
      </c>
    </row>
    <row r="7" spans="1:16" ht="9.9499999999999993" x14ac:dyDescent="0.2"/>
    <row r="8" spans="1:16" ht="9.9499999999999993" x14ac:dyDescent="0.2"/>
    <row r="9" spans="1:16" ht="18.600000000000001" customHeight="1" thickBot="1" x14ac:dyDescent="0.25">
      <c r="B9" s="21" t="s">
        <v>112</v>
      </c>
      <c r="C9" s="160" t="s">
        <v>113</v>
      </c>
      <c r="D9" s="162" t="s">
        <v>192</v>
      </c>
    </row>
    <row r="10" spans="1:16" ht="20.45" thickBot="1" x14ac:dyDescent="0.25">
      <c r="B10" s="22">
        <v>0</v>
      </c>
      <c r="C10" s="165" t="s">
        <v>114</v>
      </c>
      <c r="D10" s="32">
        <f>'2021-2026 Unserved Energy'!H61</f>
        <v>94.720708462696905</v>
      </c>
    </row>
    <row r="11" spans="1:16" ht="20.45" thickBot="1" x14ac:dyDescent="0.25">
      <c r="B11" s="23">
        <v>1</v>
      </c>
      <c r="C11" s="166" t="s">
        <v>115</v>
      </c>
      <c r="D11" s="33">
        <f>'2021-2026 Unserved Energy'!H62</f>
        <v>50.430386840798434</v>
      </c>
    </row>
    <row r="12" spans="1:16" ht="9.9499999999999993" x14ac:dyDescent="0.2"/>
    <row r="13" spans="1:16" ht="9.9499999999999993" x14ac:dyDescent="0.2"/>
    <row r="14" spans="1:16" ht="27.75" customHeight="1" thickBot="1" x14ac:dyDescent="0.25">
      <c r="B14" s="159" t="s">
        <v>116</v>
      </c>
      <c r="C14" s="162" t="s">
        <v>185</v>
      </c>
      <c r="D14" s="162" t="s">
        <v>193</v>
      </c>
      <c r="E14" s="162" t="s">
        <v>194</v>
      </c>
    </row>
    <row r="15" spans="1:16" thickBot="1" x14ac:dyDescent="0.25">
      <c r="B15" s="24" t="s">
        <v>66</v>
      </c>
      <c r="C15" s="34">
        <f>COUNTIF('2021-2026 Unserved Energy'!D$69:D$106,B15)</f>
        <v>8</v>
      </c>
      <c r="D15" s="35">
        <f>SUMIF('2021-2026 Unserved Energy'!D$69:D$106,B15,'2021-2026 Unserved Energy'!M$69:M$106)</f>
        <v>15.419332054439877</v>
      </c>
      <c r="E15" s="36">
        <f>D15*'2021-2026 Unserved Energy'!C$7/1000000</f>
        <v>0.68899654646379016</v>
      </c>
    </row>
    <row r="16" spans="1:16" thickBot="1" x14ac:dyDescent="0.25">
      <c r="B16" s="24" t="s">
        <v>31</v>
      </c>
      <c r="C16" s="34">
        <f>COUNTIF('2021-2026 Unserved Energy'!D$69:D$106,B16)</f>
        <v>7</v>
      </c>
      <c r="D16" s="35">
        <f>SUMIF('2021-2026 Unserved Energy'!D$69:D$106,B16,'2021-2026 Unserved Energy'!M$69:M$106)</f>
        <v>14.939534463226018</v>
      </c>
      <c r="E16" s="36">
        <f>D16*'2021-2026 Unserved Energy'!C$7/1000000</f>
        <v>0.66755729850020484</v>
      </c>
    </row>
    <row r="17" spans="2:7" thickBot="1" x14ac:dyDescent="0.25">
      <c r="B17" s="24" t="s">
        <v>72</v>
      </c>
      <c r="C17" s="34">
        <f>COUNTIF('2021-2026 Unserved Energy'!D$69:D$106,B17)</f>
        <v>2</v>
      </c>
      <c r="D17" s="35">
        <f>SUMIF('2021-2026 Unserved Energy'!D$69:D$106,B17,'2021-2026 Unserved Energy'!M$69:M$106)</f>
        <v>2.4746397725764169</v>
      </c>
      <c r="E17" s="36">
        <f>D17*'2021-2026 Unserved Energy'!C$7/1000000</f>
        <v>0.11057666123456647</v>
      </c>
    </row>
    <row r="18" spans="2:7" thickBot="1" x14ac:dyDescent="0.25">
      <c r="B18" s="24" t="s">
        <v>57</v>
      </c>
      <c r="C18" s="34">
        <f>COUNTIF('2021-2026 Unserved Energy'!D$69:D$106,B18)</f>
        <v>4</v>
      </c>
      <c r="D18" s="35">
        <f>SUMIF('2021-2026 Unserved Energy'!D$69:D$106,B18,'2021-2026 Unserved Energy'!M$69:M$106)</f>
        <v>16.170818535099205</v>
      </c>
      <c r="E18" s="36">
        <f>D18*'2021-2026 Unserved Energy'!C$7/1000000</f>
        <v>0.72257592513340085</v>
      </c>
    </row>
    <row r="19" spans="2:7" thickBot="1" x14ac:dyDescent="0.25">
      <c r="B19" s="24" t="s">
        <v>46</v>
      </c>
      <c r="C19" s="34">
        <f>COUNTIF('2021-2026 Unserved Energy'!D$69:D$106,B19)</f>
        <v>3</v>
      </c>
      <c r="D19" s="35">
        <f>SUMIF('2021-2026 Unserved Energy'!D$69:D$106,B19,'2021-2026 Unserved Energy'!M$69:M$106)</f>
        <v>5.3751189416876128</v>
      </c>
      <c r="E19" s="36">
        <f>D19*'2021-2026 Unserved Energy'!C$7/1000000</f>
        <v>0.24018150556583229</v>
      </c>
    </row>
    <row r="20" spans="2:7" thickBot="1" x14ac:dyDescent="0.25">
      <c r="B20" s="24" t="s">
        <v>41</v>
      </c>
      <c r="C20" s="34">
        <f>COUNTIF('2021-2026 Unserved Energy'!D$69:D$106,B20)</f>
        <v>2</v>
      </c>
      <c r="D20" s="35">
        <f>SUMIF('2021-2026 Unserved Energy'!D$69:D$106,B20,'2021-2026 Unserved Energy'!M$69:M$106)</f>
        <v>8.4157570042167436</v>
      </c>
      <c r="E20" s="36">
        <f>D20*'2021-2026 Unserved Energy'!C$7/1000000</f>
        <v>0.37604920182740187</v>
      </c>
    </row>
    <row r="21" spans="2:7" thickBot="1" x14ac:dyDescent="0.25">
      <c r="B21" s="24" t="s">
        <v>35</v>
      </c>
      <c r="C21" s="34">
        <f>COUNTIF('2021-2026 Unserved Energy'!D$69:D$106,B21)</f>
        <v>4</v>
      </c>
      <c r="D21" s="35">
        <f>SUMIF('2021-2026 Unserved Energy'!D$69:D$106,B21,'2021-2026 Unserved Energy'!M$69:M$106)</f>
        <v>2.9841640256441515</v>
      </c>
      <c r="E21" s="36">
        <f>D21*'2021-2026 Unserved Energy'!C$7/1000000</f>
        <v>0.13334421364628887</v>
      </c>
    </row>
    <row r="22" spans="2:7" thickBot="1" x14ac:dyDescent="0.25">
      <c r="B22" s="24" t="s">
        <v>38</v>
      </c>
      <c r="C22" s="34">
        <f>COUNTIF('2021-2026 Unserved Energy'!D$69:D$106,B22)</f>
        <v>8</v>
      </c>
      <c r="D22" s="35">
        <f>SUMIF('2021-2026 Unserved Energy'!D$69:D$106,B22,'2021-2026 Unserved Energy'!M$69:M$106)</f>
        <v>4.2316465903167026</v>
      </c>
      <c r="E22" s="36">
        <f>D22*'2021-2026 Unserved Energy'!C$7/1000000</f>
        <v>0.18908665279985065</v>
      </c>
    </row>
    <row r="23" spans="2:7" thickBot="1" x14ac:dyDescent="0.25">
      <c r="B23" s="25" t="s">
        <v>8</v>
      </c>
      <c r="C23" s="37">
        <f>SUM(C15:C22)</f>
        <v>38</v>
      </c>
      <c r="D23" s="38">
        <f>SUM(D15:D22)</f>
        <v>70.011011387206722</v>
      </c>
      <c r="E23" s="39">
        <f>SUM(E15:E22)</f>
        <v>3.1283680051713363</v>
      </c>
    </row>
    <row r="24" spans="2:7" ht="9.9499999999999993" x14ac:dyDescent="0.2"/>
    <row r="25" spans="2:7" ht="9.9499999999999993" x14ac:dyDescent="0.2"/>
    <row r="26" spans="2:7" ht="52.5" x14ac:dyDescent="0.15">
      <c r="B26" s="169" t="s">
        <v>117</v>
      </c>
      <c r="C26" s="161" t="s">
        <v>187</v>
      </c>
      <c r="D26" s="163" t="s">
        <v>188</v>
      </c>
      <c r="E26" s="161" t="s">
        <v>186</v>
      </c>
      <c r="F26" s="161" t="s">
        <v>189</v>
      </c>
      <c r="G26" s="161" t="s">
        <v>123</v>
      </c>
    </row>
    <row r="27" spans="2:7" ht="15.75" customHeight="1" thickBot="1" x14ac:dyDescent="0.2">
      <c r="B27" s="170"/>
      <c r="C27" s="164" t="s">
        <v>118</v>
      </c>
      <c r="D27" s="164" t="s">
        <v>119</v>
      </c>
      <c r="E27" s="162" t="s">
        <v>184</v>
      </c>
      <c r="F27" s="162" t="s">
        <v>184</v>
      </c>
      <c r="G27" s="162" t="s">
        <v>184</v>
      </c>
    </row>
    <row r="28" spans="2:7" thickBot="1" x14ac:dyDescent="0.25">
      <c r="B28" s="26" t="s">
        <v>120</v>
      </c>
      <c r="C28" s="40">
        <f>'2021-2026 Unserved Energy'!E43-'2021-2026 Unserved Energy'!C43</f>
        <v>6931889.0670451261</v>
      </c>
      <c r="D28" s="41">
        <f>'2021-2026 Unserved Energy'!F43-'2021-2026 Unserved Energy'!D43</f>
        <v>152.97799999999995</v>
      </c>
      <c r="E28" s="41">
        <f>'2021-2026 Unserved Energy'!C55</f>
        <v>6.835660151348006</v>
      </c>
      <c r="F28" s="35">
        <f>'2021-2026 Unserved Energy'!D55</f>
        <v>3.9992128511658325</v>
      </c>
      <c r="G28" s="35">
        <f>E28-F28</f>
        <v>2.8364473001821735</v>
      </c>
    </row>
    <row r="29" spans="2:7" thickBot="1" x14ac:dyDescent="0.25">
      <c r="B29" s="26" t="s">
        <v>121</v>
      </c>
      <c r="C29" s="40">
        <f>'2021-2026 Unserved Energy'!E44-'2021-2026 Unserved Energy'!C44</f>
        <v>9663185.4342849106</v>
      </c>
      <c r="D29" s="41">
        <f>'2021-2026 Unserved Energy'!F44-'2021-2026 Unserved Energy'!D44</f>
        <v>213.25400000000002</v>
      </c>
      <c r="E29" s="41">
        <f>'2021-2026 Unserved Energy'!C56</f>
        <v>9.5290294677376366</v>
      </c>
      <c r="F29" s="35">
        <f>'2021-2026 Unserved Energy'!D56</f>
        <v>4.3797413052499454</v>
      </c>
      <c r="G29" s="35">
        <f>E29-F29</f>
        <v>5.1492881624876912</v>
      </c>
    </row>
    <row r="30" spans="2:7" thickBot="1" x14ac:dyDescent="0.25">
      <c r="B30" s="26" t="s">
        <v>122</v>
      </c>
      <c r="C30" s="40">
        <f>'2021-2026 Unserved Energy'!E45-'2021-2026 Unserved Energy'!C45</f>
        <v>4359623.8105074633</v>
      </c>
      <c r="D30" s="41">
        <f>'2021-2026 Unserved Energy'!F45-'2021-2026 Unserved Energy'!D45</f>
        <v>96.211000000000013</v>
      </c>
      <c r="E30" s="41">
        <f>'2021-2026 Unserved Energy'!C57</f>
        <v>4.2990867890895634</v>
      </c>
      <c r="F30" s="35">
        <f>'2021-2026 Unserved Energy'!D57</f>
        <v>2.8452053529065156</v>
      </c>
      <c r="G30" s="35">
        <f>E30-F30</f>
        <v>1.4538814361830479</v>
      </c>
    </row>
    <row r="31" spans="2:7" thickBot="1" x14ac:dyDescent="0.25">
      <c r="B31" s="27" t="s">
        <v>8</v>
      </c>
      <c r="C31" s="42">
        <f>SUM(C28:C30)</f>
        <v>20954698.311837502</v>
      </c>
      <c r="D31" s="43">
        <f t="shared" ref="D31:E31" si="0">SUM(D28:D30)</f>
        <v>462.44299999999998</v>
      </c>
      <c r="E31" s="43">
        <f t="shared" si="0"/>
        <v>20.663776408175206</v>
      </c>
      <c r="F31" s="44">
        <f>'2021-2026 Unserved Energy'!D58</f>
        <v>11.224159509322295</v>
      </c>
      <c r="G31" s="44">
        <f>E31-F31</f>
        <v>9.4396168988529112</v>
      </c>
    </row>
    <row r="32" spans="2:7" ht="9.9499999999999993" x14ac:dyDescent="0.2"/>
    <row r="33" spans="1:16" ht="9.9499999999999993" x14ac:dyDescent="0.2"/>
    <row r="34" spans="1:16" ht="21" x14ac:dyDescent="0.15">
      <c r="B34" s="167"/>
      <c r="C34" s="161" t="s">
        <v>191</v>
      </c>
      <c r="D34" s="161" t="s">
        <v>191</v>
      </c>
    </row>
    <row r="35" spans="1:16" ht="11.25" thickBot="1" x14ac:dyDescent="0.2">
      <c r="B35" s="168"/>
      <c r="C35" s="162" t="s">
        <v>124</v>
      </c>
      <c r="D35" s="162" t="s">
        <v>125</v>
      </c>
    </row>
    <row r="36" spans="1:16" thickBot="1" x14ac:dyDescent="0.25">
      <c r="B36" s="24" t="s">
        <v>98</v>
      </c>
      <c r="C36" s="35">
        <f>'2021-2026 Unserved Energy'!E55*5</f>
        <v>14.182236500910868</v>
      </c>
      <c r="D36" s="35">
        <f>'2021-2026 Unserved Energy'!E55*5</f>
        <v>14.182236500910868</v>
      </c>
    </row>
    <row r="37" spans="1:16" ht="11.25" thickBot="1" x14ac:dyDescent="0.2">
      <c r="B37" s="24" t="s">
        <v>99</v>
      </c>
      <c r="C37" s="35">
        <f>'2021-2026 Unserved Energy'!E56*5</f>
        <v>25.746440812438461</v>
      </c>
      <c r="D37" s="35">
        <f>'2021-2026 Unserved Energy'!E56*5</f>
        <v>25.746440812438461</v>
      </c>
    </row>
    <row r="38" spans="1:16" ht="11.25" thickBot="1" x14ac:dyDescent="0.2">
      <c r="B38" s="24" t="s">
        <v>18</v>
      </c>
      <c r="C38" s="35">
        <f>'2021-2026 Unserved Energy'!E57*3</f>
        <v>4.3616443085491436</v>
      </c>
      <c r="D38" s="35">
        <f>'2021-2026 Unserved Energy'!E57*5</f>
        <v>7.2694071809152394</v>
      </c>
    </row>
    <row r="39" spans="1:16" ht="11.25" thickBot="1" x14ac:dyDescent="0.2">
      <c r="B39" s="28" t="s">
        <v>8</v>
      </c>
      <c r="C39" s="44">
        <f>SUM(C36:C38)</f>
        <v>44.290321621898471</v>
      </c>
      <c r="D39" s="44">
        <f>SUM(D36:D38)</f>
        <v>47.198084494264563</v>
      </c>
    </row>
    <row r="40" spans="1:16" x14ac:dyDescent="0.15"/>
    <row r="41" spans="1:16" x14ac:dyDescent="0.15"/>
    <row r="42" spans="1:16" x14ac:dyDescent="0.15"/>
    <row r="43" spans="1:16" ht="11.25" thickBot="1" x14ac:dyDescent="0.2">
      <c r="B43" s="21" t="s">
        <v>190</v>
      </c>
      <c r="C43" s="164" t="s">
        <v>100</v>
      </c>
      <c r="D43" s="164" t="s">
        <v>101</v>
      </c>
      <c r="E43" s="164" t="s">
        <v>102</v>
      </c>
      <c r="F43" s="164" t="s">
        <v>103</v>
      </c>
      <c r="G43" s="164" t="s">
        <v>104</v>
      </c>
      <c r="H43" s="164" t="s">
        <v>124</v>
      </c>
    </row>
    <row r="44" spans="1:16" ht="11.25" thickBot="1" x14ac:dyDescent="0.2">
      <c r="B44" s="29" t="s">
        <v>126</v>
      </c>
      <c r="C44" s="45">
        <f>'2021-2026 Unserved Energy'!C63</f>
        <v>7.9857354626698633</v>
      </c>
      <c r="D44" s="45">
        <f>'2021-2026 Unserved Energy'!D63</f>
        <v>7.9857354626698633</v>
      </c>
      <c r="E44" s="45">
        <f>'2021-2026 Unserved Energy'!E63</f>
        <v>9.4396168988529112</v>
      </c>
      <c r="F44" s="45">
        <f>'2021-2026 Unserved Energy'!F63</f>
        <v>9.4396168988529112</v>
      </c>
      <c r="G44" s="45">
        <f>'2021-2026 Unserved Energy'!G63</f>
        <v>9.4396168988529112</v>
      </c>
      <c r="H44" s="45">
        <f>'2021-2026 Unserved Energy'!H63</f>
        <v>44.290321621898471</v>
      </c>
    </row>
    <row r="45" spans="1:16" x14ac:dyDescent="0.15"/>
    <row r="46" spans="1:16" x14ac:dyDescent="0.15">
      <c r="A46" s="46" t="s">
        <v>144</v>
      </c>
      <c r="B46" s="46"/>
      <c r="C46" s="47"/>
      <c r="D46" s="47"/>
      <c r="E46" s="47"/>
      <c r="F46" s="47"/>
      <c r="G46" s="47"/>
      <c r="H46" s="46"/>
      <c r="I46" s="46"/>
      <c r="J46" s="46"/>
      <c r="K46" s="46"/>
      <c r="L46" s="46"/>
      <c r="M46" s="46"/>
      <c r="N46" s="46"/>
      <c r="O46" s="46"/>
      <c r="P46" s="46"/>
    </row>
    <row r="47" spans="1:16" x14ac:dyDescent="0.15"/>
    <row r="48" spans="1:16" ht="9.9499999999999993" hidden="1" x14ac:dyDescent="0.2"/>
    <row r="49" ht="9.9499999999999993" hidden="1" x14ac:dyDescent="0.2"/>
    <row r="50" ht="9.9499999999999993" hidden="1" x14ac:dyDescent="0.2"/>
    <row r="51" ht="9.9499999999999993" hidden="1" x14ac:dyDescent="0.2"/>
    <row r="52" ht="9.9499999999999993" hidden="1" x14ac:dyDescent="0.2"/>
    <row r="53" x14ac:dyDescent="0.15"/>
    <row r="54" x14ac:dyDescent="0.15"/>
    <row r="55" x14ac:dyDescent="0.15"/>
    <row r="56" x14ac:dyDescent="0.15"/>
    <row r="57" x14ac:dyDescent="0.15"/>
    <row r="58" x14ac:dyDescent="0.15"/>
    <row r="59" x14ac:dyDescent="0.15"/>
    <row r="60" x14ac:dyDescent="0.15"/>
    <row r="61" x14ac:dyDescent="0.15"/>
    <row r="62" x14ac:dyDescent="0.15"/>
    <row r="63" x14ac:dyDescent="0.15"/>
  </sheetData>
  <mergeCells count="3">
    <mergeCell ref="B34:B35"/>
    <mergeCell ref="B4:B5"/>
    <mergeCell ref="B26:B2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 summaryRight="0"/>
    <pageSetUpPr autoPageBreaks="0" fitToPage="1"/>
  </sheetPr>
  <dimension ref="A1:M181"/>
  <sheetViews>
    <sheetView showGridLines="0" zoomScaleNormal="100" zoomScaleSheetLayoutView="85" workbookViewId="0">
      <selection activeCell="G23" sqref="G23"/>
    </sheetView>
  </sheetViews>
  <sheetFormatPr defaultColWidth="0" defaultRowHeight="11.25" customHeight="1" zeroHeight="1" outlineLevelRow="1" x14ac:dyDescent="0.15"/>
  <cols>
    <col min="1" max="2" width="2.375" style="98" customWidth="1"/>
    <col min="3" max="3" width="2.375" style="99" customWidth="1"/>
    <col min="4" max="4" width="2.375" style="100" customWidth="1"/>
    <col min="5" max="5" width="20.5" style="101" customWidth="1"/>
    <col min="6" max="6" width="5.875" style="101" customWidth="1"/>
    <col min="7" max="7" width="9.25" style="101" bestFit="1" customWidth="1"/>
    <col min="8" max="8" width="10" style="94" customWidth="1"/>
    <col min="9" max="12" width="10.25" style="101" customWidth="1"/>
    <col min="13" max="13" width="2.375" style="102" customWidth="1"/>
    <col min="14" max="16384" width="7.75" style="102" hidden="1"/>
  </cols>
  <sheetData>
    <row r="1" spans="1:12" x14ac:dyDescent="0.15"/>
    <row r="2" spans="1:12" x14ac:dyDescent="0.15">
      <c r="A2" s="103" t="s">
        <v>171</v>
      </c>
      <c r="B2" s="103"/>
      <c r="C2" s="103"/>
      <c r="D2" s="104"/>
      <c r="E2" s="105"/>
      <c r="F2" s="105"/>
      <c r="G2" s="105"/>
      <c r="H2" s="95"/>
      <c r="I2" s="105"/>
      <c r="J2" s="105"/>
      <c r="K2" s="105"/>
      <c r="L2" s="105"/>
    </row>
    <row r="3" spans="1:12" collapsed="1" x14ac:dyDescent="0.15">
      <c r="D3" s="106"/>
    </row>
    <row r="4" spans="1:12" hidden="1" outlineLevel="1" x14ac:dyDescent="0.15">
      <c r="C4" s="107" t="s">
        <v>170</v>
      </c>
      <c r="D4" s="106"/>
      <c r="H4" s="101"/>
      <c r="I4" s="96"/>
      <c r="J4" s="96"/>
      <c r="K4" s="96"/>
      <c r="L4" s="96"/>
    </row>
    <row r="5" spans="1:12" hidden="1" outlineLevel="1" x14ac:dyDescent="0.15">
      <c r="C5" s="101" t="s">
        <v>1</v>
      </c>
      <c r="D5" s="106"/>
      <c r="G5" s="108">
        <v>0.18</v>
      </c>
      <c r="H5" s="96" t="s">
        <v>165</v>
      </c>
      <c r="I5" s="96"/>
      <c r="J5" s="96"/>
      <c r="K5" s="96"/>
      <c r="L5" s="96"/>
    </row>
    <row r="6" spans="1:12" hidden="1" outlineLevel="1" x14ac:dyDescent="0.15">
      <c r="C6" s="101" t="s">
        <v>2</v>
      </c>
      <c r="D6" s="106"/>
      <c r="G6" s="108">
        <v>0.2</v>
      </c>
      <c r="H6" s="96" t="s">
        <v>165</v>
      </c>
      <c r="I6" s="96"/>
      <c r="J6" s="96"/>
      <c r="K6" s="96"/>
      <c r="L6" s="96"/>
    </row>
    <row r="7" spans="1:12" hidden="1" outlineLevel="1" x14ac:dyDescent="0.15">
      <c r="C7" s="101" t="s">
        <v>3</v>
      </c>
      <c r="D7" s="106"/>
      <c r="G7" s="108">
        <v>0.3</v>
      </c>
      <c r="H7" s="96" t="s">
        <v>165</v>
      </c>
      <c r="I7" s="96"/>
      <c r="J7" s="96"/>
      <c r="K7" s="96"/>
      <c r="L7" s="96"/>
    </row>
    <row r="8" spans="1:12" hidden="1" outlineLevel="1" x14ac:dyDescent="0.15">
      <c r="C8" s="101" t="s">
        <v>4</v>
      </c>
      <c r="D8" s="106"/>
      <c r="G8" s="108">
        <v>0.3</v>
      </c>
      <c r="H8" s="96" t="s">
        <v>165</v>
      </c>
      <c r="I8" s="96"/>
      <c r="J8" s="96"/>
      <c r="K8" s="96"/>
      <c r="L8" s="96"/>
    </row>
    <row r="9" spans="1:12" hidden="1" outlineLevel="1" x14ac:dyDescent="0.15">
      <c r="C9" s="101"/>
      <c r="D9" s="106"/>
      <c r="H9" s="96"/>
      <c r="I9" s="96"/>
      <c r="J9" s="96"/>
      <c r="K9" s="96"/>
      <c r="L9" s="96"/>
    </row>
    <row r="10" spans="1:12" hidden="1" outlineLevel="1" x14ac:dyDescent="0.15">
      <c r="C10" s="107" t="s">
        <v>169</v>
      </c>
      <c r="D10" s="106"/>
      <c r="H10" s="96"/>
      <c r="I10" s="96"/>
      <c r="J10" s="96"/>
      <c r="K10" s="96"/>
      <c r="L10" s="96"/>
    </row>
    <row r="11" spans="1:12" hidden="1" outlineLevel="1" x14ac:dyDescent="0.15">
      <c r="C11" s="101" t="s">
        <v>1</v>
      </c>
      <c r="D11" s="106"/>
      <c r="G11" s="108">
        <v>0.02</v>
      </c>
      <c r="H11" s="96" t="s">
        <v>165</v>
      </c>
      <c r="I11" s="96"/>
      <c r="J11" s="96"/>
      <c r="K11" s="96"/>
      <c r="L11" s="96"/>
    </row>
    <row r="12" spans="1:12" hidden="1" outlineLevel="1" x14ac:dyDescent="0.15">
      <c r="C12" s="101" t="s">
        <v>2</v>
      </c>
      <c r="D12" s="106"/>
      <c r="G12" s="108">
        <v>0</v>
      </c>
      <c r="H12" s="96" t="s">
        <v>165</v>
      </c>
      <c r="I12" s="96"/>
      <c r="J12" s="96"/>
      <c r="K12" s="96"/>
      <c r="L12" s="96"/>
    </row>
    <row r="13" spans="1:12" hidden="1" outlineLevel="1" x14ac:dyDescent="0.15">
      <c r="C13" s="101" t="s">
        <v>3</v>
      </c>
      <c r="D13" s="106"/>
      <c r="G13" s="108">
        <v>0</v>
      </c>
      <c r="H13" s="96" t="s">
        <v>165</v>
      </c>
      <c r="I13" s="96"/>
      <c r="J13" s="96"/>
      <c r="K13" s="96"/>
      <c r="L13" s="96"/>
    </row>
    <row r="14" spans="1:12" hidden="1" outlineLevel="1" x14ac:dyDescent="0.15">
      <c r="C14" s="101" t="s">
        <v>4</v>
      </c>
      <c r="D14" s="106"/>
      <c r="G14" s="108">
        <v>0.15</v>
      </c>
      <c r="H14" s="96" t="s">
        <v>165</v>
      </c>
      <c r="I14" s="96"/>
      <c r="J14" s="96"/>
      <c r="K14" s="96"/>
      <c r="L14" s="96"/>
    </row>
    <row r="15" spans="1:12" hidden="1" outlineLevel="1" x14ac:dyDescent="0.15">
      <c r="C15" s="101"/>
      <c r="D15" s="106"/>
    </row>
    <row r="16" spans="1:12" hidden="1" outlineLevel="1" x14ac:dyDescent="0.15">
      <c r="C16" s="101" t="s">
        <v>174</v>
      </c>
      <c r="D16" s="106"/>
      <c r="G16" s="108">
        <v>0.5</v>
      </c>
      <c r="H16" s="96" t="s">
        <v>165</v>
      </c>
    </row>
    <row r="17" spans="1:12" hidden="1" outlineLevel="1" x14ac:dyDescent="0.15">
      <c r="C17" s="101"/>
      <c r="D17" s="106"/>
    </row>
    <row r="18" spans="1:12" hidden="1" outlineLevel="1" x14ac:dyDescent="0.15">
      <c r="C18" s="101" t="s">
        <v>168</v>
      </c>
      <c r="D18" s="109"/>
      <c r="G18" s="110">
        <v>5</v>
      </c>
      <c r="H18" s="96" t="s">
        <v>167</v>
      </c>
    </row>
    <row r="19" spans="1:12" hidden="1" outlineLevel="1" x14ac:dyDescent="0.15">
      <c r="C19" s="101" t="s">
        <v>166</v>
      </c>
      <c r="D19" s="109"/>
      <c r="G19" s="111">
        <v>0.995</v>
      </c>
      <c r="H19" s="96" t="s">
        <v>165</v>
      </c>
    </row>
    <row r="20" spans="1:12" hidden="1" outlineLevel="1" x14ac:dyDescent="0.15">
      <c r="C20" s="101" t="s">
        <v>17</v>
      </c>
      <c r="D20" s="109"/>
      <c r="G20" s="139">
        <f>'2021-2026 Unserved Energy'!$C$5</f>
        <v>9415128.2345357668</v>
      </c>
      <c r="H20" s="96" t="s">
        <v>157</v>
      </c>
    </row>
    <row r="21" spans="1:12" hidden="1" outlineLevel="1" x14ac:dyDescent="0.15">
      <c r="C21" s="101" t="s">
        <v>164</v>
      </c>
      <c r="D21" s="109"/>
      <c r="G21" s="139">
        <f>'2021-2026 Unserved Energy'!$C$6</f>
        <v>811694</v>
      </c>
      <c r="H21" s="96" t="s">
        <v>163</v>
      </c>
    </row>
    <row r="22" spans="1:12" ht="14.25" hidden="1" customHeight="1" outlineLevel="1" x14ac:dyDescent="0.15">
      <c r="C22" s="101"/>
      <c r="D22" s="109"/>
    </row>
    <row r="23" spans="1:12" hidden="1" outlineLevel="1" x14ac:dyDescent="0.15">
      <c r="C23" s="101" t="s">
        <v>162</v>
      </c>
      <c r="G23" s="112" t="s">
        <v>161</v>
      </c>
      <c r="H23" s="96" t="s">
        <v>157</v>
      </c>
    </row>
    <row r="24" spans="1:12" hidden="1" outlineLevel="1" x14ac:dyDescent="0.15">
      <c r="C24" s="101" t="s">
        <v>160</v>
      </c>
      <c r="G24" s="112" t="s">
        <v>159</v>
      </c>
      <c r="H24" s="96" t="s">
        <v>157</v>
      </c>
    </row>
    <row r="25" spans="1:12" hidden="1" outlineLevel="1" x14ac:dyDescent="0.15">
      <c r="D25" s="109"/>
    </row>
    <row r="26" spans="1:12" hidden="1" outlineLevel="1" x14ac:dyDescent="0.15">
      <c r="A26" s="113"/>
      <c r="B26" s="113" t="s">
        <v>158</v>
      </c>
      <c r="C26" s="113"/>
      <c r="D26" s="114"/>
      <c r="E26" s="113"/>
      <c r="F26" s="115"/>
      <c r="G26" s="115"/>
      <c r="H26" s="97"/>
      <c r="I26" s="115"/>
      <c r="J26" s="115"/>
      <c r="K26" s="115"/>
      <c r="L26" s="115"/>
    </row>
    <row r="27" spans="1:12" ht="13.15" hidden="1" customHeight="1" outlineLevel="1" x14ac:dyDescent="0.15">
      <c r="D27" s="106"/>
    </row>
    <row r="28" spans="1:12" ht="13.15" hidden="1" customHeight="1" outlineLevel="1" x14ac:dyDescent="0.15">
      <c r="D28" s="106"/>
      <c r="E28" s="109"/>
      <c r="I28" s="116" t="s">
        <v>5</v>
      </c>
      <c r="J28" s="116" t="s">
        <v>6</v>
      </c>
      <c r="K28" s="116" t="s">
        <v>7</v>
      </c>
    </row>
    <row r="29" spans="1:12" ht="13.15" hidden="1" customHeight="1" outlineLevel="1" x14ac:dyDescent="0.15">
      <c r="A29" s="101"/>
      <c r="B29" s="101"/>
      <c r="C29" s="117" t="s">
        <v>1</v>
      </c>
      <c r="D29" s="118"/>
      <c r="E29" s="117"/>
      <c r="H29" s="96" t="s">
        <v>157</v>
      </c>
      <c r="I29" s="142">
        <f>'T3 Base'!I27</f>
        <v>440</v>
      </c>
      <c r="J29" s="142">
        <f>'T3 Base'!J27</f>
        <v>1196</v>
      </c>
      <c r="K29" s="142">
        <f>'T3 Base'!K27</f>
        <v>1521</v>
      </c>
    </row>
    <row r="30" spans="1:12" ht="13.15" hidden="1" customHeight="1" outlineLevel="1" x14ac:dyDescent="0.15">
      <c r="C30" s="117" t="s">
        <v>2</v>
      </c>
      <c r="D30" s="118"/>
      <c r="E30" s="117"/>
      <c r="H30" s="96" t="s">
        <v>157</v>
      </c>
      <c r="I30" s="142">
        <f>'T3 Base'!I28</f>
        <v>13</v>
      </c>
      <c r="J30" s="142">
        <f>'T3 Base'!J28</f>
        <v>44</v>
      </c>
      <c r="K30" s="142">
        <f>'T3 Base'!K28</f>
        <v>127</v>
      </c>
    </row>
    <row r="31" spans="1:12" ht="13.15" hidden="1" customHeight="1" outlineLevel="1" x14ac:dyDescent="0.15">
      <c r="C31" s="117" t="s">
        <v>3</v>
      </c>
      <c r="D31" s="118"/>
      <c r="E31" s="117"/>
      <c r="H31" s="96" t="s">
        <v>157</v>
      </c>
      <c r="I31" s="142">
        <f>'T3 Base'!I29</f>
        <v>39</v>
      </c>
      <c r="J31" s="142">
        <f>'T3 Base'!J29</f>
        <v>47</v>
      </c>
      <c r="K31" s="142">
        <f>'T3 Base'!K29</f>
        <v>18</v>
      </c>
    </row>
    <row r="32" spans="1:12" ht="13.15" hidden="1" customHeight="1" outlineLevel="1" x14ac:dyDescent="0.15">
      <c r="C32" s="117" t="s">
        <v>4</v>
      </c>
      <c r="D32" s="118"/>
      <c r="E32" s="117"/>
      <c r="H32" s="96" t="s">
        <v>157</v>
      </c>
      <c r="I32" s="142">
        <f>'T3 Base'!I30</f>
        <v>63</v>
      </c>
      <c r="J32" s="142">
        <f>'T3 Base'!J30</f>
        <v>409</v>
      </c>
      <c r="K32" s="142">
        <f>'T3 Base'!K30</f>
        <v>564</v>
      </c>
    </row>
    <row r="33" spans="1:12" hidden="1" outlineLevel="1" x14ac:dyDescent="0.15">
      <c r="D33" s="109"/>
    </row>
    <row r="34" spans="1:12" hidden="1" outlineLevel="1" x14ac:dyDescent="0.15">
      <c r="A34" s="113"/>
      <c r="B34" s="113" t="s">
        <v>156</v>
      </c>
      <c r="C34" s="113"/>
      <c r="D34" s="114"/>
      <c r="E34" s="113"/>
      <c r="F34" s="115"/>
      <c r="G34" s="115"/>
      <c r="H34" s="97"/>
      <c r="I34" s="115"/>
      <c r="J34" s="115"/>
      <c r="K34" s="115"/>
      <c r="L34" s="115"/>
    </row>
    <row r="35" spans="1:12" ht="13.15" hidden="1" customHeight="1" outlineLevel="1" x14ac:dyDescent="0.15">
      <c r="D35" s="109"/>
    </row>
    <row r="36" spans="1:12" ht="13.15" hidden="1" customHeight="1" outlineLevel="1" x14ac:dyDescent="0.15">
      <c r="A36" s="101"/>
      <c r="B36" s="101"/>
      <c r="C36" s="101"/>
      <c r="E36" s="109"/>
      <c r="H36" s="96"/>
      <c r="I36" s="116" t="s">
        <v>5</v>
      </c>
      <c r="J36" s="116" t="s">
        <v>6</v>
      </c>
      <c r="K36" s="116" t="s">
        <v>7</v>
      </c>
    </row>
    <row r="37" spans="1:12" ht="13.15" hidden="1" customHeight="1" outlineLevel="1" x14ac:dyDescent="0.15">
      <c r="C37" s="101" t="str">
        <f>$C$29</f>
        <v>22KV Dist Sub Outage</v>
      </c>
      <c r="D37" s="109"/>
      <c r="H37" s="96" t="s">
        <v>155</v>
      </c>
      <c r="I37" s="143">
        <f>'T3 Base'!I35</f>
        <v>2178526</v>
      </c>
      <c r="J37" s="143">
        <f>'T3 Base'!J35</f>
        <v>2949105</v>
      </c>
      <c r="K37" s="143">
        <f>'T3 Base'!K35</f>
        <v>2625759</v>
      </c>
    </row>
    <row r="38" spans="1:12" ht="13.15" hidden="1" customHeight="1" outlineLevel="1" x14ac:dyDescent="0.15">
      <c r="C38" s="101" t="str">
        <f>$C$30</f>
        <v>HV 22kv ACR Outage</v>
      </c>
      <c r="D38" s="109"/>
      <c r="H38" s="96" t="s">
        <v>155</v>
      </c>
      <c r="I38" s="143">
        <f>'T3 Base'!I36</f>
        <v>2926074</v>
      </c>
      <c r="J38" s="143">
        <f>'T3 Base'!J36</f>
        <v>5757851</v>
      </c>
      <c r="K38" s="143">
        <f>'T3 Base'!K36</f>
        <v>13995494</v>
      </c>
    </row>
    <row r="39" spans="1:12" ht="13.15" hidden="1" customHeight="1" outlineLevel="1" x14ac:dyDescent="0.15">
      <c r="C39" s="101" t="str">
        <f>$C$31</f>
        <v>HV 22KV CB Outage</v>
      </c>
      <c r="D39" s="109"/>
      <c r="H39" s="96" t="s">
        <v>155</v>
      </c>
      <c r="I39" s="143">
        <f>'T3 Base'!I37</f>
        <v>7312756</v>
      </c>
      <c r="J39" s="143">
        <f>'T3 Base'!J37</f>
        <v>9503684</v>
      </c>
      <c r="K39" s="143">
        <f>'T3 Base'!K37</f>
        <v>2997471</v>
      </c>
    </row>
    <row r="40" spans="1:12" ht="13.15" hidden="1" customHeight="1" outlineLevel="1" x14ac:dyDescent="0.15">
      <c r="C40" s="101" t="str">
        <f>$C$32</f>
        <v>HV 22KV Line Outage</v>
      </c>
      <c r="D40" s="109"/>
      <c r="H40" s="96" t="s">
        <v>155</v>
      </c>
      <c r="I40" s="143">
        <f>'T3 Base'!I38</f>
        <v>1626199</v>
      </c>
      <c r="J40" s="143">
        <f>'T3 Base'!J38</f>
        <v>8493086</v>
      </c>
      <c r="K40" s="143">
        <f>'T3 Base'!K38</f>
        <v>6214403</v>
      </c>
    </row>
    <row r="41" spans="1:12" hidden="1" outlineLevel="1" x14ac:dyDescent="0.15">
      <c r="D41" s="109"/>
    </row>
    <row r="42" spans="1:12" ht="12.75" customHeight="1" x14ac:dyDescent="0.15">
      <c r="A42" s="103" t="s">
        <v>154</v>
      </c>
      <c r="B42" s="103"/>
      <c r="C42" s="103"/>
      <c r="D42" s="104"/>
      <c r="E42" s="105"/>
      <c r="F42" s="105"/>
      <c r="G42" s="105"/>
      <c r="H42" s="95"/>
      <c r="I42" s="105"/>
      <c r="J42" s="105"/>
      <c r="K42" s="105"/>
      <c r="L42" s="105"/>
    </row>
    <row r="43" spans="1:12" x14ac:dyDescent="0.15"/>
    <row r="44" spans="1:12" x14ac:dyDescent="0.15">
      <c r="C44" s="180" t="str">
        <f>CONCATENATE("Annual Average Performance Before"," ",'T3 Smart ACRs'!G23," - ",'T3 Smart ACRs'!G24)</f>
        <v>Annual Average Performance Before 2011/2012 - 2015/2016</v>
      </c>
      <c r="D44" s="180"/>
      <c r="E44" s="180"/>
      <c r="F44" s="180"/>
      <c r="G44" s="180"/>
      <c r="H44" s="180"/>
      <c r="I44" s="180"/>
      <c r="J44" s="180"/>
      <c r="K44" s="180"/>
      <c r="L44" s="180"/>
    </row>
    <row r="45" spans="1:12" x14ac:dyDescent="0.15"/>
    <row r="46" spans="1:12" x14ac:dyDescent="0.15">
      <c r="C46" s="99" t="s">
        <v>153</v>
      </c>
      <c r="I46" s="116" t="s">
        <v>5</v>
      </c>
      <c r="J46" s="116" t="s">
        <v>6</v>
      </c>
      <c r="K46" s="116" t="s">
        <v>7</v>
      </c>
      <c r="L46" s="116" t="s">
        <v>8</v>
      </c>
    </row>
    <row r="47" spans="1:12" x14ac:dyDescent="0.15">
      <c r="C47" s="101" t="str">
        <f>$C$29</f>
        <v>22KV Dist Sub Outage</v>
      </c>
      <c r="I47" s="121">
        <f>'T3 Smart ACRs'!I29/'T3 Smart ACRs'!$G$18</f>
        <v>88</v>
      </c>
      <c r="J47" s="121">
        <f>'T3 Smart ACRs'!J29/'T3 Smart ACRs'!$G$18</f>
        <v>239.2</v>
      </c>
      <c r="K47" s="121">
        <f>'T3 Smart ACRs'!K29/'T3 Smart ACRs'!$G$18</f>
        <v>304.2</v>
      </c>
      <c r="L47" s="121">
        <f>SUM(I47:K47)</f>
        <v>631.4</v>
      </c>
    </row>
    <row r="48" spans="1:12" x14ac:dyDescent="0.15">
      <c r="C48" s="101" t="str">
        <f>$C$30</f>
        <v>HV 22kv ACR Outage</v>
      </c>
      <c r="I48" s="121">
        <f>'T3 Smart ACRs'!I30/'T3 Smart ACRs'!$G$18</f>
        <v>2.6</v>
      </c>
      <c r="J48" s="121">
        <f>'T3 Smart ACRs'!J30/'T3 Smart ACRs'!$G$18</f>
        <v>8.8000000000000007</v>
      </c>
      <c r="K48" s="121">
        <f>'T3 Smart ACRs'!K30/'T3 Smart ACRs'!$G$18</f>
        <v>25.4</v>
      </c>
      <c r="L48" s="121">
        <f>SUM(I48:K48)</f>
        <v>36.799999999999997</v>
      </c>
    </row>
    <row r="49" spans="3:12" x14ac:dyDescent="0.15">
      <c r="C49" s="101" t="str">
        <f>$C$31</f>
        <v>HV 22KV CB Outage</v>
      </c>
      <c r="I49" s="121">
        <f>'T3 Smart ACRs'!I31/'T3 Smart ACRs'!$G$18</f>
        <v>7.8</v>
      </c>
      <c r="J49" s="121">
        <f>'T3 Smart ACRs'!J31/'T3 Smart ACRs'!$G$18</f>
        <v>9.4</v>
      </c>
      <c r="K49" s="121">
        <f>'T3 Smart ACRs'!K31/'T3 Smart ACRs'!$G$18</f>
        <v>3.6</v>
      </c>
      <c r="L49" s="121">
        <f>SUM(I49:K49)</f>
        <v>20.8</v>
      </c>
    </row>
    <row r="50" spans="3:12" x14ac:dyDescent="0.15">
      <c r="C50" s="122" t="str">
        <f>$C$32</f>
        <v>HV 22KV Line Outage</v>
      </c>
      <c r="D50" s="123"/>
      <c r="E50" s="122"/>
      <c r="F50" s="122"/>
      <c r="G50" s="122"/>
      <c r="H50" s="124"/>
      <c r="I50" s="121">
        <f>'T3 Smart ACRs'!I32/'T3 Smart ACRs'!$G$18</f>
        <v>12.6</v>
      </c>
      <c r="J50" s="121">
        <f>'T3 Smart ACRs'!J32/'T3 Smart ACRs'!$G$18</f>
        <v>81.8</v>
      </c>
      <c r="K50" s="121">
        <f>'T3 Smart ACRs'!K32/'T3 Smart ACRs'!$G$18</f>
        <v>112.8</v>
      </c>
      <c r="L50" s="121">
        <f>SUM(I50:K50)</f>
        <v>207.2</v>
      </c>
    </row>
    <row r="51" spans="3:12" x14ac:dyDescent="0.15"/>
    <row r="52" spans="3:12" x14ac:dyDescent="0.15">
      <c r="C52" s="99" t="s">
        <v>145</v>
      </c>
      <c r="I52" s="116" t="s">
        <v>5</v>
      </c>
      <c r="J52" s="116" t="s">
        <v>6</v>
      </c>
      <c r="K52" s="116" t="s">
        <v>7</v>
      </c>
      <c r="L52" s="116" t="s">
        <v>8</v>
      </c>
    </row>
    <row r="53" spans="3:12" x14ac:dyDescent="0.15">
      <c r="C53" s="101" t="str">
        <f>$C$29</f>
        <v>22KV Dist Sub Outage</v>
      </c>
      <c r="D53" s="125"/>
      <c r="I53" s="126">
        <f>'T3 Smart ACRs'!I37/'T3 Smart ACRs'!$G$18</f>
        <v>435705.2</v>
      </c>
      <c r="J53" s="126">
        <f>'T3 Smart ACRs'!J37/'T3 Smart ACRs'!$G$18</f>
        <v>589821</v>
      </c>
      <c r="K53" s="126">
        <f>'T3 Smart ACRs'!K37/'T3 Smart ACRs'!$G$18</f>
        <v>525151.80000000005</v>
      </c>
      <c r="L53" s="121">
        <f>SUM(I53:K53)</f>
        <v>1550678</v>
      </c>
    </row>
    <row r="54" spans="3:12" x14ac:dyDescent="0.15">
      <c r="C54" s="101" t="str">
        <f>$C$30</f>
        <v>HV 22kv ACR Outage</v>
      </c>
      <c r="D54" s="125"/>
      <c r="I54" s="126">
        <f>'T3 Smart ACRs'!I38/'T3 Smart ACRs'!$G$18</f>
        <v>585214.80000000005</v>
      </c>
      <c r="J54" s="126">
        <f>'T3 Smart ACRs'!J38/'T3 Smart ACRs'!$G$18</f>
        <v>1151570.2</v>
      </c>
      <c r="K54" s="126">
        <f>'T3 Smart ACRs'!K38/'T3 Smart ACRs'!$G$18</f>
        <v>2799098.8</v>
      </c>
      <c r="L54" s="121">
        <f>SUM(I54:K54)</f>
        <v>4535883.8</v>
      </c>
    </row>
    <row r="55" spans="3:12" x14ac:dyDescent="0.15">
      <c r="C55" s="101" t="str">
        <f>$C$31</f>
        <v>HV 22KV CB Outage</v>
      </c>
      <c r="D55" s="125"/>
      <c r="I55" s="126">
        <f>'T3 Smart ACRs'!I39/'T3 Smart ACRs'!$G$18</f>
        <v>1462551.2</v>
      </c>
      <c r="J55" s="126">
        <f>'T3 Smart ACRs'!J39/'T3 Smart ACRs'!$G$18</f>
        <v>1900736.8</v>
      </c>
      <c r="K55" s="126">
        <f>'T3 Smart ACRs'!K39/'T3 Smart ACRs'!$G$18</f>
        <v>599494.19999999995</v>
      </c>
      <c r="L55" s="121">
        <f>SUM(I55:K55)</f>
        <v>3962782.2</v>
      </c>
    </row>
    <row r="56" spans="3:12" x14ac:dyDescent="0.15">
      <c r="C56" s="122" t="str">
        <f>$C$32</f>
        <v>HV 22KV Line Outage</v>
      </c>
      <c r="D56" s="127"/>
      <c r="E56" s="122"/>
      <c r="F56" s="122"/>
      <c r="G56" s="122"/>
      <c r="H56" s="124"/>
      <c r="I56" s="126">
        <f>'T3 Smart ACRs'!I40/'T3 Smart ACRs'!$G$18</f>
        <v>325239.8</v>
      </c>
      <c r="J56" s="126">
        <f>'T3 Smart ACRs'!J40/'T3 Smart ACRs'!$G$18</f>
        <v>1698617.2</v>
      </c>
      <c r="K56" s="126">
        <f>'T3 Smart ACRs'!K40/'T3 Smart ACRs'!$G$18</f>
        <v>1242880.6000000001</v>
      </c>
      <c r="L56" s="121">
        <f>SUM(I56:K56)</f>
        <v>3266737.6</v>
      </c>
    </row>
    <row r="57" spans="3:12" x14ac:dyDescent="0.15"/>
    <row r="58" spans="3:12" x14ac:dyDescent="0.15">
      <c r="C58" s="128" t="s">
        <v>152</v>
      </c>
      <c r="I58" s="116" t="s">
        <v>5</v>
      </c>
      <c r="J58" s="116" t="s">
        <v>6</v>
      </c>
      <c r="K58" s="116" t="s">
        <v>7</v>
      </c>
      <c r="L58" s="116" t="s">
        <v>8</v>
      </c>
    </row>
    <row r="59" spans="3:12" x14ac:dyDescent="0.15">
      <c r="C59" s="101" t="str">
        <f>$C$29</f>
        <v>22KV Dist Sub Outage</v>
      </c>
      <c r="I59" s="129">
        <f>IF(ISERROR('T3 Smart ACRs'!I53/'T3 Smart ACRs'!I47),0,'T3 Smart ACRs'!I53/'T3 Smart ACRs'!I47)</f>
        <v>4951.1954545454546</v>
      </c>
      <c r="J59" s="129">
        <f>IF(ISERROR('T3 Smart ACRs'!J53/'T3 Smart ACRs'!J47),0,'T3 Smart ACRs'!J53/'T3 Smart ACRs'!J47)</f>
        <v>2465.806856187291</v>
      </c>
      <c r="K59" s="129">
        <f>IF(ISERROR('T3 Smart ACRs'!K53/'T3 Smart ACRs'!K47),0,'T3 Smart ACRs'!K53/'T3 Smart ACRs'!K47)</f>
        <v>1726.3372781065091</v>
      </c>
      <c r="L59" s="130"/>
    </row>
    <row r="60" spans="3:12" x14ac:dyDescent="0.15">
      <c r="C60" s="101" t="str">
        <f>$C$30</f>
        <v>HV 22kv ACR Outage</v>
      </c>
      <c r="I60" s="129">
        <f>IF(ISERROR('T3 Smart ACRs'!I54/'T3 Smart ACRs'!I48),0,'T3 Smart ACRs'!I54/'T3 Smart ACRs'!I48)</f>
        <v>225082.6153846154</v>
      </c>
      <c r="J60" s="129">
        <f>IF(ISERROR('T3 Smart ACRs'!J54/'T3 Smart ACRs'!J48),0,'T3 Smart ACRs'!J54/'T3 Smart ACRs'!J48)</f>
        <v>130860.24999999999</v>
      </c>
      <c r="K60" s="129">
        <f>IF(ISERROR('T3 Smart ACRs'!K54/'T3 Smart ACRs'!K48),0,'T3 Smart ACRs'!K54/'T3 Smart ACRs'!K48)</f>
        <v>110200.74015748031</v>
      </c>
      <c r="L60" s="130"/>
    </row>
    <row r="61" spans="3:12" x14ac:dyDescent="0.15">
      <c r="C61" s="101" t="str">
        <f>$C$31</f>
        <v>HV 22KV CB Outage</v>
      </c>
      <c r="I61" s="129">
        <f>IF(ISERROR('T3 Smart ACRs'!I55/'T3 Smart ACRs'!I49),0,'T3 Smart ACRs'!I55/'T3 Smart ACRs'!I49)</f>
        <v>187506.56410256409</v>
      </c>
      <c r="J61" s="129">
        <f>IF(ISERROR('T3 Smart ACRs'!J55/'T3 Smart ACRs'!J49),0,'T3 Smart ACRs'!J55/'T3 Smart ACRs'!J49)</f>
        <v>202206.04255319148</v>
      </c>
      <c r="K61" s="129">
        <f>IF(ISERROR('T3 Smart ACRs'!K55/'T3 Smart ACRs'!K49),0,'T3 Smart ACRs'!K55/'T3 Smart ACRs'!K49)</f>
        <v>166526.16666666666</v>
      </c>
      <c r="L61" s="130"/>
    </row>
    <row r="62" spans="3:12" x14ac:dyDescent="0.15">
      <c r="C62" s="122" t="str">
        <f>$C$32</f>
        <v>HV 22KV Line Outage</v>
      </c>
      <c r="D62" s="123"/>
      <c r="E62" s="122"/>
      <c r="F62" s="122"/>
      <c r="G62" s="122"/>
      <c r="H62" s="124"/>
      <c r="I62" s="129">
        <f>IF(ISERROR('T3 Smart ACRs'!I56/'T3 Smart ACRs'!I50),0,'T3 Smart ACRs'!I56/'T3 Smart ACRs'!I50)</f>
        <v>25812.682539682541</v>
      </c>
      <c r="J62" s="129">
        <f>IF(ISERROR('T3 Smart ACRs'!J56/'T3 Smart ACRs'!J50),0,'T3 Smart ACRs'!J56/'T3 Smart ACRs'!J50)</f>
        <v>20765.491442542789</v>
      </c>
      <c r="K62" s="129">
        <f>IF(ISERROR('T3 Smart ACRs'!K56/'T3 Smart ACRs'!K50),0,'T3 Smart ACRs'!K56/'T3 Smart ACRs'!K50)</f>
        <v>11018.445035460994</v>
      </c>
      <c r="L62" s="130"/>
    </row>
    <row r="63" spans="3:12" x14ac:dyDescent="0.15"/>
    <row r="64" spans="3:12" x14ac:dyDescent="0.15">
      <c r="C64" s="99" t="s">
        <v>129</v>
      </c>
      <c r="I64" s="116" t="s">
        <v>5</v>
      </c>
      <c r="J64" s="116" t="s">
        <v>6</v>
      </c>
      <c r="K64" s="116" t="s">
        <v>7</v>
      </c>
      <c r="L64" s="116" t="s">
        <v>8</v>
      </c>
    </row>
    <row r="65" spans="3:12" x14ac:dyDescent="0.15">
      <c r="C65" s="101" t="str">
        <f>$C$29</f>
        <v>22KV Dist Sub Outage</v>
      </c>
      <c r="I65" s="131">
        <f>ROUND(('T3 Smart ACRs'!I53*('T3 Smart ACRs'!$G$20/('T3 Smart ACRs'!$G$21*365*24*60))),3)</f>
        <v>9.6150000000000002</v>
      </c>
      <c r="J65" s="131">
        <f>ROUND(('T3 Smart ACRs'!J53*('T3 Smart ACRs'!$G$20/('T3 Smart ACRs'!$G$21*365*24*60))),3)</f>
        <v>13.016999999999999</v>
      </c>
      <c r="K65" s="131">
        <f>ROUND(('T3 Smart ACRs'!K53*('T3 Smart ACRs'!$G$20/('T3 Smart ACRs'!$G$21*365*24*60))),3)</f>
        <v>11.589</v>
      </c>
      <c r="L65" s="131">
        <f>ROUND(('T3 Smart ACRs'!L53*('T3 Smart ACRs'!$G$20/('T3 Smart ACRs'!$G$21*365*24*60))),3)</f>
        <v>34.222000000000001</v>
      </c>
    </row>
    <row r="66" spans="3:12" x14ac:dyDescent="0.15">
      <c r="C66" s="101" t="str">
        <f>$C$30</f>
        <v>HV 22kv ACR Outage</v>
      </c>
      <c r="I66" s="131">
        <f>ROUND(('T3 Smart ACRs'!I54*('T3 Smart ACRs'!$G$20/('T3 Smart ACRs'!$G$21*365*24*60))),3)</f>
        <v>12.914999999999999</v>
      </c>
      <c r="J66" s="131">
        <f>ROUND(('T3 Smart ACRs'!J54*('T3 Smart ACRs'!$G$20/('T3 Smart ACRs'!$G$21*365*24*60))),3)</f>
        <v>25.414000000000001</v>
      </c>
      <c r="K66" s="131">
        <f>ROUND(('T3 Smart ACRs'!K54*('T3 Smart ACRs'!$G$20/('T3 Smart ACRs'!$G$21*365*24*60))),3)</f>
        <v>61.773000000000003</v>
      </c>
      <c r="L66" s="131">
        <f>ROUND(('T3 Smart ACRs'!L54*('T3 Smart ACRs'!$G$20/('T3 Smart ACRs'!$G$21*365*24*60))),3)</f>
        <v>100.101</v>
      </c>
    </row>
    <row r="67" spans="3:12" x14ac:dyDescent="0.15">
      <c r="C67" s="101" t="str">
        <f>$C$31</f>
        <v>HV 22KV CB Outage</v>
      </c>
      <c r="I67" s="131">
        <f>ROUND(('T3 Smart ACRs'!I55*('T3 Smart ACRs'!$G$20/('T3 Smart ACRs'!$G$21*365*24*60))),3)</f>
        <v>32.277000000000001</v>
      </c>
      <c r="J67" s="131">
        <f>ROUND(('T3 Smart ACRs'!J55*('T3 Smart ACRs'!$G$20/('T3 Smart ACRs'!$G$21*365*24*60))),3)</f>
        <v>41.947000000000003</v>
      </c>
      <c r="K67" s="131">
        <f>ROUND(('T3 Smart ACRs'!K55*('T3 Smart ACRs'!$G$20/('T3 Smart ACRs'!$G$21*365*24*60))),3)</f>
        <v>13.23</v>
      </c>
      <c r="L67" s="131">
        <f>ROUND(('T3 Smart ACRs'!L55*('T3 Smart ACRs'!$G$20/('T3 Smart ACRs'!$G$21*365*24*60))),3)</f>
        <v>87.453999999999994</v>
      </c>
    </row>
    <row r="68" spans="3:12" x14ac:dyDescent="0.15">
      <c r="C68" s="122" t="str">
        <f>$C$32</f>
        <v>HV 22KV Line Outage</v>
      </c>
      <c r="D68" s="123"/>
      <c r="E68" s="122"/>
      <c r="F68" s="122"/>
      <c r="G68" s="122"/>
      <c r="H68" s="124"/>
      <c r="I68" s="131">
        <f>ROUND(('T3 Smart ACRs'!I56*('T3 Smart ACRs'!$G$20/('T3 Smart ACRs'!$G$21*365*24*60))),3)</f>
        <v>7.1779999999999999</v>
      </c>
      <c r="J68" s="131">
        <f>ROUND(('T3 Smart ACRs'!J56*('T3 Smart ACRs'!$G$20/('T3 Smart ACRs'!$G$21*365*24*60))),3)</f>
        <v>37.485999999999997</v>
      </c>
      <c r="K68" s="131">
        <f>ROUND(('T3 Smart ACRs'!K56*('T3 Smart ACRs'!$G$20/('T3 Smart ACRs'!$G$21*365*24*60))),3)</f>
        <v>27.428999999999998</v>
      </c>
      <c r="L68" s="131">
        <f>ROUND(('T3 Smart ACRs'!L56*('T3 Smart ACRs'!$G$20/('T3 Smart ACRs'!$G$21*365*24*60))),3)</f>
        <v>72.093000000000004</v>
      </c>
    </row>
    <row r="69" spans="3:12" x14ac:dyDescent="0.15">
      <c r="C69" s="99" t="s">
        <v>128</v>
      </c>
      <c r="D69" s="132"/>
      <c r="E69" s="99"/>
      <c r="F69" s="99"/>
      <c r="G69" s="99"/>
      <c r="H69" s="133"/>
      <c r="I69" s="134">
        <f>SUM(I65:I68)</f>
        <v>61.984999999999999</v>
      </c>
      <c r="J69" s="134">
        <f>SUM(J65:J68)</f>
        <v>117.864</v>
      </c>
      <c r="K69" s="134">
        <f>SUM(K65:K68)</f>
        <v>114.02100000000002</v>
      </c>
      <c r="L69" s="134">
        <f>SUM(L65:L68)</f>
        <v>293.87</v>
      </c>
    </row>
    <row r="70" spans="3:12" x14ac:dyDescent="0.15"/>
    <row r="71" spans="3:12" x14ac:dyDescent="0.15">
      <c r="C71" s="181" t="s">
        <v>151</v>
      </c>
      <c r="D71" s="181"/>
      <c r="E71" s="181"/>
      <c r="F71" s="181"/>
      <c r="G71" s="181"/>
      <c r="H71" s="181"/>
      <c r="I71" s="181"/>
      <c r="J71" s="181"/>
      <c r="K71" s="181"/>
      <c r="L71" s="181"/>
    </row>
    <row r="72" spans="3:12" x14ac:dyDescent="0.15"/>
    <row r="73" spans="3:12" x14ac:dyDescent="0.15">
      <c r="C73" s="99" t="s">
        <v>150</v>
      </c>
      <c r="I73" s="116" t="s">
        <v>5</v>
      </c>
      <c r="J73" s="116" t="s">
        <v>6</v>
      </c>
      <c r="K73" s="116" t="s">
        <v>7</v>
      </c>
    </row>
    <row r="74" spans="3:12" x14ac:dyDescent="0.15">
      <c r="C74" s="101" t="str">
        <f>$C$29</f>
        <v>22KV Dist Sub Outage</v>
      </c>
      <c r="I74" s="135">
        <f>'T3 Smart ACRs'!I47*(1-'T3 Smart ACRs'!$G$19)</f>
        <v>0.44000000000000039</v>
      </c>
      <c r="J74" s="135">
        <f>'T3 Smart ACRs'!J47*(1-'T3 Smart ACRs'!$G$19)</f>
        <v>1.1960000000000011</v>
      </c>
      <c r="K74" s="135">
        <f>'T3 Smart ACRs'!K47*(1-'T3 Smart ACRs'!$G$19)</f>
        <v>1.5210000000000012</v>
      </c>
    </row>
    <row r="75" spans="3:12" x14ac:dyDescent="0.15">
      <c r="C75" s="101" t="str">
        <f>$C$30</f>
        <v>HV 22kv ACR Outage</v>
      </c>
      <c r="I75" s="135">
        <f>'T3 Smart ACRs'!I48*(1-'T3 Smart ACRs'!$G$19)</f>
        <v>1.3000000000000012E-2</v>
      </c>
      <c r="J75" s="135">
        <f>'T3 Smart ACRs'!J48*(1-'T3 Smart ACRs'!$G$19)</f>
        <v>4.4000000000000046E-2</v>
      </c>
      <c r="K75" s="135">
        <f>'T3 Smart ACRs'!K48*(1-'T3 Smart ACRs'!$G$19)</f>
        <v>0.12700000000000011</v>
      </c>
    </row>
    <row r="76" spans="3:12" x14ac:dyDescent="0.15">
      <c r="C76" s="101" t="str">
        <f>$C$31</f>
        <v>HV 22KV CB Outage</v>
      </c>
      <c r="I76" s="135">
        <f>'T3 Smart ACRs'!I49*(1-'T3 Smart ACRs'!$G$19)</f>
        <v>3.9000000000000035E-2</v>
      </c>
      <c r="J76" s="135">
        <f>'T3 Smart ACRs'!J49*(1-'T3 Smart ACRs'!$G$19)</f>
        <v>4.7000000000000042E-2</v>
      </c>
      <c r="K76" s="135">
        <f>'T3 Smart ACRs'!K49*(1-'T3 Smart ACRs'!$G$19)</f>
        <v>1.8000000000000016E-2</v>
      </c>
    </row>
    <row r="77" spans="3:12" x14ac:dyDescent="0.15">
      <c r="C77" s="122" t="str">
        <f>$C$32</f>
        <v>HV 22KV Line Outage</v>
      </c>
      <c r="D77" s="123"/>
      <c r="E77" s="122"/>
      <c r="F77" s="122"/>
      <c r="G77" s="122"/>
      <c r="H77" s="124"/>
      <c r="I77" s="135">
        <f>'T3 Smart ACRs'!I50*(1-'T3 Smart ACRs'!$G$19)</f>
        <v>6.3000000000000056E-2</v>
      </c>
      <c r="J77" s="135">
        <f>'T3 Smart ACRs'!J50*(1-'T3 Smart ACRs'!$G$19)</f>
        <v>0.40900000000000036</v>
      </c>
      <c r="K77" s="135">
        <f>'T3 Smart ACRs'!K50*(1-'T3 Smart ACRs'!$G$19)</f>
        <v>0.5640000000000005</v>
      </c>
    </row>
    <row r="78" spans="3:12" x14ac:dyDescent="0.15"/>
    <row r="79" spans="3:12" ht="11.45" x14ac:dyDescent="0.25">
      <c r="C79" s="99" t="s">
        <v>149</v>
      </c>
      <c r="I79" s="116" t="s">
        <v>5</v>
      </c>
      <c r="J79" s="116" t="s">
        <v>6</v>
      </c>
      <c r="K79" s="116" t="s">
        <v>7</v>
      </c>
    </row>
    <row r="80" spans="3:12" ht="11.45" x14ac:dyDescent="0.25">
      <c r="C80" s="101" t="str">
        <f>$C$29</f>
        <v>22KV Dist Sub Outage</v>
      </c>
      <c r="I80" s="129">
        <f>('T3 Smart ACRs'!I47-'T3 Smart ACRs'!I74)*(1-'T3 Smart ACRs'!$G5-'T3 Smart ACRs'!$G11)</f>
        <v>70.048000000000002</v>
      </c>
      <c r="J80" s="129">
        <f>('T3 Smart ACRs'!J47-'T3 Smart ACRs'!J74)*(1-'T3 Smart ACRs'!$G5-'T3 Smart ACRs'!$G11)</f>
        <v>190.4032</v>
      </c>
      <c r="K80" s="129">
        <f>('T3 Smart ACRs'!K47-'T3 Smart ACRs'!K74)*(1-'T3 Smart ACRs'!$G5-'T3 Smart ACRs'!$G11)</f>
        <v>242.14319999999998</v>
      </c>
    </row>
    <row r="81" spans="3:11" ht="11.45" x14ac:dyDescent="0.25">
      <c r="C81" s="101" t="str">
        <f>$C$30</f>
        <v>HV 22kv ACR Outage</v>
      </c>
      <c r="I81" s="129">
        <f>('T3 Smart ACRs'!I48-'T3 Smart ACRs'!I75)*(1-'T3 Smart ACRs'!$G6-'T3 Smart ACRs'!$G12)</f>
        <v>2.0696000000000003</v>
      </c>
      <c r="J81" s="129">
        <f>('T3 Smart ACRs'!J48-'T3 Smart ACRs'!J75)*(1-'T3 Smart ACRs'!$G6-'T3 Smart ACRs'!$G12)</f>
        <v>7.0048000000000004</v>
      </c>
      <c r="K81" s="129">
        <f>('T3 Smart ACRs'!K48-'T3 Smart ACRs'!K75)*(1-'T3 Smart ACRs'!$G6-'T3 Smart ACRs'!$G12)</f>
        <v>20.218400000000003</v>
      </c>
    </row>
    <row r="82" spans="3:11" ht="11.45" x14ac:dyDescent="0.25">
      <c r="C82" s="101" t="str">
        <f>$C$31</f>
        <v>HV 22KV CB Outage</v>
      </c>
      <c r="I82" s="129">
        <f>('T3 Smart ACRs'!I49-'T3 Smart ACRs'!I76)*(1-'T3 Smart ACRs'!$G7-'T3 Smart ACRs'!$G13)</f>
        <v>5.4326999999999996</v>
      </c>
      <c r="J82" s="129">
        <f>('T3 Smart ACRs'!J49-'T3 Smart ACRs'!J76)*(1-'T3 Smart ACRs'!$G7-'T3 Smart ACRs'!$G13)</f>
        <v>6.5470999999999995</v>
      </c>
      <c r="K82" s="129">
        <f>('T3 Smart ACRs'!K49-'T3 Smart ACRs'!K76)*(1-'T3 Smart ACRs'!$G7-'T3 Smart ACRs'!$G13)</f>
        <v>2.5073999999999996</v>
      </c>
    </row>
    <row r="83" spans="3:11" ht="11.45" x14ac:dyDescent="0.25">
      <c r="C83" s="122" t="str">
        <f>$C$32</f>
        <v>HV 22KV Line Outage</v>
      </c>
      <c r="D83" s="123"/>
      <c r="E83" s="122"/>
      <c r="F83" s="122"/>
      <c r="G83" s="122"/>
      <c r="H83" s="124"/>
      <c r="I83" s="129">
        <f>('T3 Smart ACRs'!I50-'T3 Smart ACRs'!I77)*(1-'T3 Smart ACRs'!$G8-'T3 Smart ACRs'!$G14)</f>
        <v>6.8953499999999988</v>
      </c>
      <c r="J83" s="129">
        <f>('T3 Smart ACRs'!J50-'T3 Smart ACRs'!J77)*(1-'T3 Smart ACRs'!$G8-'T3 Smart ACRs'!$G14)</f>
        <v>44.765049999999988</v>
      </c>
      <c r="K83" s="129">
        <f>('T3 Smart ACRs'!K50-'T3 Smart ACRs'!K77)*(1-'T3 Smart ACRs'!$G8-'T3 Smart ACRs'!$G14)</f>
        <v>61.72979999999999</v>
      </c>
    </row>
    <row r="84" spans="3:11" ht="11.45" x14ac:dyDescent="0.25"/>
    <row r="85" spans="3:11" ht="11.45" x14ac:dyDescent="0.25">
      <c r="C85" s="99" t="s">
        <v>148</v>
      </c>
      <c r="I85" s="116" t="s">
        <v>5</v>
      </c>
      <c r="J85" s="116" t="s">
        <v>6</v>
      </c>
      <c r="K85" s="116" t="s">
        <v>7</v>
      </c>
    </row>
    <row r="86" spans="3:11" ht="11.45" x14ac:dyDescent="0.25">
      <c r="C86" s="101" t="str">
        <f>$C$29</f>
        <v>22KV Dist Sub Outage</v>
      </c>
      <c r="I86" s="129">
        <f>('T3 Smart ACRs'!I47-'T3 Smart ACRs'!I74)*'T3 Smart ACRs'!$G5</f>
        <v>15.7608</v>
      </c>
      <c r="J86" s="129">
        <f>('T3 Smart ACRs'!J47-'T3 Smart ACRs'!J74)*'T3 Smart ACRs'!$G5</f>
        <v>42.840719999999997</v>
      </c>
      <c r="K86" s="129">
        <f>('T3 Smart ACRs'!K47-'T3 Smart ACRs'!K74)*'T3 Smart ACRs'!$G5</f>
        <v>54.482219999999991</v>
      </c>
    </row>
    <row r="87" spans="3:11" ht="11.45" x14ac:dyDescent="0.25">
      <c r="C87" s="101" t="str">
        <f>$C$30</f>
        <v>HV 22kv ACR Outage</v>
      </c>
      <c r="I87" s="129">
        <f>('T3 Smart ACRs'!I48-'T3 Smart ACRs'!I75)*'T3 Smart ACRs'!$G6</f>
        <v>0.51740000000000008</v>
      </c>
      <c r="J87" s="129">
        <f>('T3 Smart ACRs'!J48-'T3 Smart ACRs'!J75)*'T3 Smart ACRs'!$G6</f>
        <v>1.7512000000000001</v>
      </c>
      <c r="K87" s="129">
        <f>('T3 Smart ACRs'!K48-'T3 Smart ACRs'!K75)*'T3 Smart ACRs'!$G6</f>
        <v>5.0546000000000006</v>
      </c>
    </row>
    <row r="88" spans="3:11" ht="11.45" x14ac:dyDescent="0.25">
      <c r="C88" s="101" t="str">
        <f>$C$31</f>
        <v>HV 22KV CB Outage</v>
      </c>
      <c r="I88" s="129">
        <f>('T3 Smart ACRs'!I49-'T3 Smart ACRs'!I76)*'T3 Smart ACRs'!$G7</f>
        <v>2.3283</v>
      </c>
      <c r="J88" s="129">
        <f>('T3 Smart ACRs'!J49-'T3 Smart ACRs'!J76)*'T3 Smart ACRs'!$G7</f>
        <v>2.8058999999999998</v>
      </c>
      <c r="K88" s="129">
        <f>('T3 Smart ACRs'!K49-'T3 Smart ACRs'!K76)*'T3 Smart ACRs'!$G7</f>
        <v>1.0746</v>
      </c>
    </row>
    <row r="89" spans="3:11" ht="11.45" x14ac:dyDescent="0.25">
      <c r="C89" s="122" t="str">
        <f>$C$32</f>
        <v>HV 22KV Line Outage</v>
      </c>
      <c r="D89" s="123"/>
      <c r="E89" s="122"/>
      <c r="F89" s="122"/>
      <c r="G89" s="122"/>
      <c r="H89" s="124"/>
      <c r="I89" s="129">
        <f>('T3 Smart ACRs'!I50-'T3 Smart ACRs'!I77)*'T3 Smart ACRs'!$G8</f>
        <v>3.7610999999999994</v>
      </c>
      <c r="J89" s="129">
        <f>('T3 Smart ACRs'!J50-'T3 Smart ACRs'!J77)*'T3 Smart ACRs'!$G8</f>
        <v>24.417299999999997</v>
      </c>
      <c r="K89" s="129">
        <f>('T3 Smart ACRs'!K50-'T3 Smart ACRs'!K77)*'T3 Smart ACRs'!$G8</f>
        <v>33.670799999999993</v>
      </c>
    </row>
    <row r="90" spans="3:11" ht="11.45" x14ac:dyDescent="0.25"/>
    <row r="91" spans="3:11" ht="11.45" x14ac:dyDescent="0.25">
      <c r="C91" s="99" t="s">
        <v>147</v>
      </c>
      <c r="I91" s="116" t="s">
        <v>5</v>
      </c>
      <c r="J91" s="116" t="s">
        <v>6</v>
      </c>
      <c r="K91" s="116" t="s">
        <v>7</v>
      </c>
    </row>
    <row r="92" spans="3:11" ht="11.45" x14ac:dyDescent="0.25">
      <c r="C92" s="101" t="str">
        <f>$C$29</f>
        <v>22KV Dist Sub Outage</v>
      </c>
      <c r="I92" s="129">
        <f>('T3 Smart ACRs'!I47-'T3 Smart ACRs'!I74)*'T3 Smart ACRs'!$G11</f>
        <v>1.7512000000000001</v>
      </c>
      <c r="J92" s="129">
        <f>('T3 Smart ACRs'!J47-'T3 Smart ACRs'!J74)*'T3 Smart ACRs'!$G11</f>
        <v>4.7600800000000003</v>
      </c>
      <c r="K92" s="129">
        <f>('T3 Smart ACRs'!K47-'T3 Smart ACRs'!K74)*'T3 Smart ACRs'!$G11</f>
        <v>6.0535799999999993</v>
      </c>
    </row>
    <row r="93" spans="3:11" ht="11.45" x14ac:dyDescent="0.25">
      <c r="C93" s="101" t="str">
        <f>$C$30</f>
        <v>HV 22kv ACR Outage</v>
      </c>
      <c r="I93" s="129">
        <f>('T3 Smart ACRs'!I48-'T3 Smart ACRs'!I75)*'T3 Smart ACRs'!$G12</f>
        <v>0</v>
      </c>
      <c r="J93" s="129">
        <f>('T3 Smart ACRs'!J48-'T3 Smart ACRs'!J75)*'T3 Smart ACRs'!$G12</f>
        <v>0</v>
      </c>
      <c r="K93" s="129">
        <f>('T3 Smart ACRs'!K48-'T3 Smart ACRs'!K75)*'T3 Smart ACRs'!$G12</f>
        <v>0</v>
      </c>
    </row>
    <row r="94" spans="3:11" ht="11.45" x14ac:dyDescent="0.25">
      <c r="C94" s="101" t="str">
        <f>$C$31</f>
        <v>HV 22KV CB Outage</v>
      </c>
      <c r="I94" s="129">
        <f>('T3 Smart ACRs'!I49-'T3 Smart ACRs'!I76)*'T3 Smart ACRs'!$G13</f>
        <v>0</v>
      </c>
      <c r="J94" s="129">
        <f>('T3 Smart ACRs'!J49-'T3 Smart ACRs'!J76)*'T3 Smart ACRs'!$G13</f>
        <v>0</v>
      </c>
      <c r="K94" s="129">
        <f>('T3 Smart ACRs'!K49-'T3 Smart ACRs'!K76)*'T3 Smart ACRs'!$G13</f>
        <v>0</v>
      </c>
    </row>
    <row r="95" spans="3:11" ht="11.45" x14ac:dyDescent="0.25">
      <c r="C95" s="122" t="str">
        <f>$C$32</f>
        <v>HV 22KV Line Outage</v>
      </c>
      <c r="D95" s="123"/>
      <c r="E95" s="122"/>
      <c r="F95" s="122"/>
      <c r="G95" s="122"/>
      <c r="H95" s="124"/>
      <c r="I95" s="129">
        <f>('T3 Smart ACRs'!I50-'T3 Smart ACRs'!I77)*'T3 Smart ACRs'!$G14</f>
        <v>1.8805499999999997</v>
      </c>
      <c r="J95" s="129">
        <f>('T3 Smart ACRs'!J50-'T3 Smart ACRs'!J77)*'T3 Smart ACRs'!$G14</f>
        <v>12.208649999999999</v>
      </c>
      <c r="K95" s="129">
        <f>('T3 Smart ACRs'!K50-'T3 Smart ACRs'!K77)*'T3 Smart ACRs'!$G14</f>
        <v>16.835399999999996</v>
      </c>
    </row>
    <row r="96" spans="3:11" x14ac:dyDescent="0.15"/>
    <row r="97" spans="3:12" x14ac:dyDescent="0.15">
      <c r="C97" s="99" t="s">
        <v>146</v>
      </c>
      <c r="I97" s="116" t="s">
        <v>5</v>
      </c>
      <c r="J97" s="116" t="s">
        <v>6</v>
      </c>
      <c r="K97" s="116" t="s">
        <v>7</v>
      </c>
      <c r="L97" s="116" t="s">
        <v>8</v>
      </c>
    </row>
    <row r="98" spans="3:12" x14ac:dyDescent="0.15">
      <c r="C98" s="101" t="str">
        <f>$C$29</f>
        <v>22KV Dist Sub Outage</v>
      </c>
      <c r="I98" s="129">
        <f>'T3 Smart ACRs'!I80+'T3 Smart ACRs'!I74</f>
        <v>70.488</v>
      </c>
      <c r="J98" s="129">
        <f>'T3 Smart ACRs'!J80+'T3 Smart ACRs'!J74</f>
        <v>191.5992</v>
      </c>
      <c r="K98" s="129">
        <f>'T3 Smart ACRs'!K80+'T3 Smart ACRs'!K74</f>
        <v>243.66419999999999</v>
      </c>
      <c r="L98" s="129">
        <f>SUM(I98:K98)</f>
        <v>505.75139999999999</v>
      </c>
    </row>
    <row r="99" spans="3:12" x14ac:dyDescent="0.15">
      <c r="C99" s="101" t="str">
        <f>$C$30</f>
        <v>HV 22kv ACR Outage</v>
      </c>
      <c r="I99" s="129">
        <f>'T3 Smart ACRs'!I81+'T3 Smart ACRs'!I75+($G$16*(I92+I95))</f>
        <v>3.8984750000000004</v>
      </c>
      <c r="J99" s="129">
        <f>'T3 Smart ACRs'!J81+'T3 Smart ACRs'!J75+($G$16*(J92+J95))</f>
        <v>15.533165</v>
      </c>
      <c r="K99" s="129">
        <f>'T3 Smart ACRs'!K81+'T3 Smart ACRs'!K75+($G$16*(K92+K95))</f>
        <v>31.78989</v>
      </c>
      <c r="L99" s="129">
        <f>SUM(I99:K99)</f>
        <v>51.221530000000001</v>
      </c>
    </row>
    <row r="100" spans="3:12" x14ac:dyDescent="0.15">
      <c r="C100" s="101" t="str">
        <f>$C$31</f>
        <v>HV 22KV CB Outage</v>
      </c>
      <c r="I100" s="129">
        <f>'T3 Smart ACRs'!I82+'T3 Smart ACRs'!I76+($G$16*(I92+I95))</f>
        <v>7.2875749999999995</v>
      </c>
      <c r="J100" s="129">
        <f>'T3 Smart ACRs'!J82+'T3 Smart ACRs'!J76+($G$16*(J92+J95))</f>
        <v>15.078465</v>
      </c>
      <c r="K100" s="129">
        <f>'T3 Smart ACRs'!K82+'T3 Smart ACRs'!K76+($G$16*(K92+K95))</f>
        <v>13.969889999999998</v>
      </c>
      <c r="L100" s="129">
        <f>SUM(I100:K100)</f>
        <v>36.335929999999998</v>
      </c>
    </row>
    <row r="101" spans="3:12" x14ac:dyDescent="0.15">
      <c r="C101" s="122" t="str">
        <f>$C$32</f>
        <v>HV 22KV Line Outage</v>
      </c>
      <c r="D101" s="123"/>
      <c r="E101" s="122"/>
      <c r="F101" s="122"/>
      <c r="G101" s="122"/>
      <c r="H101" s="124"/>
      <c r="I101" s="129">
        <f>'T3 Smart ACRs'!I83+'T3 Smart ACRs'!I77</f>
        <v>6.9583499999999985</v>
      </c>
      <c r="J101" s="129">
        <f>'T3 Smart ACRs'!J83+'T3 Smart ACRs'!J77</f>
        <v>45.174049999999987</v>
      </c>
      <c r="K101" s="129">
        <f>'T3 Smart ACRs'!K83+'T3 Smart ACRs'!K77</f>
        <v>62.29379999999999</v>
      </c>
      <c r="L101" s="129">
        <f>SUM(I101:K101)</f>
        <v>114.42619999999997</v>
      </c>
    </row>
    <row r="102" spans="3:12" x14ac:dyDescent="0.15"/>
    <row r="103" spans="3:12" x14ac:dyDescent="0.15">
      <c r="C103" s="99" t="s">
        <v>145</v>
      </c>
      <c r="I103" s="116" t="s">
        <v>5</v>
      </c>
      <c r="J103" s="116" t="s">
        <v>6</v>
      </c>
      <c r="K103" s="116" t="s">
        <v>7</v>
      </c>
      <c r="L103" s="116" t="s">
        <v>8</v>
      </c>
    </row>
    <row r="104" spans="3:12" x14ac:dyDescent="0.15">
      <c r="C104" s="101" t="str">
        <f>$C$29</f>
        <v>22KV Dist Sub Outage</v>
      </c>
      <c r="D104" s="125"/>
      <c r="I104" s="129">
        <f>'T3 Smart ACRs'!I98*'T3 Smart ACRs'!I59</f>
        <v>348999.8652</v>
      </c>
      <c r="J104" s="129">
        <f>'T3 Smart ACRs'!J98*'T3 Smart ACRs'!J59</f>
        <v>472446.62099999998</v>
      </c>
      <c r="K104" s="129">
        <f>'T3 Smart ACRs'!K98*'T3 Smart ACRs'!K59</f>
        <v>420646.59180000005</v>
      </c>
      <c r="L104" s="129">
        <f>SUM(I104:K104)</f>
        <v>1242093.078</v>
      </c>
    </row>
    <row r="105" spans="3:12" x14ac:dyDescent="0.15">
      <c r="C105" s="101" t="str">
        <f>$C$30</f>
        <v>HV 22kv ACR Outage</v>
      </c>
      <c r="D105" s="125"/>
      <c r="I105" s="129">
        <f>'T3 Smart ACRs'!I99*'T3 Smart ACRs'!I60</f>
        <v>877478.94901153864</v>
      </c>
      <c r="J105" s="129">
        <f>'T3 Smart ACRs'!J99*'T3 Smart ACRs'!J60</f>
        <v>2032673.8551912499</v>
      </c>
      <c r="K105" s="129">
        <f>'T3 Smart ACRs'!K99*'T3 Smart ACRs'!K60</f>
        <v>3503269.4075248814</v>
      </c>
      <c r="L105" s="129">
        <f>SUM(I105:K105)</f>
        <v>6413422.2117276695</v>
      </c>
    </row>
    <row r="106" spans="3:12" x14ac:dyDescent="0.15">
      <c r="C106" s="101" t="str">
        <f>$C$31</f>
        <v>HV 22KV CB Outage</v>
      </c>
      <c r="D106" s="125"/>
      <c r="I106" s="129">
        <f>'T3 Smart ACRs'!I100*'T3 Smart ACRs'!I61</f>
        <v>1366468.1488897435</v>
      </c>
      <c r="J106" s="129">
        <f>'T3 Smart ACRs'!J100*'T3 Smart ACRs'!J61</f>
        <v>3048956.7354268082</v>
      </c>
      <c r="K106" s="129">
        <f>'T3 Smart ACRs'!K100*'T3 Smart ACRs'!K61</f>
        <v>2326352.2304549995</v>
      </c>
      <c r="L106" s="129">
        <f>SUM(I106:K106)</f>
        <v>6741777.1147715505</v>
      </c>
    </row>
    <row r="107" spans="3:12" x14ac:dyDescent="0.15">
      <c r="C107" s="122" t="str">
        <f>$C$32</f>
        <v>HV 22KV Line Outage</v>
      </c>
      <c r="D107" s="127"/>
      <c r="E107" s="122"/>
      <c r="F107" s="122"/>
      <c r="G107" s="122"/>
      <c r="H107" s="124"/>
      <c r="I107" s="129">
        <f>'T3 Smart ACRs'!I101*'T3 Smart ACRs'!I62</f>
        <v>179613.67954999997</v>
      </c>
      <c r="J107" s="129">
        <f>'T3 Smart ACRs'!J101*'T3 Smart ACRs'!J62</f>
        <v>938061.34869999974</v>
      </c>
      <c r="K107" s="129">
        <f>'T3 Smart ACRs'!K101*'T3 Smart ACRs'!K62</f>
        <v>686380.81134999997</v>
      </c>
      <c r="L107" s="129">
        <f>SUM(I107:K107)</f>
        <v>1804055.8395999996</v>
      </c>
    </row>
    <row r="108" spans="3:12" x14ac:dyDescent="0.15"/>
    <row r="109" spans="3:12" x14ac:dyDescent="0.15">
      <c r="C109" s="99" t="s">
        <v>129</v>
      </c>
      <c r="I109" s="116" t="s">
        <v>5</v>
      </c>
      <c r="J109" s="116" t="s">
        <v>6</v>
      </c>
      <c r="K109" s="116" t="s">
        <v>7</v>
      </c>
      <c r="L109" s="116" t="s">
        <v>8</v>
      </c>
    </row>
    <row r="110" spans="3:12" x14ac:dyDescent="0.15">
      <c r="C110" s="101" t="str">
        <f>$C$29</f>
        <v>22KV Dist Sub Outage</v>
      </c>
      <c r="I110" s="131">
        <f>ROUND(('T3 Smart ACRs'!I104*('T3 Smart ACRs'!$G$20/('T3 Smart ACRs'!$G$21*365*24*60))),3)</f>
        <v>7.702</v>
      </c>
      <c r="J110" s="131">
        <f>ROUND(('T3 Smart ACRs'!J104*('T3 Smart ACRs'!$G$20/('T3 Smart ACRs'!$G$21*365*24*60))),3)</f>
        <v>10.426</v>
      </c>
      <c r="K110" s="131">
        <f>ROUND(('T3 Smart ACRs'!K104*('T3 Smart ACRs'!$G$20/('T3 Smart ACRs'!$G$21*365*24*60))),3)</f>
        <v>9.2829999999999995</v>
      </c>
      <c r="L110" s="131">
        <f>ROUND(('T3 Smart ACRs'!L104*('T3 Smart ACRs'!$G$20/('T3 Smart ACRs'!$G$21*365*24*60))),3)</f>
        <v>27.411000000000001</v>
      </c>
    </row>
    <row r="111" spans="3:12" x14ac:dyDescent="0.15">
      <c r="C111" s="101" t="str">
        <f>$C$30</f>
        <v>HV 22kv ACR Outage</v>
      </c>
      <c r="I111" s="131">
        <f>ROUND(('T3 Smart ACRs'!I105*('T3 Smart ACRs'!$G$20/('T3 Smart ACRs'!$G$21*365*24*60))),3)</f>
        <v>19.364999999999998</v>
      </c>
      <c r="J111" s="131">
        <f>ROUND(('T3 Smart ACRs'!J105*('T3 Smart ACRs'!$G$20/('T3 Smart ACRs'!$G$21*365*24*60))),3)</f>
        <v>44.859000000000002</v>
      </c>
      <c r="K111" s="131">
        <f>ROUND(('T3 Smart ACRs'!K105*('T3 Smart ACRs'!$G$20/('T3 Smart ACRs'!$G$21*365*24*60))),3)</f>
        <v>77.313000000000002</v>
      </c>
      <c r="L111" s="131">
        <f>ROUND(('T3 Smart ACRs'!L105*('T3 Smart ACRs'!$G$20/('T3 Smart ACRs'!$G$21*365*24*60))),3)</f>
        <v>141.536</v>
      </c>
    </row>
    <row r="112" spans="3:12" x14ac:dyDescent="0.15">
      <c r="C112" s="101" t="str">
        <f>$C$31</f>
        <v>HV 22KV CB Outage</v>
      </c>
      <c r="I112" s="131">
        <f>ROUND(('T3 Smart ACRs'!I106*('T3 Smart ACRs'!$G$20/('T3 Smart ACRs'!$G$21*365*24*60))),3)</f>
        <v>30.155999999999999</v>
      </c>
      <c r="J112" s="131">
        <f>ROUND(('T3 Smart ACRs'!J106*('T3 Smart ACRs'!$G$20/('T3 Smart ACRs'!$G$21*365*24*60))),3)</f>
        <v>67.287000000000006</v>
      </c>
      <c r="K112" s="131">
        <f>ROUND(('T3 Smart ACRs'!K106*('T3 Smart ACRs'!$G$20/('T3 Smart ACRs'!$G$21*365*24*60))),3)</f>
        <v>51.34</v>
      </c>
      <c r="L112" s="131">
        <f>ROUND(('T3 Smart ACRs'!L106*('T3 Smart ACRs'!$G$20/('T3 Smart ACRs'!$G$21*365*24*60))),3)</f>
        <v>148.78299999999999</v>
      </c>
    </row>
    <row r="113" spans="1:12" x14ac:dyDescent="0.15">
      <c r="C113" s="122" t="str">
        <f>$C$32</f>
        <v>HV 22KV Line Outage</v>
      </c>
      <c r="D113" s="123"/>
      <c r="E113" s="122"/>
      <c r="F113" s="122"/>
      <c r="G113" s="122"/>
      <c r="H113" s="124"/>
      <c r="I113" s="131">
        <f>ROUND(('T3 Smart ACRs'!I107*('T3 Smart ACRs'!$G$20/('T3 Smart ACRs'!$G$21*365*24*60))),3)</f>
        <v>3.964</v>
      </c>
      <c r="J113" s="131">
        <f>ROUND(('T3 Smart ACRs'!J107*('T3 Smart ACRs'!$G$20/('T3 Smart ACRs'!$G$21*365*24*60))),3)</f>
        <v>20.702000000000002</v>
      </c>
      <c r="K113" s="131">
        <f>ROUND(('T3 Smart ACRs'!K107*('T3 Smart ACRs'!$G$20/('T3 Smart ACRs'!$G$21*365*24*60))),3)</f>
        <v>15.148</v>
      </c>
      <c r="L113" s="131">
        <f>ROUND(('T3 Smart ACRs'!L107*('T3 Smart ACRs'!$G$20/('T3 Smart ACRs'!$G$21*365*24*60))),3)</f>
        <v>39.813000000000002</v>
      </c>
    </row>
    <row r="114" spans="1:12" x14ac:dyDescent="0.15">
      <c r="C114" s="99" t="s">
        <v>128</v>
      </c>
      <c r="D114" s="132"/>
      <c r="E114" s="99"/>
      <c r="F114" s="99"/>
      <c r="G114" s="99"/>
      <c r="H114" s="133"/>
      <c r="I114" s="134">
        <f>SUM(I110:I113)</f>
        <v>61.186999999999998</v>
      </c>
      <c r="J114" s="134">
        <f>SUM(J110:J113)</f>
        <v>143.274</v>
      </c>
      <c r="K114" s="134">
        <f>SUM(K110:K113)</f>
        <v>153.084</v>
      </c>
      <c r="L114" s="134">
        <f>SUM(L110:L113)</f>
        <v>357.54300000000001</v>
      </c>
    </row>
    <row r="115" spans="1:12" x14ac:dyDescent="0.15"/>
    <row r="116" spans="1:12" x14ac:dyDescent="0.15">
      <c r="A116" s="103" t="s">
        <v>144</v>
      </c>
      <c r="B116" s="103"/>
      <c r="C116" s="103"/>
      <c r="D116" s="104"/>
      <c r="E116" s="105"/>
      <c r="F116" s="105"/>
      <c r="G116" s="105"/>
      <c r="H116" s="95"/>
      <c r="I116" s="105"/>
      <c r="J116" s="105"/>
      <c r="K116" s="105"/>
      <c r="L116" s="105"/>
    </row>
    <row r="117" spans="1:12" x14ac:dyDescent="0.15"/>
    <row r="118" spans="1:12" hidden="1" x14ac:dyDescent="0.15"/>
    <row r="119" spans="1:12" hidden="1" x14ac:dyDescent="0.15"/>
    <row r="120" spans="1:12" hidden="1" x14ac:dyDescent="0.15"/>
    <row r="121" spans="1:12" hidden="1" x14ac:dyDescent="0.15"/>
    <row r="122" spans="1:12" hidden="1" x14ac:dyDescent="0.15"/>
    <row r="123" spans="1:12" hidden="1" x14ac:dyDescent="0.15"/>
    <row r="124" spans="1:12" hidden="1" x14ac:dyDescent="0.15"/>
    <row r="125" spans="1:12" hidden="1" x14ac:dyDescent="0.15"/>
    <row r="126" spans="1:12" hidden="1" x14ac:dyDescent="0.15"/>
    <row r="127" spans="1:12" hidden="1" x14ac:dyDescent="0.15"/>
    <row r="128" spans="1:12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  <row r="167" hidden="1" x14ac:dyDescent="0.15"/>
    <row r="168" hidden="1" x14ac:dyDescent="0.15"/>
    <row r="169" hidden="1" x14ac:dyDescent="0.15"/>
    <row r="170" hidden="1" x14ac:dyDescent="0.15"/>
    <row r="171" hidden="1" x14ac:dyDescent="0.15"/>
    <row r="172" hidden="1" x14ac:dyDescent="0.15"/>
    <row r="173" hidden="1" x14ac:dyDescent="0.15"/>
    <row r="174" hidden="1" x14ac:dyDescent="0.15"/>
    <row r="175" hidden="1" x14ac:dyDescent="0.15"/>
    <row r="176" hidden="1" x14ac:dyDescent="0.15"/>
    <row r="177" hidden="1" x14ac:dyDescent="0.15"/>
    <row r="178" hidden="1" x14ac:dyDescent="0.15"/>
    <row r="179" hidden="1" x14ac:dyDescent="0.15"/>
    <row r="180" hidden="1" x14ac:dyDescent="0.15"/>
    <row r="181" hidden="1" x14ac:dyDescent="0.15"/>
  </sheetData>
  <sheetProtection formatCells="0" formatColumns="0" formatRows="0" autoFilter="0"/>
  <mergeCells count="2">
    <mergeCell ref="C44:L44"/>
    <mergeCell ref="C71:L7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S110"/>
  <sheetViews>
    <sheetView showGridLines="0" zoomScaleNormal="100" workbookViewId="0">
      <selection activeCell="A2" sqref="A2"/>
    </sheetView>
  </sheetViews>
  <sheetFormatPr defaultColWidth="0" defaultRowHeight="12.75" zeroHeight="1" outlineLevelRow="1" x14ac:dyDescent="0.2"/>
  <cols>
    <col min="1" max="1" width="2.75" style="1" customWidth="1"/>
    <col min="2" max="2" width="29.75" style="1" bestFit="1" customWidth="1"/>
    <col min="3" max="4" width="11.125" style="2" customWidth="1"/>
    <col min="5" max="5" width="12.875" style="2" customWidth="1"/>
    <col min="6" max="7" width="11.125" style="2" customWidth="1"/>
    <col min="8" max="16" width="11.125" style="1" customWidth="1"/>
    <col min="17" max="17" width="2.5" style="1" customWidth="1"/>
    <col min="18" max="16384" width="9" hidden="1"/>
  </cols>
  <sheetData>
    <row r="1" spans="1:17" x14ac:dyDescent="0.2"/>
    <row r="2" spans="1:17" x14ac:dyDescent="0.2">
      <c r="A2" s="46" t="s">
        <v>141</v>
      </c>
      <c r="B2" s="46"/>
      <c r="C2" s="47"/>
      <c r="D2" s="47"/>
      <c r="E2" s="47"/>
      <c r="F2" s="47"/>
      <c r="G2" s="47"/>
      <c r="H2" s="46"/>
      <c r="I2" s="46"/>
      <c r="J2" s="46"/>
      <c r="K2" s="46"/>
      <c r="L2" s="46"/>
      <c r="M2" s="46"/>
      <c r="N2" s="46"/>
      <c r="O2" s="46"/>
      <c r="P2" s="46"/>
    </row>
    <row r="3" spans="1:17" x14ac:dyDescent="0.2"/>
    <row r="4" spans="1:17" x14ac:dyDescent="0.2">
      <c r="B4" s="141" t="s">
        <v>142</v>
      </c>
      <c r="C4" s="141"/>
    </row>
    <row r="5" spans="1:17" x14ac:dyDescent="0.2">
      <c r="B5" s="2" t="s">
        <v>17</v>
      </c>
      <c r="C5" s="140">
        <v>9415128.2345357668</v>
      </c>
    </row>
    <row r="6" spans="1:17" x14ac:dyDescent="0.2">
      <c r="B6" s="2" t="s">
        <v>131</v>
      </c>
      <c r="C6" s="68">
        <v>811694</v>
      </c>
    </row>
    <row r="7" spans="1:17" x14ac:dyDescent="0.2">
      <c r="B7" s="50" t="s">
        <v>143</v>
      </c>
      <c r="C7" s="65">
        <v>44683.942471126618</v>
      </c>
    </row>
    <row r="8" spans="1:17" x14ac:dyDescent="0.2"/>
    <row r="9" spans="1:17" x14ac:dyDescent="0.2">
      <c r="A9" s="46" t="s">
        <v>183</v>
      </c>
      <c r="B9" s="46"/>
      <c r="C9" s="47"/>
      <c r="D9" s="47"/>
      <c r="E9" s="47"/>
      <c r="F9" s="47"/>
      <c r="G9" s="47"/>
      <c r="H9" s="46"/>
      <c r="I9" s="46"/>
      <c r="J9" s="46"/>
      <c r="K9" s="46"/>
      <c r="L9" s="46"/>
      <c r="M9" s="46"/>
      <c r="N9" s="46"/>
      <c r="O9" s="46"/>
      <c r="P9" s="46"/>
    </row>
    <row r="10" spans="1:17" x14ac:dyDescent="0.2"/>
    <row r="11" spans="1:17" ht="18" hidden="1" customHeight="1" outlineLevel="1" x14ac:dyDescent="0.2">
      <c r="A11" s="60"/>
      <c r="B11" s="62"/>
      <c r="C11" s="173" t="s">
        <v>15</v>
      </c>
      <c r="D11" s="174"/>
      <c r="E11" s="174"/>
      <c r="F11" s="174"/>
      <c r="G11" s="61"/>
      <c r="H11" s="173" t="s">
        <v>14</v>
      </c>
      <c r="I11" s="174"/>
      <c r="J11" s="174"/>
      <c r="K11" s="174"/>
      <c r="L11" s="60"/>
      <c r="M11" s="173" t="s">
        <v>13</v>
      </c>
      <c r="N11" s="174"/>
      <c r="O11" s="174"/>
      <c r="P11" s="174"/>
      <c r="Q11" s="60"/>
    </row>
    <row r="12" spans="1:17" hidden="1" outlineLevel="1" x14ac:dyDescent="0.2">
      <c r="A12" s="14"/>
      <c r="B12" s="14"/>
      <c r="C12" s="52"/>
      <c r="D12" s="53"/>
      <c r="E12" s="53"/>
      <c r="F12" s="53"/>
      <c r="G12" s="15"/>
      <c r="H12" s="52"/>
      <c r="I12" s="53"/>
      <c r="J12" s="53"/>
      <c r="K12" s="53"/>
      <c r="L12" s="14"/>
      <c r="M12" s="52"/>
      <c r="N12" s="53"/>
      <c r="O12" s="53"/>
      <c r="P12" s="53"/>
      <c r="Q12" s="14"/>
    </row>
    <row r="13" spans="1:17" ht="25.5" hidden="1" customHeight="1" outlineLevel="1" x14ac:dyDescent="0.2">
      <c r="A13" s="16"/>
      <c r="B13" s="16"/>
      <c r="C13" s="175" t="s">
        <v>11</v>
      </c>
      <c r="D13" s="176"/>
      <c r="E13" s="176"/>
      <c r="F13" s="176"/>
      <c r="G13" s="16"/>
      <c r="H13" s="177" t="s">
        <v>132</v>
      </c>
      <c r="I13" s="178"/>
      <c r="J13" s="178"/>
      <c r="K13" s="178"/>
      <c r="L13" s="16"/>
      <c r="M13" s="171" t="s">
        <v>133</v>
      </c>
      <c r="N13" s="172"/>
      <c r="O13" s="172"/>
      <c r="P13" s="172"/>
      <c r="Q13" s="16"/>
    </row>
    <row r="14" spans="1:17" s="93" customFormat="1" hidden="1" outlineLevel="1" x14ac:dyDescent="0.2">
      <c r="A14" s="90"/>
      <c r="B14" s="90"/>
      <c r="C14" s="91"/>
      <c r="D14" s="92"/>
      <c r="E14" s="92"/>
      <c r="F14" s="92"/>
      <c r="G14" s="90"/>
      <c r="H14" s="91"/>
      <c r="I14" s="92"/>
      <c r="J14" s="92"/>
      <c r="K14" s="92"/>
      <c r="L14" s="90"/>
      <c r="M14" s="91"/>
      <c r="N14" s="92"/>
      <c r="O14" s="92"/>
      <c r="P14" s="92"/>
      <c r="Q14" s="90"/>
    </row>
    <row r="15" spans="1:17" hidden="1" outlineLevel="1" x14ac:dyDescent="0.2">
      <c r="B15" s="2" t="s">
        <v>0</v>
      </c>
      <c r="C15" s="16" t="s">
        <v>5</v>
      </c>
      <c r="D15" s="16" t="s">
        <v>6</v>
      </c>
      <c r="E15" s="16" t="s">
        <v>7</v>
      </c>
      <c r="F15" s="16" t="s">
        <v>8</v>
      </c>
      <c r="H15" s="16" t="s">
        <v>5</v>
      </c>
      <c r="I15" s="16" t="s">
        <v>6</v>
      </c>
      <c r="J15" s="16" t="s">
        <v>7</v>
      </c>
      <c r="K15" s="16" t="s">
        <v>8</v>
      </c>
      <c r="L15" s="2"/>
      <c r="M15" s="16" t="s">
        <v>5</v>
      </c>
      <c r="N15" s="16" t="s">
        <v>6</v>
      </c>
      <c r="O15" s="16" t="s">
        <v>7</v>
      </c>
      <c r="P15" s="16" t="s">
        <v>8</v>
      </c>
    </row>
    <row r="16" spans="1:17" hidden="1" outlineLevel="1" x14ac:dyDescent="0.2">
      <c r="B16" s="2" t="s">
        <v>1</v>
      </c>
      <c r="C16" s="144">
        <f>'T1 Base'!I51</f>
        <v>68814.399999999994</v>
      </c>
      <c r="D16" s="144">
        <f>'T1 Base'!J51</f>
        <v>241269.8</v>
      </c>
      <c r="E16" s="144">
        <f>'T1 Base'!K51</f>
        <v>484006.2</v>
      </c>
      <c r="F16" s="17">
        <f t="shared" ref="F16:F37" si="0">SUM(C16:E16)</f>
        <v>794090.39999999991</v>
      </c>
      <c r="H16" s="144">
        <f>'T1 Base'!I102</f>
        <v>55120.3344</v>
      </c>
      <c r="I16" s="144">
        <f>'T1 Base'!J102</f>
        <v>193257.10980000001</v>
      </c>
      <c r="J16" s="144">
        <f>'T1 Base'!K102</f>
        <v>387688.96620000008</v>
      </c>
      <c r="K16" s="17">
        <f t="shared" ref="K16:K19" si="1">SUM(H16:J16)</f>
        <v>636066.41040000005</v>
      </c>
      <c r="L16" s="2"/>
      <c r="M16" s="144">
        <f>'T1 Smart ACRs'!I104</f>
        <v>55120.3344</v>
      </c>
      <c r="N16" s="144">
        <f>'T1 Smart ACRs'!J104</f>
        <v>193257.10980000001</v>
      </c>
      <c r="O16" s="144">
        <f>'T1 Smart ACRs'!K104</f>
        <v>387688.96620000008</v>
      </c>
      <c r="P16" s="17">
        <f t="shared" ref="P16:P19" si="2">SUM(M16:O16)</f>
        <v>636066.41040000005</v>
      </c>
    </row>
    <row r="17" spans="1:17" hidden="1" outlineLevel="1" x14ac:dyDescent="0.2">
      <c r="B17" s="2" t="s">
        <v>2</v>
      </c>
      <c r="C17" s="144">
        <f>'T1 Base'!I52</f>
        <v>0</v>
      </c>
      <c r="D17" s="144">
        <f>'T1 Base'!J52</f>
        <v>528337</v>
      </c>
      <c r="E17" s="144">
        <f>'T1 Base'!K52</f>
        <v>4075888</v>
      </c>
      <c r="F17" s="17">
        <f t="shared" si="0"/>
        <v>4604225</v>
      </c>
      <c r="H17" s="144">
        <f>'T1 Base'!I103</f>
        <v>0</v>
      </c>
      <c r="I17" s="144">
        <f>'T1 Base'!J103</f>
        <v>344343.63974999991</v>
      </c>
      <c r="J17" s="144">
        <f>'T1 Base'!K103</f>
        <v>2656460.0039999997</v>
      </c>
      <c r="K17" s="17">
        <f t="shared" si="1"/>
        <v>3000803.6437499998</v>
      </c>
      <c r="L17" s="2"/>
      <c r="M17" s="144">
        <f>'T1 Smart ACRs'!I105</f>
        <v>0</v>
      </c>
      <c r="N17" s="144">
        <f>'T1 Smart ACRs'!J105</f>
        <v>915248.75183999992</v>
      </c>
      <c r="O17" s="144">
        <f>'T1 Smart ACRs'!K105</f>
        <v>5908572.3182639992</v>
      </c>
      <c r="P17" s="17">
        <f t="shared" si="2"/>
        <v>6823821.0701039992</v>
      </c>
    </row>
    <row r="18" spans="1:17" hidden="1" outlineLevel="1" x14ac:dyDescent="0.2">
      <c r="B18" s="2" t="s">
        <v>3</v>
      </c>
      <c r="C18" s="144">
        <f>'T1 Base'!I53</f>
        <v>193029.6</v>
      </c>
      <c r="D18" s="144">
        <f>'T1 Base'!J53</f>
        <v>1021329.6</v>
      </c>
      <c r="E18" s="144">
        <f>'T1 Base'!K53</f>
        <v>5374548</v>
      </c>
      <c r="F18" s="17">
        <f t="shared" si="0"/>
        <v>6588907.2000000002</v>
      </c>
      <c r="H18" s="144">
        <f>'T1 Base'!I104</f>
        <v>170101.90604250002</v>
      </c>
      <c r="I18" s="144">
        <f>'T1 Base'!J104</f>
        <v>2068306.6676526316</v>
      </c>
      <c r="J18" s="144">
        <f>'T1 Base'!K104</f>
        <v>14568093.051149998</v>
      </c>
      <c r="K18" s="17">
        <f t="shared" si="1"/>
        <v>16806501.624845129</v>
      </c>
      <c r="L18" s="2"/>
      <c r="M18" s="144">
        <f>'T1 Smart ACRs'!I106</f>
        <v>152756.08522124999</v>
      </c>
      <c r="N18" s="144">
        <f>'T1 Smart ACRs'!J106</f>
        <v>1342242.1111578948</v>
      </c>
      <c r="O18" s="144">
        <f>'T1 Smart ACRs'!K106</f>
        <v>8612119.7303250004</v>
      </c>
      <c r="P18" s="17">
        <f t="shared" si="2"/>
        <v>10107117.926704146</v>
      </c>
    </row>
    <row r="19" spans="1:17" hidden="1" outlineLevel="1" x14ac:dyDescent="0.2">
      <c r="B19" s="50" t="s">
        <v>4</v>
      </c>
      <c r="C19" s="144">
        <f>'T1 Base'!I54</f>
        <v>25408.799999999999</v>
      </c>
      <c r="D19" s="144">
        <f>'T1 Base'!J54</f>
        <v>551531.19999999995</v>
      </c>
      <c r="E19" s="144">
        <f>'T1 Base'!K54</f>
        <v>2827325.8</v>
      </c>
      <c r="F19" s="51">
        <f t="shared" si="0"/>
        <v>3404265.8</v>
      </c>
      <c r="H19" s="144">
        <f>'T1 Base'!I105</f>
        <v>14032.009799999998</v>
      </c>
      <c r="I19" s="144">
        <f>'T1 Base'!J105</f>
        <v>304583.10519999999</v>
      </c>
      <c r="J19" s="144">
        <f>'T1 Base'!K105</f>
        <v>1561390.6730499996</v>
      </c>
      <c r="K19" s="51">
        <f t="shared" si="1"/>
        <v>1880005.7880499996</v>
      </c>
      <c r="L19" s="2"/>
      <c r="M19" s="144">
        <f>'T1 Smart ACRs'!I107</f>
        <v>14032.009799999998</v>
      </c>
      <c r="N19" s="144">
        <f>'T1 Smart ACRs'!J107</f>
        <v>304583.10519999999</v>
      </c>
      <c r="O19" s="144">
        <f>'T1 Smart ACRs'!K107</f>
        <v>1561390.6730499996</v>
      </c>
      <c r="P19" s="51">
        <f t="shared" si="2"/>
        <v>1880005.7880499996</v>
      </c>
    </row>
    <row r="20" spans="1:17" hidden="1" outlineLevel="1" x14ac:dyDescent="0.2">
      <c r="A20" s="13"/>
      <c r="B20" s="18" t="s">
        <v>128</v>
      </c>
      <c r="C20" s="55">
        <f>SUM(C16:C19)</f>
        <v>287252.8</v>
      </c>
      <c r="D20" s="55">
        <f t="shared" ref="D20:E20" si="3">SUM(D16:D19)</f>
        <v>2342467.5999999996</v>
      </c>
      <c r="E20" s="55">
        <f t="shared" si="3"/>
        <v>12761768</v>
      </c>
      <c r="F20" s="49">
        <f>SUM(F16:F19)</f>
        <v>15391488.400000002</v>
      </c>
      <c r="G20" s="18"/>
      <c r="H20" s="55">
        <f>SUM(H16:H19)</f>
        <v>239254.25024250001</v>
      </c>
      <c r="I20" s="55">
        <f t="shared" ref="I20" si="4">SUM(I16:I19)</f>
        <v>2910490.5224026316</v>
      </c>
      <c r="J20" s="55">
        <f t="shared" ref="J20" si="5">SUM(J16:J19)</f>
        <v>19173632.694399998</v>
      </c>
      <c r="K20" s="49">
        <f>SUM(K16:K19)</f>
        <v>22323377.467045128</v>
      </c>
      <c r="L20" s="18"/>
      <c r="M20" s="55">
        <f>SUM(M16:M19)</f>
        <v>221908.42942124998</v>
      </c>
      <c r="N20" s="55">
        <f t="shared" ref="N20" si="6">SUM(N16:N19)</f>
        <v>2755331.077997895</v>
      </c>
      <c r="O20" s="55">
        <f t="shared" ref="O20" si="7">SUM(O16:O19)</f>
        <v>16469771.687839</v>
      </c>
      <c r="P20" s="49">
        <f>SUM(P16:P19)</f>
        <v>19447011.195258144</v>
      </c>
      <c r="Q20" s="13"/>
    </row>
    <row r="21" spans="1:17" hidden="1" outlineLevel="1" x14ac:dyDescent="0.2">
      <c r="B21" s="2"/>
      <c r="H21" s="2"/>
      <c r="I21" s="2"/>
      <c r="J21" s="2"/>
      <c r="K21" s="2"/>
      <c r="L21" s="2"/>
      <c r="M21" s="2"/>
      <c r="N21" s="2"/>
      <c r="O21" s="2"/>
      <c r="P21" s="2"/>
    </row>
    <row r="22" spans="1:17" ht="24.75" hidden="1" customHeight="1" outlineLevel="1" x14ac:dyDescent="0.2">
      <c r="A22" s="2"/>
      <c r="B22" s="2"/>
      <c r="C22" s="175" t="s">
        <v>12</v>
      </c>
      <c r="D22" s="176"/>
      <c r="E22" s="176"/>
      <c r="F22" s="176"/>
      <c r="G22" s="16"/>
      <c r="H22" s="177" t="s">
        <v>134</v>
      </c>
      <c r="I22" s="178"/>
      <c r="J22" s="178"/>
      <c r="K22" s="178"/>
      <c r="L22" s="16"/>
      <c r="M22" s="171" t="s">
        <v>135</v>
      </c>
      <c r="N22" s="172"/>
      <c r="O22" s="172"/>
      <c r="P22" s="172"/>
      <c r="Q22" s="2"/>
    </row>
    <row r="23" spans="1:17" s="93" customFormat="1" hidden="1" outlineLevel="1" x14ac:dyDescent="0.2">
      <c r="A23" s="15"/>
      <c r="B23" s="15"/>
      <c r="C23" s="91"/>
      <c r="D23" s="92"/>
      <c r="E23" s="92"/>
      <c r="F23" s="92"/>
      <c r="G23" s="90"/>
      <c r="H23" s="91"/>
      <c r="I23" s="92"/>
      <c r="J23" s="92"/>
      <c r="K23" s="92"/>
      <c r="L23" s="90"/>
      <c r="M23" s="91"/>
      <c r="N23" s="92"/>
      <c r="O23" s="92"/>
      <c r="P23" s="92"/>
      <c r="Q23" s="15"/>
    </row>
    <row r="24" spans="1:17" hidden="1" outlineLevel="1" x14ac:dyDescent="0.2">
      <c r="B24" s="2" t="s">
        <v>0</v>
      </c>
      <c r="C24" s="16" t="s">
        <v>5</v>
      </c>
      <c r="D24" s="16" t="s">
        <v>6</v>
      </c>
      <c r="E24" s="16" t="s">
        <v>7</v>
      </c>
      <c r="F24" s="16" t="s">
        <v>8</v>
      </c>
      <c r="H24" s="16" t="s">
        <v>5</v>
      </c>
      <c r="I24" s="16" t="s">
        <v>6</v>
      </c>
      <c r="J24" s="16" t="s">
        <v>7</v>
      </c>
      <c r="K24" s="16" t="s">
        <v>8</v>
      </c>
      <c r="L24" s="2"/>
      <c r="M24" s="16" t="s">
        <v>5</v>
      </c>
      <c r="N24" s="16" t="s">
        <v>6</v>
      </c>
      <c r="O24" s="16" t="s">
        <v>7</v>
      </c>
      <c r="P24" s="16" t="s">
        <v>8</v>
      </c>
    </row>
    <row r="25" spans="1:17" hidden="1" outlineLevel="1" x14ac:dyDescent="0.2">
      <c r="B25" s="2" t="s">
        <v>1</v>
      </c>
      <c r="C25" s="144">
        <f>'T2 Base'!I51</f>
        <v>335473.8</v>
      </c>
      <c r="D25" s="144">
        <f>'T2 Base'!J51</f>
        <v>452416.2</v>
      </c>
      <c r="E25" s="144">
        <f>'T2 Base'!K51</f>
        <v>728322</v>
      </c>
      <c r="F25" s="17">
        <f t="shared" si="0"/>
        <v>1516212</v>
      </c>
      <c r="H25" s="144">
        <f>'T2 Base'!I102</f>
        <v>268714.51379999996</v>
      </c>
      <c r="I25" s="144">
        <f>'T2 Base'!J102</f>
        <v>362385.37620000006</v>
      </c>
      <c r="J25" s="144">
        <f>'T2 Base'!K102</f>
        <v>583385.92200000014</v>
      </c>
      <c r="K25" s="17">
        <f>SUM(H25:J25)</f>
        <v>1214485.8120000002</v>
      </c>
      <c r="L25" s="2"/>
      <c r="M25" s="144">
        <f>'T2 Smart ACRs'!I104</f>
        <v>268714.51379999996</v>
      </c>
      <c r="N25" s="144">
        <f>'T2 Smart ACRs'!J104</f>
        <v>362385.37620000006</v>
      </c>
      <c r="O25" s="144">
        <f>'T2 Smart ACRs'!K104</f>
        <v>583385.92200000014</v>
      </c>
      <c r="P25" s="17">
        <f t="shared" ref="P25:P28" si="8">SUM(M25:O25)</f>
        <v>1214485.8120000002</v>
      </c>
    </row>
    <row r="26" spans="1:17" hidden="1" outlineLevel="1" x14ac:dyDescent="0.2">
      <c r="B26" s="2" t="s">
        <v>2</v>
      </c>
      <c r="C26" s="144">
        <f>'T2 Base'!I52</f>
        <v>110652</v>
      </c>
      <c r="D26" s="144">
        <f>'T2 Base'!J52</f>
        <v>1118584.6000000001</v>
      </c>
      <c r="E26" s="144">
        <f>'T2 Base'!K52</f>
        <v>7734594.2000000002</v>
      </c>
      <c r="F26" s="17">
        <f t="shared" si="0"/>
        <v>8963830.8000000007</v>
      </c>
      <c r="H26" s="144">
        <f>'T2 Base'!I103</f>
        <v>72117.441000000006</v>
      </c>
      <c r="I26" s="144">
        <f>'T2 Base'!J103</f>
        <v>729037.51305000018</v>
      </c>
      <c r="J26" s="144">
        <f>'T2 Base'!K103</f>
        <v>5041021.7698500007</v>
      </c>
      <c r="K26" s="17">
        <f t="shared" ref="K26:K28" si="9">SUM(H26:J26)</f>
        <v>5842176.7239000006</v>
      </c>
      <c r="L26" s="2"/>
      <c r="M26" s="144">
        <f>'T2 Smart ACRs'!I105</f>
        <v>318738.61860000005</v>
      </c>
      <c r="N26" s="144">
        <f>'T2 Smart ACRs'!J105</f>
        <v>1711650.16503</v>
      </c>
      <c r="O26" s="144">
        <f>'T2 Smart ACRs'!K105</f>
        <v>9012456.6499505732</v>
      </c>
      <c r="P26" s="17">
        <f t="shared" si="8"/>
        <v>11042845.433580574</v>
      </c>
    </row>
    <row r="27" spans="1:17" hidden="1" outlineLevel="1" x14ac:dyDescent="0.2">
      <c r="B27" s="2" t="s">
        <v>3</v>
      </c>
      <c r="C27" s="144">
        <f>'T2 Base'!I53</f>
        <v>1534726</v>
      </c>
      <c r="D27" s="144">
        <f>'T2 Base'!J53</f>
        <v>2778215.8</v>
      </c>
      <c r="E27" s="144">
        <f>'T2 Base'!K53</f>
        <v>5194006.5999999996</v>
      </c>
      <c r="F27" s="17">
        <f t="shared" si="0"/>
        <v>9506948.3999999985</v>
      </c>
      <c r="H27" s="144">
        <f>'T2 Base'!I104</f>
        <v>1585236.193776923</v>
      </c>
      <c r="I27" s="144">
        <f>'T2 Base'!J104</f>
        <v>4430228.9070738098</v>
      </c>
      <c r="J27" s="144">
        <f>'T2 Base'!K104</f>
        <v>18691613.560084175</v>
      </c>
      <c r="K27" s="17">
        <f t="shared" si="9"/>
        <v>24707078.66093491</v>
      </c>
      <c r="L27" s="2"/>
      <c r="M27" s="144">
        <f>'T2 Smart ACRs'!I106</f>
        <v>1322113.3238692307</v>
      </c>
      <c r="N27" s="144">
        <f>'T2 Smart ACRs'!J106</f>
        <v>3074393.4486785713</v>
      </c>
      <c r="O27" s="144">
        <f>'T2 Smart ACRs'!K106</f>
        <v>9888139.2313173283</v>
      </c>
      <c r="P27" s="17">
        <f t="shared" si="8"/>
        <v>14284646.00386513</v>
      </c>
    </row>
    <row r="28" spans="1:17" hidden="1" outlineLevel="1" x14ac:dyDescent="0.2">
      <c r="B28" s="50" t="s">
        <v>4</v>
      </c>
      <c r="C28" s="144">
        <f>'T2 Base'!I54</f>
        <v>288672</v>
      </c>
      <c r="D28" s="144">
        <f>'T2 Base'!J54</f>
        <v>579578.80000000005</v>
      </c>
      <c r="E28" s="144">
        <f>'T2 Base'!K54</f>
        <v>3852161.4</v>
      </c>
      <c r="F28" s="51">
        <f t="shared" si="0"/>
        <v>4720412.2</v>
      </c>
      <c r="H28" s="144">
        <f>'T2 Base'!I105</f>
        <v>159419.11199999999</v>
      </c>
      <c r="I28" s="144">
        <f>'T2 Base'!J105</f>
        <v>320072.39230000001</v>
      </c>
      <c r="J28" s="144">
        <f>'T2 Base'!K105</f>
        <v>2127356.1331499997</v>
      </c>
      <c r="K28" s="51">
        <f t="shared" si="9"/>
        <v>2606847.6374499998</v>
      </c>
      <c r="L28" s="2"/>
      <c r="M28" s="144">
        <f>'T2 Smart ACRs'!I107</f>
        <v>159419.11199999999</v>
      </c>
      <c r="N28" s="144">
        <f>'T2 Smart ACRs'!J107</f>
        <v>320072.39230000001</v>
      </c>
      <c r="O28" s="144">
        <f>'T2 Smart ACRs'!K107</f>
        <v>2127356.1331499997</v>
      </c>
      <c r="P28" s="51">
        <f t="shared" si="8"/>
        <v>2606847.6374499998</v>
      </c>
    </row>
    <row r="29" spans="1:17" hidden="1" outlineLevel="1" x14ac:dyDescent="0.2">
      <c r="A29" s="13"/>
      <c r="B29" s="18" t="s">
        <v>128</v>
      </c>
      <c r="C29" s="55">
        <f>SUM(C25:C28)</f>
        <v>2269523.7999999998</v>
      </c>
      <c r="D29" s="55">
        <f t="shared" ref="D29" si="10">SUM(D25:D28)</f>
        <v>4928795.3999999994</v>
      </c>
      <c r="E29" s="55">
        <f t="shared" ref="E29" si="11">SUM(E25:E28)</f>
        <v>17509084.199999999</v>
      </c>
      <c r="F29" s="49">
        <f>SUM(F25:F28)</f>
        <v>24707403.399999999</v>
      </c>
      <c r="G29" s="18"/>
      <c r="H29" s="55">
        <f>SUM(H25:H28)</f>
        <v>2085487.2605769229</v>
      </c>
      <c r="I29" s="55">
        <f t="shared" ref="I29" si="12">SUM(I25:I28)</f>
        <v>5841724.1886238102</v>
      </c>
      <c r="J29" s="55">
        <f t="shared" ref="J29" si="13">SUM(J25:J28)</f>
        <v>26443377.385084178</v>
      </c>
      <c r="K29" s="49">
        <f>SUM(K25:K28)</f>
        <v>34370588.834284909</v>
      </c>
      <c r="L29" s="18"/>
      <c r="M29" s="55">
        <f>SUM(M25:M28)</f>
        <v>2068985.5682692307</v>
      </c>
      <c r="N29" s="55">
        <f t="shared" ref="N29" si="14">SUM(N25:N28)</f>
        <v>5468501.3822085718</v>
      </c>
      <c r="O29" s="55">
        <f t="shared" ref="O29" si="15">SUM(O25:O28)</f>
        <v>21611337.936417904</v>
      </c>
      <c r="P29" s="49">
        <f>SUM(P25:P28)</f>
        <v>29148824.886895705</v>
      </c>
      <c r="Q29" s="13"/>
    </row>
    <row r="30" spans="1:17" hidden="1" outlineLevel="1" x14ac:dyDescent="0.2">
      <c r="B30" s="2"/>
      <c r="H30" s="2"/>
      <c r="I30" s="2"/>
      <c r="J30" s="2"/>
      <c r="K30" s="2"/>
      <c r="L30" s="2"/>
      <c r="M30" s="2"/>
      <c r="N30" s="2"/>
      <c r="O30" s="2"/>
      <c r="P30" s="2"/>
    </row>
    <row r="31" spans="1:17" ht="24" hidden="1" customHeight="1" outlineLevel="1" x14ac:dyDescent="0.2">
      <c r="A31" s="2"/>
      <c r="B31" s="2"/>
      <c r="C31" s="175" t="s">
        <v>12</v>
      </c>
      <c r="D31" s="176"/>
      <c r="E31" s="176"/>
      <c r="F31" s="176"/>
      <c r="G31" s="16"/>
      <c r="H31" s="177" t="s">
        <v>136</v>
      </c>
      <c r="I31" s="178"/>
      <c r="J31" s="178"/>
      <c r="K31" s="178"/>
      <c r="L31" s="16"/>
      <c r="M31" s="171" t="s">
        <v>137</v>
      </c>
      <c r="N31" s="172"/>
      <c r="O31" s="172"/>
      <c r="P31" s="172"/>
      <c r="Q31" s="2"/>
    </row>
    <row r="32" spans="1:17" s="93" customFormat="1" hidden="1" outlineLevel="1" x14ac:dyDescent="0.2">
      <c r="A32" s="15"/>
      <c r="B32" s="15"/>
      <c r="C32" s="91"/>
      <c r="D32" s="92"/>
      <c r="E32" s="92"/>
      <c r="F32" s="92"/>
      <c r="G32" s="90"/>
      <c r="H32" s="91"/>
      <c r="I32" s="92"/>
      <c r="J32" s="92"/>
      <c r="K32" s="92"/>
      <c r="L32" s="90"/>
      <c r="M32" s="91"/>
      <c r="N32" s="92"/>
      <c r="O32" s="92"/>
      <c r="P32" s="92"/>
      <c r="Q32" s="15"/>
    </row>
    <row r="33" spans="1:17" hidden="1" outlineLevel="1" x14ac:dyDescent="0.2">
      <c r="B33" s="2" t="s">
        <v>0</v>
      </c>
      <c r="C33" s="16" t="s">
        <v>5</v>
      </c>
      <c r="D33" s="16" t="s">
        <v>6</v>
      </c>
      <c r="E33" s="16" t="s">
        <v>7</v>
      </c>
      <c r="F33" s="16" t="s">
        <v>8</v>
      </c>
      <c r="H33" s="16" t="s">
        <v>5</v>
      </c>
      <c r="I33" s="16" t="s">
        <v>6</v>
      </c>
      <c r="J33" s="16" t="s">
        <v>7</v>
      </c>
      <c r="K33" s="16" t="s">
        <v>8</v>
      </c>
      <c r="L33" s="2"/>
      <c r="M33" s="16" t="s">
        <v>5</v>
      </c>
      <c r="N33" s="16" t="s">
        <v>6</v>
      </c>
      <c r="O33" s="16" t="s">
        <v>7</v>
      </c>
      <c r="P33" s="16" t="s">
        <v>8</v>
      </c>
    </row>
    <row r="34" spans="1:17" hidden="1" outlineLevel="1" x14ac:dyDescent="0.2">
      <c r="B34" s="2" t="s">
        <v>1</v>
      </c>
      <c r="C34" s="144">
        <f>'T3 Base'!I51</f>
        <v>435705.2</v>
      </c>
      <c r="D34" s="144">
        <f>'T3 Base'!J51</f>
        <v>589821</v>
      </c>
      <c r="E34" s="144">
        <f>'T3 Base'!K51</f>
        <v>525151.80000000005</v>
      </c>
      <c r="F34" s="17">
        <f t="shared" si="0"/>
        <v>1550678</v>
      </c>
      <c r="H34" s="144">
        <f>'T3 Base'!I102</f>
        <v>348999.8652</v>
      </c>
      <c r="I34" s="144">
        <f>'T3 Base'!J102</f>
        <v>472446.62099999998</v>
      </c>
      <c r="J34" s="144">
        <f>'T3 Base'!K102</f>
        <v>420646.59180000005</v>
      </c>
      <c r="K34" s="17">
        <f>SUM(H34:J34)</f>
        <v>1242093.078</v>
      </c>
      <c r="L34" s="2"/>
      <c r="M34" s="144">
        <f>'T3 Smart ACRs'!I104</f>
        <v>348999.8652</v>
      </c>
      <c r="N34" s="144">
        <f>'T3 Smart ACRs'!J104</f>
        <v>472446.62099999998</v>
      </c>
      <c r="O34" s="144">
        <f>'T3 Smart ACRs'!K104</f>
        <v>420646.59180000005</v>
      </c>
      <c r="P34" s="17">
        <f t="shared" ref="P34:P37" si="16">SUM(M34:O34)</f>
        <v>1242093.078</v>
      </c>
    </row>
    <row r="35" spans="1:17" hidden="1" outlineLevel="1" x14ac:dyDescent="0.2">
      <c r="B35" s="2" t="s">
        <v>2</v>
      </c>
      <c r="C35" s="144">
        <f>'T3 Base'!I52</f>
        <v>585214.80000000005</v>
      </c>
      <c r="D35" s="144">
        <f>'T3 Base'!J52</f>
        <v>1151570.2</v>
      </c>
      <c r="E35" s="144">
        <f>'T3 Base'!K52</f>
        <v>2799098.8</v>
      </c>
      <c r="F35" s="17">
        <f t="shared" si="0"/>
        <v>4535883.8</v>
      </c>
      <c r="H35" s="144">
        <f>'T3 Base'!I103</f>
        <v>381413.74590000004</v>
      </c>
      <c r="I35" s="144">
        <f>'T3 Base'!J103</f>
        <v>750535.87785000005</v>
      </c>
      <c r="J35" s="144">
        <f>'T3 Base'!K103</f>
        <v>1824312.6428999999</v>
      </c>
      <c r="K35" s="17">
        <f t="shared" ref="K35:K37" si="17">SUM(H35:J35)</f>
        <v>2956262.2666499997</v>
      </c>
      <c r="L35" s="2"/>
      <c r="M35" s="144">
        <f>'T3 Smart ACRs'!I105</f>
        <v>877478.94901153864</v>
      </c>
      <c r="N35" s="144">
        <f>'T3 Smart ACRs'!J105</f>
        <v>2032673.8551912499</v>
      </c>
      <c r="O35" s="144">
        <f>'T3 Smart ACRs'!K105</f>
        <v>3503269.4075248814</v>
      </c>
      <c r="P35" s="17">
        <f t="shared" si="16"/>
        <v>6413422.2117276695</v>
      </c>
    </row>
    <row r="36" spans="1:17" hidden="1" outlineLevel="1" x14ac:dyDescent="0.2">
      <c r="B36" s="2" t="s">
        <v>3</v>
      </c>
      <c r="C36" s="144">
        <f>'T3 Base'!I53</f>
        <v>1462551.2</v>
      </c>
      <c r="D36" s="144">
        <f>'T3 Base'!J53</f>
        <v>1900736.8</v>
      </c>
      <c r="E36" s="144">
        <f>'T3 Base'!K53</f>
        <v>599494.19999999995</v>
      </c>
      <c r="F36" s="17">
        <f t="shared" si="0"/>
        <v>3962782.2</v>
      </c>
      <c r="H36" s="144">
        <f>'T3 Base'!I104</f>
        <v>1779718.5531794869</v>
      </c>
      <c r="I36" s="144">
        <f>'T3 Base'!J104</f>
        <v>5030124.0219429787</v>
      </c>
      <c r="J36" s="144">
        <f>'T3 Base'!K104</f>
        <v>4863451.6511349985</v>
      </c>
      <c r="K36" s="17">
        <f t="shared" si="17"/>
        <v>11673294.226257464</v>
      </c>
      <c r="L36" s="2"/>
      <c r="M36" s="144">
        <f>'T3 Smart ACRs'!I106</f>
        <v>1366468.1488897435</v>
      </c>
      <c r="N36" s="144">
        <f>'T3 Smart ACRs'!J106</f>
        <v>3048956.7354268082</v>
      </c>
      <c r="O36" s="144">
        <f>'T3 Smart ACRs'!K106</f>
        <v>2326352.2304549995</v>
      </c>
      <c r="P36" s="17">
        <f t="shared" si="16"/>
        <v>6741777.1147715505</v>
      </c>
    </row>
    <row r="37" spans="1:17" hidden="1" outlineLevel="1" x14ac:dyDescent="0.2">
      <c r="B37" s="50" t="s">
        <v>4</v>
      </c>
      <c r="C37" s="144">
        <f>'T3 Base'!I54</f>
        <v>325239.8</v>
      </c>
      <c r="D37" s="144">
        <f>'T3 Base'!J54</f>
        <v>1698617.2</v>
      </c>
      <c r="E37" s="144">
        <f>'T3 Base'!K54</f>
        <v>1242880.6000000001</v>
      </c>
      <c r="F37" s="51">
        <f t="shared" si="0"/>
        <v>3266737.6</v>
      </c>
      <c r="H37" s="144">
        <f>'T3 Base'!I105</f>
        <v>179613.67954999997</v>
      </c>
      <c r="I37" s="144">
        <f>'T3 Base'!J105</f>
        <v>938061.34869999974</v>
      </c>
      <c r="J37" s="144">
        <f>'T3 Base'!K105</f>
        <v>686380.81134999997</v>
      </c>
      <c r="K37" s="51">
        <f t="shared" si="17"/>
        <v>1804055.8395999996</v>
      </c>
      <c r="L37" s="2"/>
      <c r="M37" s="144">
        <f>'T3 Smart ACRs'!I107</f>
        <v>179613.67954999997</v>
      </c>
      <c r="N37" s="144">
        <f>'T3 Smart ACRs'!J107</f>
        <v>938061.34869999974</v>
      </c>
      <c r="O37" s="144">
        <f>'T3 Smart ACRs'!K107</f>
        <v>686380.81134999997</v>
      </c>
      <c r="P37" s="51">
        <f t="shared" si="16"/>
        <v>1804055.8395999996</v>
      </c>
    </row>
    <row r="38" spans="1:17" hidden="1" outlineLevel="1" x14ac:dyDescent="0.2">
      <c r="A38" s="13"/>
      <c r="B38" s="18" t="s">
        <v>128</v>
      </c>
      <c r="C38" s="55">
        <f>SUM(C34:C37)</f>
        <v>2808711</v>
      </c>
      <c r="D38" s="55">
        <f t="shared" ref="D38" si="18">SUM(D34:D37)</f>
        <v>5340745.2</v>
      </c>
      <c r="E38" s="55">
        <f t="shared" ref="E38" si="19">SUM(E34:E37)</f>
        <v>5166625.4000000004</v>
      </c>
      <c r="F38" s="49">
        <f>SUM(F34:F37)</f>
        <v>13316081.6</v>
      </c>
      <c r="G38" s="18"/>
      <c r="H38" s="55">
        <f>SUM(H34:H37)</f>
        <v>2689745.843829487</v>
      </c>
      <c r="I38" s="55">
        <f t="shared" ref="I38" si="20">SUM(I34:I37)</f>
        <v>7191167.8694929788</v>
      </c>
      <c r="J38" s="55">
        <f t="shared" ref="J38" si="21">SUM(J34:J37)</f>
        <v>7794791.6971849985</v>
      </c>
      <c r="K38" s="49">
        <f>SUM(K34:K37)</f>
        <v>17675705.410507463</v>
      </c>
      <c r="L38" s="18"/>
      <c r="M38" s="55">
        <f>SUM(M34:M37)</f>
        <v>2772560.6426512818</v>
      </c>
      <c r="N38" s="55">
        <f t="shared" ref="N38" si="22">SUM(N34:N37)</f>
        <v>6492138.5603180584</v>
      </c>
      <c r="O38" s="55">
        <f t="shared" ref="O38" si="23">SUM(O34:O37)</f>
        <v>6936649.0411298806</v>
      </c>
      <c r="P38" s="49">
        <f>SUM(P34:P37)</f>
        <v>16201348.244099218</v>
      </c>
      <c r="Q38" s="13"/>
    </row>
    <row r="39" spans="1:17" hidden="1" outlineLevel="1" x14ac:dyDescent="0.2"/>
    <row r="40" spans="1:17" collapsed="1" x14ac:dyDescent="0.2">
      <c r="A40" s="46" t="s">
        <v>129</v>
      </c>
      <c r="B40" s="46"/>
      <c r="C40" s="47"/>
      <c r="D40" s="47"/>
      <c r="E40" s="47"/>
      <c r="F40" s="47"/>
      <c r="G40" s="47"/>
      <c r="H40" s="46"/>
      <c r="I40" s="46"/>
      <c r="J40" s="46"/>
      <c r="K40" s="46"/>
      <c r="L40" s="46"/>
      <c r="M40" s="46"/>
      <c r="N40" s="46"/>
      <c r="O40" s="46"/>
      <c r="P40" s="46"/>
    </row>
    <row r="41" spans="1:17" x14ac:dyDescent="0.2">
      <c r="C41" s="1"/>
      <c r="D41" s="1"/>
      <c r="E41" s="1"/>
      <c r="F41" s="1"/>
      <c r="G41" s="1"/>
    </row>
    <row r="42" spans="1:17" ht="52.5" x14ac:dyDescent="0.2">
      <c r="B42" s="6" t="s">
        <v>130</v>
      </c>
      <c r="C42" s="88" t="s">
        <v>178</v>
      </c>
      <c r="D42" s="89" t="s">
        <v>179</v>
      </c>
      <c r="E42" s="84" t="s">
        <v>176</v>
      </c>
      <c r="F42" s="85" t="s">
        <v>180</v>
      </c>
      <c r="G42" s="86" t="s">
        <v>177</v>
      </c>
      <c r="H42" s="87" t="s">
        <v>181</v>
      </c>
      <c r="P42"/>
      <c r="Q42"/>
    </row>
    <row r="43" spans="1:17" x14ac:dyDescent="0.2">
      <c r="B43" s="58" t="s">
        <v>9</v>
      </c>
      <c r="C43" s="69">
        <f>F20</f>
        <v>15391488.400000002</v>
      </c>
      <c r="D43" s="71">
        <f>ROUND((C43*(C5/(C6*365*24*60))),3)</f>
        <v>339.67200000000003</v>
      </c>
      <c r="E43" s="69">
        <f>K20</f>
        <v>22323377.467045128</v>
      </c>
      <c r="F43" s="70">
        <f>ROUND((E43*(C5/(C6*365*24*60))),3)</f>
        <v>492.65</v>
      </c>
      <c r="G43" s="69">
        <f>P20</f>
        <v>19447011.195258144</v>
      </c>
      <c r="H43" s="70">
        <f>ROUND((G43*(C5/(C6*365*24*60))),3)</f>
        <v>429.17200000000003</v>
      </c>
      <c r="P43"/>
      <c r="Q43"/>
    </row>
    <row r="44" spans="1:17" x14ac:dyDescent="0.2">
      <c r="B44" s="59" t="s">
        <v>10</v>
      </c>
      <c r="C44" s="69">
        <f>F29</f>
        <v>24707403.399999999</v>
      </c>
      <c r="D44" s="71">
        <f>ROUND((C44*(C5/(C6*365*24*60))),3)</f>
        <v>545.26300000000003</v>
      </c>
      <c r="E44" s="69">
        <f>K29</f>
        <v>34370588.834284909</v>
      </c>
      <c r="F44" s="70">
        <f>ROUND((E44*(C5/(C6*365*24*60))),3)</f>
        <v>758.51700000000005</v>
      </c>
      <c r="G44" s="69">
        <f>P29</f>
        <v>29148824.886895705</v>
      </c>
      <c r="H44" s="70">
        <f>ROUND((G44*(C5/(C6*365*24*60))),3)</f>
        <v>643.279</v>
      </c>
      <c r="P44"/>
      <c r="Q44"/>
    </row>
    <row r="45" spans="1:17" x14ac:dyDescent="0.2">
      <c r="B45" s="66" t="s">
        <v>18</v>
      </c>
      <c r="C45" s="69">
        <f>F38</f>
        <v>13316081.6</v>
      </c>
      <c r="D45" s="71">
        <f>ROUND((C45*(C5/(C6*365*24*60))),3)</f>
        <v>293.87</v>
      </c>
      <c r="E45" s="69">
        <f>K38</f>
        <v>17675705.410507463</v>
      </c>
      <c r="F45" s="70">
        <f>ROUND((E45*(C5/(C6*365*24*60))),3)</f>
        <v>390.08100000000002</v>
      </c>
      <c r="G45" s="69">
        <f>P38</f>
        <v>16201348.244099218</v>
      </c>
      <c r="H45" s="70">
        <f>ROUND((G45*(C5/(C6*365*24*60))),3)</f>
        <v>357.54399999999998</v>
      </c>
      <c r="P45"/>
      <c r="Q45"/>
    </row>
    <row r="46" spans="1:17" x14ac:dyDescent="0.2">
      <c r="B46" s="2"/>
      <c r="E46" s="15"/>
      <c r="F46" s="56"/>
      <c r="G46" s="15"/>
      <c r="H46" s="57"/>
      <c r="I46" s="2"/>
      <c r="J46" s="57"/>
    </row>
    <row r="47" spans="1:17" x14ac:dyDescent="0.2">
      <c r="A47" s="46" t="s">
        <v>96</v>
      </c>
      <c r="B47" s="46"/>
      <c r="C47" s="47"/>
      <c r="D47" s="47"/>
      <c r="E47" s="47"/>
      <c r="F47" s="47"/>
      <c r="G47" s="47"/>
      <c r="H47" s="46"/>
      <c r="I47" s="46"/>
      <c r="J47" s="46"/>
      <c r="K47" s="46"/>
      <c r="L47" s="46"/>
      <c r="M47" s="46"/>
      <c r="N47" s="46"/>
      <c r="O47" s="46"/>
      <c r="P47" s="46"/>
    </row>
    <row r="48" spans="1:17" x14ac:dyDescent="0.2">
      <c r="A48" s="63"/>
      <c r="B48" s="63"/>
      <c r="C48" s="64"/>
      <c r="D48" s="64"/>
      <c r="E48" s="64"/>
      <c r="F48" s="64"/>
      <c r="G48" s="64"/>
      <c r="H48" s="63"/>
      <c r="I48" s="63"/>
      <c r="J48" s="63"/>
      <c r="K48" s="63"/>
      <c r="L48" s="63"/>
      <c r="M48" s="63"/>
      <c r="N48" s="63"/>
      <c r="O48" s="63"/>
      <c r="P48" s="63"/>
      <c r="Q48" s="14"/>
    </row>
    <row r="49" spans="2:8" ht="24" customHeight="1" x14ac:dyDescent="0.2">
      <c r="B49" s="80" t="s">
        <v>139</v>
      </c>
      <c r="C49" s="81" t="s">
        <v>94</v>
      </c>
      <c r="D49" s="81" t="s">
        <v>95</v>
      </c>
      <c r="E49" s="81" t="s">
        <v>96</v>
      </c>
      <c r="F49" s="81" t="s">
        <v>97</v>
      </c>
      <c r="G49" s="1"/>
    </row>
    <row r="50" spans="2:8" x14ac:dyDescent="0.2">
      <c r="B50" s="1" t="s">
        <v>98</v>
      </c>
      <c r="C50" s="82">
        <f>$C$7*('2021-2026 Unserved Energy'!F43-'2021-2026 Unserved Energy'!D43)</f>
        <v>6835660.151348006</v>
      </c>
      <c r="D50" s="82">
        <f>$C$7*('2021-2026 Unserved Energy'!H43-'2021-2026 Unserved Energy'!D43)</f>
        <v>3999212.8511658325</v>
      </c>
      <c r="E50" s="83">
        <f>C50-D50</f>
        <v>2836447.3001821735</v>
      </c>
      <c r="F50" s="83">
        <f>C50-E50</f>
        <v>3999212.8511658325</v>
      </c>
      <c r="G50" s="1"/>
    </row>
    <row r="51" spans="2:8" x14ac:dyDescent="0.2">
      <c r="B51" s="1" t="s">
        <v>99</v>
      </c>
      <c r="C51" s="72">
        <f>$C$7*('2021-2026 Unserved Energy'!F44-'2021-2026 Unserved Energy'!D44)</f>
        <v>9529029.4677376375</v>
      </c>
      <c r="D51" s="74">
        <f>$C$7*('2021-2026 Unserved Energy'!H44-'2021-2026 Unserved Energy'!D44)</f>
        <v>4379741.3052499453</v>
      </c>
      <c r="E51" s="73">
        <f>C51-D51</f>
        <v>5149288.1624876922</v>
      </c>
      <c r="F51" s="73">
        <f>C51-E51</f>
        <v>4379741.3052499453</v>
      </c>
      <c r="G51" s="1"/>
    </row>
    <row r="52" spans="2:8" x14ac:dyDescent="0.2">
      <c r="B52" s="50" t="s">
        <v>18</v>
      </c>
      <c r="C52" s="74">
        <f>$C$7*('2021-2026 Unserved Energy'!F45-'2021-2026 Unserved Energy'!D45)</f>
        <v>4299086.7890895633</v>
      </c>
      <c r="D52" s="74">
        <f>$C$7*('2021-2026 Unserved Energy'!H45-'2021-2026 Unserved Energy'!D45)</f>
        <v>2845205.3529065154</v>
      </c>
      <c r="E52" s="73">
        <f>C52-D52</f>
        <v>1453881.4361830479</v>
      </c>
      <c r="F52" s="73">
        <f>C52-E52</f>
        <v>2845205.3529065154</v>
      </c>
      <c r="G52" s="1"/>
    </row>
    <row r="53" spans="2:8" x14ac:dyDescent="0.2">
      <c r="C53" s="1"/>
      <c r="D53" s="1"/>
      <c r="E53" s="1"/>
      <c r="F53" s="1"/>
      <c r="G53" s="1"/>
    </row>
    <row r="54" spans="2:8" ht="21" x14ac:dyDescent="0.2">
      <c r="B54" s="80" t="s">
        <v>138</v>
      </c>
      <c r="C54" s="81" t="s">
        <v>94</v>
      </c>
      <c r="D54" s="81" t="s">
        <v>95</v>
      </c>
      <c r="E54" s="81" t="s">
        <v>96</v>
      </c>
      <c r="F54" s="81" t="s">
        <v>97</v>
      </c>
      <c r="G54" s="1"/>
    </row>
    <row r="55" spans="2:8" x14ac:dyDescent="0.2">
      <c r="B55" s="2" t="s">
        <v>98</v>
      </c>
      <c r="C55" s="79">
        <f t="shared" ref="C55:F57" si="24">C50/1000000</f>
        <v>6.835660151348006</v>
      </c>
      <c r="D55" s="79">
        <f t="shared" si="24"/>
        <v>3.9992128511658325</v>
      </c>
      <c r="E55" s="79">
        <f t="shared" si="24"/>
        <v>2.8364473001821735</v>
      </c>
      <c r="F55" s="79">
        <f t="shared" si="24"/>
        <v>3.9992128511658325</v>
      </c>
      <c r="G55" s="3"/>
    </row>
    <row r="56" spans="2:8" x14ac:dyDescent="0.2">
      <c r="B56" s="2" t="s">
        <v>99</v>
      </c>
      <c r="C56" s="75">
        <f t="shared" si="24"/>
        <v>9.5290294677376366</v>
      </c>
      <c r="D56" s="75">
        <f t="shared" si="24"/>
        <v>4.3797413052499454</v>
      </c>
      <c r="E56" s="75">
        <f t="shared" si="24"/>
        <v>5.1492881624876921</v>
      </c>
      <c r="F56" s="75">
        <f t="shared" si="24"/>
        <v>4.3797413052499454</v>
      </c>
      <c r="G56" s="3"/>
    </row>
    <row r="57" spans="2:8" x14ac:dyDescent="0.2">
      <c r="B57" s="50" t="s">
        <v>18</v>
      </c>
      <c r="C57" s="75">
        <f t="shared" si="24"/>
        <v>4.2990867890895634</v>
      </c>
      <c r="D57" s="75">
        <f t="shared" si="24"/>
        <v>2.8452053529065156</v>
      </c>
      <c r="E57" s="75">
        <f t="shared" si="24"/>
        <v>1.4538814361830479</v>
      </c>
      <c r="F57" s="75">
        <f t="shared" si="24"/>
        <v>2.8452053529065156</v>
      </c>
      <c r="G57" s="3"/>
    </row>
    <row r="58" spans="2:8" x14ac:dyDescent="0.2">
      <c r="B58" s="18" t="s">
        <v>8</v>
      </c>
      <c r="C58" s="48">
        <f>SUM(C55:C57)</f>
        <v>20.663776408175206</v>
      </c>
      <c r="D58" s="54">
        <f>SUM(D55:D57)</f>
        <v>11.224159509322295</v>
      </c>
      <c r="E58" s="54">
        <f>SUM(E55:E57)</f>
        <v>9.439616898852913</v>
      </c>
      <c r="F58" s="54">
        <f>SUM(F55:F57)</f>
        <v>11.224159509322295</v>
      </c>
      <c r="G58" s="3"/>
    </row>
    <row r="59" spans="2:8" x14ac:dyDescent="0.2">
      <c r="C59" s="1"/>
      <c r="D59" s="1"/>
      <c r="E59" s="1"/>
      <c r="F59" s="1"/>
      <c r="G59" s="1"/>
    </row>
    <row r="60" spans="2:8" x14ac:dyDescent="0.2">
      <c r="B60" s="67" t="s">
        <v>140</v>
      </c>
      <c r="C60" s="78" t="s">
        <v>100</v>
      </c>
      <c r="D60" s="78" t="s">
        <v>101</v>
      </c>
      <c r="E60" s="78" t="s">
        <v>102</v>
      </c>
      <c r="F60" s="78" t="s">
        <v>103</v>
      </c>
      <c r="G60" s="78" t="s">
        <v>104</v>
      </c>
      <c r="H60" s="78" t="s">
        <v>8</v>
      </c>
    </row>
    <row r="61" spans="2:8" x14ac:dyDescent="0.2">
      <c r="B61" s="1" t="s">
        <v>105</v>
      </c>
      <c r="C61" s="75">
        <f>$C55+$C56</f>
        <v>16.364689619085642</v>
      </c>
      <c r="D61" s="75">
        <f>$C55+$C56</f>
        <v>16.364689619085642</v>
      </c>
      <c r="E61" s="75">
        <f>$C55+$C56+$C57</f>
        <v>20.663776408175206</v>
      </c>
      <c r="F61" s="75">
        <f>$C55+$C56+$C57</f>
        <v>20.663776408175206</v>
      </c>
      <c r="G61" s="75">
        <f>$C55+$C56+$C57</f>
        <v>20.663776408175206</v>
      </c>
      <c r="H61" s="75">
        <f>SUM(C61:G61)</f>
        <v>94.720708462696905</v>
      </c>
    </row>
    <row r="62" spans="2:8" x14ac:dyDescent="0.2">
      <c r="B62" s="1" t="s">
        <v>106</v>
      </c>
      <c r="C62" s="75">
        <f>$D55+$D56</f>
        <v>8.3789541564157783</v>
      </c>
      <c r="D62" s="75">
        <f>$D55+$D56</f>
        <v>8.3789541564157783</v>
      </c>
      <c r="E62" s="75">
        <f>$D55+$D56+$D57</f>
        <v>11.224159509322295</v>
      </c>
      <c r="F62" s="75">
        <f>$D55+$D56+$D57</f>
        <v>11.224159509322295</v>
      </c>
      <c r="G62" s="75">
        <f>$D55+$D56+$D57</f>
        <v>11.224159509322295</v>
      </c>
      <c r="H62" s="75">
        <f>SUM(C62:G62)</f>
        <v>50.430386840798434</v>
      </c>
    </row>
    <row r="63" spans="2:8" x14ac:dyDescent="0.2">
      <c r="B63" s="76" t="s">
        <v>96</v>
      </c>
      <c r="C63" s="77">
        <f t="shared" ref="C63:H63" si="25">C61-C62</f>
        <v>7.9857354626698633</v>
      </c>
      <c r="D63" s="77">
        <f t="shared" si="25"/>
        <v>7.9857354626698633</v>
      </c>
      <c r="E63" s="77">
        <f t="shared" si="25"/>
        <v>9.4396168988529112</v>
      </c>
      <c r="F63" s="77">
        <f t="shared" si="25"/>
        <v>9.4396168988529112</v>
      </c>
      <c r="G63" s="77">
        <f t="shared" si="25"/>
        <v>9.4396168988529112</v>
      </c>
      <c r="H63" s="77">
        <f t="shared" si="25"/>
        <v>44.290321621898471</v>
      </c>
    </row>
    <row r="64" spans="2:8" x14ac:dyDescent="0.2"/>
    <row r="65" spans="1:19" x14ac:dyDescent="0.2">
      <c r="A65" s="46" t="s">
        <v>175</v>
      </c>
      <c r="B65" s="46"/>
      <c r="C65" s="47"/>
      <c r="D65" s="47"/>
      <c r="E65" s="47"/>
      <c r="F65" s="47"/>
      <c r="G65" s="47"/>
      <c r="H65" s="46"/>
      <c r="I65" s="46"/>
      <c r="J65" s="46"/>
      <c r="K65" s="46"/>
      <c r="L65" s="46"/>
      <c r="M65" s="46"/>
      <c r="N65" s="46"/>
      <c r="O65" s="46"/>
      <c r="P65" s="46"/>
    </row>
    <row r="66" spans="1:19" x14ac:dyDescent="0.2">
      <c r="P66"/>
      <c r="Q66"/>
    </row>
    <row r="67" spans="1:19" hidden="1" outlineLevel="1" x14ac:dyDescent="0.2">
      <c r="B67" s="4"/>
      <c r="C67" s="4"/>
      <c r="D67" s="4"/>
      <c r="E67" s="4"/>
      <c r="G67" s="179" t="s">
        <v>23</v>
      </c>
      <c r="H67" s="179"/>
      <c r="J67" s="179" t="s">
        <v>24</v>
      </c>
      <c r="K67" s="179"/>
      <c r="L67" s="179"/>
      <c r="M67" s="5"/>
      <c r="N67" s="6"/>
      <c r="O67" s="6"/>
      <c r="P67" s="6"/>
      <c r="R67" s="1"/>
      <c r="S67" s="1"/>
    </row>
    <row r="68" spans="1:19" ht="31.5" hidden="1" outlineLevel="1" x14ac:dyDescent="0.2">
      <c r="B68" s="7" t="s">
        <v>19</v>
      </c>
      <c r="C68" s="7" t="s">
        <v>20</v>
      </c>
      <c r="D68" s="7" t="s">
        <v>21</v>
      </c>
      <c r="E68" s="7" t="s">
        <v>22</v>
      </c>
      <c r="G68" s="158" t="s">
        <v>26</v>
      </c>
      <c r="H68" s="158" t="s">
        <v>16</v>
      </c>
      <c r="J68" s="158" t="s">
        <v>27</v>
      </c>
      <c r="K68" s="158" t="s">
        <v>28</v>
      </c>
      <c r="L68" s="158" t="s">
        <v>16</v>
      </c>
      <c r="M68" s="8" t="s">
        <v>127</v>
      </c>
      <c r="N68" s="9" t="s">
        <v>25</v>
      </c>
      <c r="O68" s="9"/>
      <c r="P68" s="9"/>
      <c r="R68" s="1"/>
      <c r="S68" s="1"/>
    </row>
    <row r="69" spans="1:19" hidden="1" outlineLevel="1" x14ac:dyDescent="0.2">
      <c r="B69" s="148" t="s">
        <v>29</v>
      </c>
      <c r="C69" s="10" t="s">
        <v>30</v>
      </c>
      <c r="D69" s="11" t="s">
        <v>31</v>
      </c>
      <c r="E69" s="150">
        <v>43285.15902777778</v>
      </c>
      <c r="G69" s="153">
        <v>2019</v>
      </c>
      <c r="H69" s="151">
        <v>2.4551309610850844</v>
      </c>
      <c r="J69" s="153">
        <v>679</v>
      </c>
      <c r="K69" s="153">
        <v>56120</v>
      </c>
      <c r="L69" s="151">
        <v>1.2385005666216771</v>
      </c>
      <c r="M69" s="155">
        <f t="shared" ref="M69:M106" si="26">MAX(0,H69-L69)</f>
        <v>1.2166303944634074</v>
      </c>
      <c r="N69" s="12"/>
      <c r="R69" s="1"/>
      <c r="S69" s="1"/>
    </row>
    <row r="70" spans="1:19" hidden="1" outlineLevel="1" x14ac:dyDescent="0.2">
      <c r="B70" s="148" t="s">
        <v>32</v>
      </c>
      <c r="C70" s="10" t="s">
        <v>30</v>
      </c>
      <c r="D70" s="11" t="s">
        <v>31</v>
      </c>
      <c r="E70" s="150">
        <v>43304.155555555553</v>
      </c>
      <c r="G70" s="153">
        <v>2024</v>
      </c>
      <c r="H70" s="151">
        <v>9.2936755901179708</v>
      </c>
      <c r="J70" s="153">
        <v>679</v>
      </c>
      <c r="K70" s="153">
        <v>211914</v>
      </c>
      <c r="L70" s="151">
        <v>4.6766858352648981</v>
      </c>
      <c r="M70" s="155">
        <f t="shared" si="26"/>
        <v>4.6169897548530727</v>
      </c>
      <c r="N70" s="12"/>
      <c r="R70" s="1"/>
      <c r="S70" s="1"/>
    </row>
    <row r="71" spans="1:19" hidden="1" outlineLevel="1" x14ac:dyDescent="0.2">
      <c r="B71" s="148" t="s">
        <v>33</v>
      </c>
      <c r="C71" s="10" t="s">
        <v>34</v>
      </c>
      <c r="D71" s="11" t="s">
        <v>35</v>
      </c>
      <c r="E71" s="150">
        <v>43391.836111111108</v>
      </c>
      <c r="G71" s="153">
        <v>988</v>
      </c>
      <c r="H71" s="151">
        <v>1.5486994968503709</v>
      </c>
      <c r="J71" s="153">
        <v>554</v>
      </c>
      <c r="K71" s="153">
        <v>59025</v>
      </c>
      <c r="L71" s="151">
        <v>1.3026104052894598</v>
      </c>
      <c r="M71" s="155">
        <f t="shared" si="26"/>
        <v>0.24608909156091108</v>
      </c>
      <c r="N71" s="12"/>
      <c r="R71" s="1"/>
      <c r="S71" s="1"/>
    </row>
    <row r="72" spans="1:19" hidden="1" outlineLevel="1" x14ac:dyDescent="0.2">
      <c r="B72" s="148" t="s">
        <v>36</v>
      </c>
      <c r="C72" s="10" t="s">
        <v>37</v>
      </c>
      <c r="D72" s="11" t="s">
        <v>38</v>
      </c>
      <c r="E72" s="150">
        <v>43406.647222222222</v>
      </c>
      <c r="G72" s="153">
        <v>3317</v>
      </c>
      <c r="H72" s="151">
        <v>3.8767583577464388</v>
      </c>
      <c r="J72" s="153">
        <v>2236</v>
      </c>
      <c r="K72" s="153">
        <v>177627</v>
      </c>
      <c r="L72" s="151">
        <v>3.9200131886548224</v>
      </c>
      <c r="M72" s="155">
        <f t="shared" si="26"/>
        <v>0</v>
      </c>
      <c r="N72" s="12"/>
      <c r="R72" s="1"/>
      <c r="S72" s="1"/>
    </row>
    <row r="73" spans="1:19" hidden="1" outlineLevel="1" x14ac:dyDescent="0.2">
      <c r="B73" s="148" t="s">
        <v>39</v>
      </c>
      <c r="C73" s="10" t="s">
        <v>40</v>
      </c>
      <c r="D73" s="11" t="s">
        <v>41</v>
      </c>
      <c r="E73" s="150">
        <v>43436.015277777777</v>
      </c>
      <c r="G73" s="153">
        <v>4695</v>
      </c>
      <c r="H73" s="151">
        <v>8.0014154479387312</v>
      </c>
      <c r="J73" s="153">
        <v>996</v>
      </c>
      <c r="K73" s="153">
        <v>115373</v>
      </c>
      <c r="L73" s="151">
        <v>2.5461426563229286</v>
      </c>
      <c r="M73" s="155">
        <f t="shared" si="26"/>
        <v>5.455272791615803</v>
      </c>
      <c r="N73" s="12"/>
      <c r="R73" s="1"/>
      <c r="S73" s="1"/>
    </row>
    <row r="74" spans="1:19" hidden="1" outlineLevel="1" x14ac:dyDescent="0.2">
      <c r="B74" s="148" t="s">
        <v>42</v>
      </c>
      <c r="C74" s="10" t="s">
        <v>43</v>
      </c>
      <c r="D74" s="11" t="s">
        <v>41</v>
      </c>
      <c r="E74" s="150">
        <v>43443.527083333334</v>
      </c>
      <c r="G74" s="153">
        <v>2935</v>
      </c>
      <c r="H74" s="151">
        <v>7.4201455544204071</v>
      </c>
      <c r="J74" s="153">
        <v>1176</v>
      </c>
      <c r="K74" s="153">
        <v>202080</v>
      </c>
      <c r="L74" s="151">
        <v>4.4596613418194675</v>
      </c>
      <c r="M74" s="155">
        <f t="shared" si="26"/>
        <v>2.9604842126009396</v>
      </c>
      <c r="N74" s="12"/>
      <c r="R74" s="1"/>
      <c r="S74" s="1"/>
    </row>
    <row r="75" spans="1:19" hidden="1" outlineLevel="1" x14ac:dyDescent="0.2">
      <c r="B75" s="148" t="s">
        <v>44</v>
      </c>
      <c r="C75" s="10" t="s">
        <v>45</v>
      </c>
      <c r="D75" s="11" t="s">
        <v>46</v>
      </c>
      <c r="E75" s="150">
        <v>43443.588888888888</v>
      </c>
      <c r="G75" s="153">
        <v>2065</v>
      </c>
      <c r="H75" s="151">
        <v>4.1120999479540927</v>
      </c>
      <c r="J75" s="153">
        <v>345</v>
      </c>
      <c r="K75" s="153">
        <v>46696</v>
      </c>
      <c r="L75" s="151">
        <v>1.0305242776009593</v>
      </c>
      <c r="M75" s="155">
        <f t="shared" si="26"/>
        <v>3.0815756703531334</v>
      </c>
      <c r="N75" s="12"/>
      <c r="R75" s="1"/>
      <c r="S75" s="1"/>
    </row>
    <row r="76" spans="1:19" hidden="1" outlineLevel="1" x14ac:dyDescent="0.2">
      <c r="B76" s="148" t="s">
        <v>47</v>
      </c>
      <c r="C76" s="10" t="s">
        <v>48</v>
      </c>
      <c r="D76" s="11" t="s">
        <v>35</v>
      </c>
      <c r="E76" s="150">
        <v>43489.709027777775</v>
      </c>
      <c r="G76" s="153">
        <v>1764</v>
      </c>
      <c r="H76" s="151">
        <v>2.387247359108458</v>
      </c>
      <c r="J76" s="153">
        <v>0</v>
      </c>
      <c r="K76" s="153">
        <v>0</v>
      </c>
      <c r="L76" s="151">
        <v>0</v>
      </c>
      <c r="M76" s="155">
        <f t="shared" si="26"/>
        <v>2.387247359108458</v>
      </c>
      <c r="N76" s="12" t="s">
        <v>49</v>
      </c>
      <c r="R76" s="1"/>
      <c r="S76" s="1"/>
    </row>
    <row r="77" spans="1:19" hidden="1" outlineLevel="1" x14ac:dyDescent="0.2">
      <c r="B77" s="148" t="s">
        <v>50</v>
      </c>
      <c r="C77" s="10" t="s">
        <v>51</v>
      </c>
      <c r="D77" s="11" t="s">
        <v>31</v>
      </c>
      <c r="E77" s="150">
        <v>43491.086111111108</v>
      </c>
      <c r="G77" s="153">
        <v>2376</v>
      </c>
      <c r="H77" s="151">
        <v>2.6260316807557595</v>
      </c>
      <c r="J77" s="153">
        <v>264</v>
      </c>
      <c r="K77" s="153">
        <v>19832</v>
      </c>
      <c r="L77" s="151">
        <v>0.4376682686607466</v>
      </c>
      <c r="M77" s="155">
        <f t="shared" si="26"/>
        <v>2.1883634120950131</v>
      </c>
      <c r="N77" s="12"/>
      <c r="R77" s="1"/>
      <c r="S77" s="1"/>
    </row>
    <row r="78" spans="1:19" hidden="1" outlineLevel="1" x14ac:dyDescent="0.2">
      <c r="B78" s="148" t="s">
        <v>52</v>
      </c>
      <c r="C78" s="10" t="s">
        <v>37</v>
      </c>
      <c r="D78" s="11" t="s">
        <v>38</v>
      </c>
      <c r="E78" s="150">
        <v>43495.672222222223</v>
      </c>
      <c r="G78" s="153">
        <v>3352</v>
      </c>
      <c r="H78" s="151">
        <v>6.1963869403736282</v>
      </c>
      <c r="J78" s="153">
        <v>2236</v>
      </c>
      <c r="K78" s="153">
        <v>280944</v>
      </c>
      <c r="L78" s="151">
        <v>6.2000944973086325</v>
      </c>
      <c r="M78" s="155">
        <f t="shared" si="26"/>
        <v>0</v>
      </c>
      <c r="N78" s="12"/>
      <c r="R78" s="1"/>
      <c r="S78" s="1"/>
    </row>
    <row r="79" spans="1:19" hidden="1" outlineLevel="1" x14ac:dyDescent="0.2">
      <c r="B79" s="148" t="s">
        <v>53</v>
      </c>
      <c r="C79" s="10" t="s">
        <v>54</v>
      </c>
      <c r="D79" s="11" t="s">
        <v>38</v>
      </c>
      <c r="E79" s="150">
        <v>43495.679166666669</v>
      </c>
      <c r="G79" s="153">
        <v>2474</v>
      </c>
      <c r="H79" s="151">
        <v>3.0823260092566467</v>
      </c>
      <c r="J79" s="153">
        <v>525</v>
      </c>
      <c r="K79" s="153">
        <v>44458</v>
      </c>
      <c r="L79" s="151">
        <v>0.98113432271679468</v>
      </c>
      <c r="M79" s="155">
        <f t="shared" si="26"/>
        <v>2.1011916865398521</v>
      </c>
      <c r="N79" s="12"/>
      <c r="R79" s="1"/>
      <c r="S79" s="1"/>
    </row>
    <row r="80" spans="1:19" hidden="1" outlineLevel="1" x14ac:dyDescent="0.2">
      <c r="B80" s="148" t="s">
        <v>55</v>
      </c>
      <c r="C80" s="10" t="s">
        <v>56</v>
      </c>
      <c r="D80" s="11" t="s">
        <v>57</v>
      </c>
      <c r="E80" s="150">
        <v>43495.683333333334</v>
      </c>
      <c r="G80" s="153">
        <v>2147</v>
      </c>
      <c r="H80" s="151">
        <v>6.9925627233745233</v>
      </c>
      <c r="J80" s="153">
        <v>249</v>
      </c>
      <c r="K80" s="153">
        <v>55121</v>
      </c>
      <c r="L80" s="151">
        <v>1.2164538441331694</v>
      </c>
      <c r="M80" s="155">
        <f t="shared" si="26"/>
        <v>5.7761088792413542</v>
      </c>
      <c r="N80" s="12"/>
      <c r="R80" s="1"/>
      <c r="S80" s="1"/>
    </row>
    <row r="81" spans="2:19" hidden="1" outlineLevel="1" x14ac:dyDescent="0.2">
      <c r="B81" s="148" t="s">
        <v>58</v>
      </c>
      <c r="C81" s="10" t="s">
        <v>59</v>
      </c>
      <c r="D81" s="11" t="s">
        <v>38</v>
      </c>
      <c r="E81" s="150">
        <v>43496.476388888892</v>
      </c>
      <c r="G81" s="153">
        <v>2694</v>
      </c>
      <c r="H81" s="151">
        <v>0.59453323707747652</v>
      </c>
      <c r="J81" s="153">
        <v>880</v>
      </c>
      <c r="K81" s="153">
        <v>13200</v>
      </c>
      <c r="L81" s="151">
        <v>0.29130804489319562</v>
      </c>
      <c r="M81" s="155">
        <f t="shared" si="26"/>
        <v>0.3032251921842809</v>
      </c>
      <c r="N81" s="12"/>
      <c r="R81" s="1"/>
      <c r="S81" s="1"/>
    </row>
    <row r="82" spans="2:19" hidden="1" outlineLevel="1" x14ac:dyDescent="0.2">
      <c r="B82" s="148" t="s">
        <v>58</v>
      </c>
      <c r="C82" s="10" t="s">
        <v>37</v>
      </c>
      <c r="D82" s="11" t="s">
        <v>38</v>
      </c>
      <c r="E82" s="150">
        <v>43496.476388888892</v>
      </c>
      <c r="G82" s="153">
        <v>1971</v>
      </c>
      <c r="H82" s="151">
        <v>0.43497587612461253</v>
      </c>
      <c r="J82" s="153">
        <v>0</v>
      </c>
      <c r="K82" s="153">
        <v>0</v>
      </c>
      <c r="L82" s="151">
        <v>0</v>
      </c>
      <c r="M82" s="155">
        <f t="shared" si="26"/>
        <v>0.43497587612461253</v>
      </c>
      <c r="N82" s="2"/>
      <c r="R82" s="1"/>
      <c r="S82" s="1"/>
    </row>
    <row r="83" spans="2:19" hidden="1" outlineLevel="1" x14ac:dyDescent="0.2">
      <c r="B83" s="148" t="s">
        <v>60</v>
      </c>
      <c r="C83" s="10" t="s">
        <v>56</v>
      </c>
      <c r="D83" s="11" t="s">
        <v>57</v>
      </c>
      <c r="E83" s="150">
        <v>43499.339583333334</v>
      </c>
      <c r="G83" s="153">
        <v>1589</v>
      </c>
      <c r="H83" s="151">
        <v>4.0988366043949407</v>
      </c>
      <c r="J83" s="153">
        <v>249</v>
      </c>
      <c r="K83" s="153">
        <v>43656</v>
      </c>
      <c r="L83" s="151">
        <v>0.96343515211040509</v>
      </c>
      <c r="M83" s="155">
        <f t="shared" si="26"/>
        <v>3.1354014522845355</v>
      </c>
      <c r="N83" s="12"/>
      <c r="R83" s="1"/>
      <c r="S83" s="1"/>
    </row>
    <row r="84" spans="2:19" hidden="1" outlineLevel="1" x14ac:dyDescent="0.2">
      <c r="B84" s="148" t="s">
        <v>61</v>
      </c>
      <c r="C84" s="10" t="s">
        <v>56</v>
      </c>
      <c r="D84" s="11" t="s">
        <v>57</v>
      </c>
      <c r="E84" s="150">
        <v>43499.339583333334</v>
      </c>
      <c r="G84" s="153">
        <v>2145</v>
      </c>
      <c r="H84" s="151">
        <v>11.631952301376581</v>
      </c>
      <c r="J84" s="153">
        <v>692</v>
      </c>
      <c r="K84" s="153">
        <v>255061</v>
      </c>
      <c r="L84" s="151">
        <v>5.6288879726138914</v>
      </c>
      <c r="M84" s="155">
        <f t="shared" si="26"/>
        <v>6.0030643287626893</v>
      </c>
      <c r="N84" s="12"/>
      <c r="R84" s="1"/>
      <c r="S84" s="1"/>
    </row>
    <row r="85" spans="2:19" hidden="1" outlineLevel="1" x14ac:dyDescent="0.2">
      <c r="B85" s="148" t="s">
        <v>62</v>
      </c>
      <c r="C85" s="10" t="s">
        <v>54</v>
      </c>
      <c r="D85" s="11" t="s">
        <v>38</v>
      </c>
      <c r="E85" s="150">
        <v>43505.800694444442</v>
      </c>
      <c r="G85" s="153">
        <v>2475</v>
      </c>
      <c r="H85" s="151">
        <v>1.7982533886422083</v>
      </c>
      <c r="J85" s="153">
        <v>456</v>
      </c>
      <c r="K85" s="153">
        <v>22519</v>
      </c>
      <c r="L85" s="151">
        <v>0.49696711082953576</v>
      </c>
      <c r="M85" s="155">
        <f t="shared" si="26"/>
        <v>1.3012862778126726</v>
      </c>
      <c r="N85" s="12"/>
      <c r="R85" s="1"/>
      <c r="S85" s="1"/>
    </row>
    <row r="86" spans="2:19" hidden="1" outlineLevel="1" x14ac:dyDescent="0.2">
      <c r="B86" s="148" t="s">
        <v>63</v>
      </c>
      <c r="C86" s="10" t="s">
        <v>45</v>
      </c>
      <c r="D86" s="11" t="s">
        <v>46</v>
      </c>
      <c r="E86" s="150">
        <v>43514.835416666669</v>
      </c>
      <c r="G86" s="153">
        <v>2069</v>
      </c>
      <c r="H86" s="151">
        <v>2.5853147608445513</v>
      </c>
      <c r="J86" s="153">
        <v>345</v>
      </c>
      <c r="K86" s="153">
        <v>29301</v>
      </c>
      <c r="L86" s="151">
        <v>0.64663765328905487</v>
      </c>
      <c r="M86" s="155">
        <f t="shared" si="26"/>
        <v>1.9386771075554963</v>
      </c>
      <c r="N86" s="12"/>
      <c r="R86" s="1"/>
      <c r="S86" s="1"/>
    </row>
    <row r="87" spans="2:19" hidden="1" outlineLevel="1" x14ac:dyDescent="0.2">
      <c r="B87" s="148" t="s">
        <v>64</v>
      </c>
      <c r="C87" s="10" t="s">
        <v>65</v>
      </c>
      <c r="D87" s="11" t="s">
        <v>66</v>
      </c>
      <c r="E87" s="150">
        <v>43517.09097222222</v>
      </c>
      <c r="G87" s="153">
        <v>2728</v>
      </c>
      <c r="H87" s="151">
        <v>0.12040732522252084</v>
      </c>
      <c r="J87" s="153">
        <v>1</v>
      </c>
      <c r="K87" s="153">
        <v>2</v>
      </c>
      <c r="L87" s="151">
        <v>4.4137582559575091E-5</v>
      </c>
      <c r="M87" s="155">
        <f t="shared" si="26"/>
        <v>0.12036318763996127</v>
      </c>
      <c r="N87" s="12" t="s">
        <v>67</v>
      </c>
      <c r="R87" s="1"/>
      <c r="S87" s="1"/>
    </row>
    <row r="88" spans="2:19" hidden="1" outlineLevel="1" x14ac:dyDescent="0.2">
      <c r="B88" s="148" t="s">
        <v>68</v>
      </c>
      <c r="C88" s="10" t="s">
        <v>69</v>
      </c>
      <c r="D88" s="11" t="s">
        <v>66</v>
      </c>
      <c r="E88" s="150">
        <v>43517.104861111111</v>
      </c>
      <c r="G88" s="153">
        <v>2942</v>
      </c>
      <c r="H88" s="151">
        <v>2.3707399032311769</v>
      </c>
      <c r="J88" s="153">
        <v>1</v>
      </c>
      <c r="K88" s="153">
        <v>37</v>
      </c>
      <c r="L88" s="151">
        <v>8.165452773521392E-4</v>
      </c>
      <c r="M88" s="155">
        <f t="shared" si="26"/>
        <v>2.3699233579538248</v>
      </c>
      <c r="N88" s="12" t="s">
        <v>67</v>
      </c>
      <c r="R88" s="1"/>
      <c r="S88" s="1"/>
    </row>
    <row r="89" spans="2:19" hidden="1" outlineLevel="1" x14ac:dyDescent="0.2">
      <c r="B89" s="148" t="s">
        <v>70</v>
      </c>
      <c r="C89" s="10" t="s">
        <v>71</v>
      </c>
      <c r="D89" s="11" t="s">
        <v>72</v>
      </c>
      <c r="E89" s="150">
        <v>43523.260416666664</v>
      </c>
      <c r="G89" s="153">
        <v>2139</v>
      </c>
      <c r="H89" s="151">
        <v>3.4716194874320991</v>
      </c>
      <c r="J89" s="153">
        <v>1215</v>
      </c>
      <c r="K89" s="153">
        <v>134033</v>
      </c>
      <c r="L89" s="151">
        <v>2.9579463016037639</v>
      </c>
      <c r="M89" s="155">
        <f t="shared" si="26"/>
        <v>0.51367318582833521</v>
      </c>
      <c r="N89" s="12"/>
      <c r="R89" s="1"/>
      <c r="S89" s="1"/>
    </row>
    <row r="90" spans="2:19" hidden="1" outlineLevel="1" x14ac:dyDescent="0.2">
      <c r="B90" s="148" t="s">
        <v>73</v>
      </c>
      <c r="C90" s="10" t="s">
        <v>37</v>
      </c>
      <c r="D90" s="11" t="s">
        <v>38</v>
      </c>
      <c r="E90" s="150">
        <v>43525.527777777781</v>
      </c>
      <c r="G90" s="153">
        <v>3177</v>
      </c>
      <c r="H90" s="151">
        <v>1.177215533237707</v>
      </c>
      <c r="J90" s="153">
        <v>2236</v>
      </c>
      <c r="K90" s="153">
        <v>56315</v>
      </c>
      <c r="L90" s="151">
        <v>1.2428039809212357</v>
      </c>
      <c r="M90" s="155">
        <f t="shared" si="26"/>
        <v>0</v>
      </c>
      <c r="N90" s="12"/>
      <c r="R90" s="1"/>
      <c r="S90" s="1"/>
    </row>
    <row r="91" spans="2:19" hidden="1" outlineLevel="1" x14ac:dyDescent="0.2">
      <c r="B91" s="148" t="s">
        <v>74</v>
      </c>
      <c r="C91" s="10" t="s">
        <v>75</v>
      </c>
      <c r="D91" s="11" t="s">
        <v>66</v>
      </c>
      <c r="E91" s="150">
        <v>43529.183333333334</v>
      </c>
      <c r="G91" s="153">
        <v>2206</v>
      </c>
      <c r="H91" s="151">
        <v>2.8718780156125927</v>
      </c>
      <c r="J91" s="153">
        <v>1</v>
      </c>
      <c r="K91" s="153">
        <v>59</v>
      </c>
      <c r="L91" s="151">
        <v>1.3020586855074653E-3</v>
      </c>
      <c r="M91" s="155">
        <f t="shared" si="26"/>
        <v>2.8705759569270852</v>
      </c>
      <c r="N91" s="12" t="s">
        <v>67</v>
      </c>
      <c r="R91" s="1"/>
      <c r="S91" s="1"/>
    </row>
    <row r="92" spans="2:19" hidden="1" outlineLevel="1" x14ac:dyDescent="0.2">
      <c r="B92" s="148" t="s">
        <v>76</v>
      </c>
      <c r="C92" s="10" t="s">
        <v>65</v>
      </c>
      <c r="D92" s="11" t="s">
        <v>66</v>
      </c>
      <c r="E92" s="150">
        <v>43531.517361111109</v>
      </c>
      <c r="G92" s="153">
        <v>2725</v>
      </c>
      <c r="H92" s="151">
        <v>1.0548882231738448</v>
      </c>
      <c r="J92" s="153">
        <v>1</v>
      </c>
      <c r="K92" s="153">
        <v>18</v>
      </c>
      <c r="L92" s="151">
        <v>3.9723824303617583E-4</v>
      </c>
      <c r="M92" s="155">
        <f t="shared" si="26"/>
        <v>1.0544909849308086</v>
      </c>
      <c r="N92" s="12" t="s">
        <v>67</v>
      </c>
      <c r="R92" s="1"/>
      <c r="S92" s="1"/>
    </row>
    <row r="93" spans="2:19" hidden="1" outlineLevel="1" x14ac:dyDescent="0.2">
      <c r="B93" s="148" t="s">
        <v>77</v>
      </c>
      <c r="C93" s="10" t="s">
        <v>59</v>
      </c>
      <c r="D93" s="11" t="s">
        <v>38</v>
      </c>
      <c r="E93" s="150">
        <v>43548.379166666666</v>
      </c>
      <c r="G93" s="153">
        <v>2694</v>
      </c>
      <c r="H93" s="151">
        <v>0.17835997112324295</v>
      </c>
      <c r="J93" s="153">
        <v>880</v>
      </c>
      <c r="K93" s="153">
        <v>3960</v>
      </c>
      <c r="L93" s="151">
        <v>8.7392413467958674E-2</v>
      </c>
      <c r="M93" s="155">
        <f t="shared" si="26"/>
        <v>9.0967557655284276E-2</v>
      </c>
      <c r="N93" s="12"/>
      <c r="R93" s="1"/>
      <c r="S93" s="1"/>
    </row>
    <row r="94" spans="2:19" hidden="1" outlineLevel="1" x14ac:dyDescent="0.2">
      <c r="B94" s="148" t="s">
        <v>78</v>
      </c>
      <c r="C94" s="10" t="s">
        <v>45</v>
      </c>
      <c r="D94" s="11" t="s">
        <v>46</v>
      </c>
      <c r="E94" s="150">
        <v>43549.617361111108</v>
      </c>
      <c r="G94" s="153">
        <v>2073</v>
      </c>
      <c r="H94" s="151">
        <v>0.43861722668577746</v>
      </c>
      <c r="J94" s="153">
        <v>345</v>
      </c>
      <c r="K94" s="153">
        <v>3795</v>
      </c>
      <c r="L94" s="151">
        <v>8.3751062906793738E-2</v>
      </c>
      <c r="M94" s="155">
        <f t="shared" si="26"/>
        <v>0.35486616377898372</v>
      </c>
      <c r="N94" s="12"/>
      <c r="R94" s="1"/>
      <c r="S94" s="1"/>
    </row>
    <row r="95" spans="2:19" hidden="1" outlineLevel="1" x14ac:dyDescent="0.2">
      <c r="B95" s="148" t="s">
        <v>79</v>
      </c>
      <c r="C95" s="10" t="s">
        <v>80</v>
      </c>
      <c r="D95" s="11" t="s">
        <v>35</v>
      </c>
      <c r="E95" s="150">
        <v>43555.468055555553</v>
      </c>
      <c r="G95" s="153">
        <v>1688</v>
      </c>
      <c r="H95" s="151">
        <v>7.450423936056276E-2</v>
      </c>
      <c r="J95" s="153">
        <v>2</v>
      </c>
      <c r="K95" s="153">
        <v>4</v>
      </c>
      <c r="L95" s="151">
        <v>8.8275165119150182E-5</v>
      </c>
      <c r="M95" s="155">
        <f t="shared" si="26"/>
        <v>7.4415964195443607E-2</v>
      </c>
      <c r="N95" s="12"/>
      <c r="R95" s="1"/>
      <c r="S95" s="1"/>
    </row>
    <row r="96" spans="2:19" hidden="1" outlineLevel="1" x14ac:dyDescent="0.2">
      <c r="B96" s="148" t="s">
        <v>81</v>
      </c>
      <c r="C96" s="10" t="s">
        <v>56</v>
      </c>
      <c r="D96" s="11" t="s">
        <v>57</v>
      </c>
      <c r="E96" s="150">
        <v>43564.072222222225</v>
      </c>
      <c r="G96" s="153">
        <v>2148</v>
      </c>
      <c r="H96" s="151">
        <v>2.4082347796155363</v>
      </c>
      <c r="J96" s="153">
        <v>685</v>
      </c>
      <c r="K96" s="153">
        <v>52200</v>
      </c>
      <c r="L96" s="151">
        <v>1.15199090480491</v>
      </c>
      <c r="M96" s="155">
        <f t="shared" si="26"/>
        <v>1.2562438748106264</v>
      </c>
      <c r="N96" s="12"/>
      <c r="R96" s="1"/>
      <c r="S96" s="1"/>
    </row>
    <row r="97" spans="1:19" hidden="1" outlineLevel="1" x14ac:dyDescent="0.2">
      <c r="B97" s="148" t="s">
        <v>82</v>
      </c>
      <c r="C97" s="10" t="s">
        <v>34</v>
      </c>
      <c r="D97" s="11" t="s">
        <v>35</v>
      </c>
      <c r="E97" s="150">
        <v>43586.924305555556</v>
      </c>
      <c r="G97" s="153">
        <v>966</v>
      </c>
      <c r="H97" s="151">
        <v>1.9778712808683991</v>
      </c>
      <c r="J97" s="153">
        <v>554</v>
      </c>
      <c r="K97" s="153">
        <v>77098</v>
      </c>
      <c r="L97" s="151">
        <v>1.7014596700890603</v>
      </c>
      <c r="M97" s="155">
        <f t="shared" si="26"/>
        <v>0.27641161077933885</v>
      </c>
      <c r="N97" s="12"/>
      <c r="R97" s="1"/>
      <c r="S97" s="1"/>
    </row>
    <row r="98" spans="1:19" hidden="1" outlineLevel="1" x14ac:dyDescent="0.2">
      <c r="B98" s="148" t="s">
        <v>83</v>
      </c>
      <c r="C98" s="10" t="s">
        <v>84</v>
      </c>
      <c r="D98" s="11" t="s">
        <v>31</v>
      </c>
      <c r="E98" s="150">
        <v>43625.913194444445</v>
      </c>
      <c r="G98" s="153">
        <v>2448</v>
      </c>
      <c r="H98" s="151">
        <v>1.1345124221113181</v>
      </c>
      <c r="J98" s="153">
        <v>0</v>
      </c>
      <c r="K98" s="153">
        <v>0</v>
      </c>
      <c r="L98" s="151">
        <v>0</v>
      </c>
      <c r="M98" s="155">
        <f t="shared" si="26"/>
        <v>1.1345124221113181</v>
      </c>
      <c r="N98" s="12" t="s">
        <v>49</v>
      </c>
      <c r="R98" s="1"/>
      <c r="S98" s="1"/>
    </row>
    <row r="99" spans="1:19" hidden="1" outlineLevel="1" x14ac:dyDescent="0.2">
      <c r="B99" s="148" t="s">
        <v>85</v>
      </c>
      <c r="C99" s="10" t="s">
        <v>30</v>
      </c>
      <c r="D99" s="11" t="s">
        <v>31</v>
      </c>
      <c r="E99" s="150">
        <v>43645.552777777775</v>
      </c>
      <c r="G99" s="153">
        <v>2035</v>
      </c>
      <c r="H99" s="151">
        <v>4.7558245207942162</v>
      </c>
      <c r="J99" s="153">
        <v>679</v>
      </c>
      <c r="K99" s="153">
        <v>71904</v>
      </c>
      <c r="L99" s="151">
        <v>1.5868343681818438</v>
      </c>
      <c r="M99" s="155">
        <f t="shared" si="26"/>
        <v>3.1689901526123725</v>
      </c>
      <c r="N99" s="12"/>
      <c r="R99" s="1"/>
      <c r="S99" s="1"/>
    </row>
    <row r="100" spans="1:19" hidden="1" outlineLevel="1" x14ac:dyDescent="0.2">
      <c r="B100" s="148" t="s">
        <v>86</v>
      </c>
      <c r="C100" s="10" t="s">
        <v>87</v>
      </c>
      <c r="D100" s="11" t="s">
        <v>66</v>
      </c>
      <c r="E100" s="150">
        <v>43645.938194444447</v>
      </c>
      <c r="G100" s="153">
        <v>2968</v>
      </c>
      <c r="H100" s="151">
        <v>2.5721838300330777</v>
      </c>
      <c r="J100" s="153">
        <v>1117</v>
      </c>
      <c r="K100" s="153">
        <v>67020</v>
      </c>
      <c r="L100" s="151">
        <v>1.4790503915713613</v>
      </c>
      <c r="M100" s="155">
        <f t="shared" si="26"/>
        <v>1.0931334384617164</v>
      </c>
      <c r="N100" s="12"/>
      <c r="R100" s="1"/>
      <c r="S100" s="1"/>
    </row>
    <row r="101" spans="1:19" hidden="1" outlineLevel="1" x14ac:dyDescent="0.2">
      <c r="B101" s="148" t="s">
        <v>88</v>
      </c>
      <c r="C101" s="10" t="s">
        <v>71</v>
      </c>
      <c r="D101" s="11" t="s">
        <v>72</v>
      </c>
      <c r="E101" s="150">
        <v>43656.751388888886</v>
      </c>
      <c r="G101" s="153">
        <v>2165</v>
      </c>
      <c r="H101" s="151">
        <v>3.0778239758355701</v>
      </c>
      <c r="J101" s="153">
        <v>536</v>
      </c>
      <c r="K101" s="153">
        <v>50608</v>
      </c>
      <c r="L101" s="151">
        <v>1.1168573890874882</v>
      </c>
      <c r="M101" s="155">
        <f t="shared" si="26"/>
        <v>1.9609665867480819</v>
      </c>
      <c r="N101" s="12"/>
      <c r="R101" s="1"/>
      <c r="S101" s="1"/>
    </row>
    <row r="102" spans="1:19" hidden="1" outlineLevel="1" x14ac:dyDescent="0.2">
      <c r="B102" s="148" t="s">
        <v>89</v>
      </c>
      <c r="C102" s="10" t="s">
        <v>30</v>
      </c>
      <c r="D102" s="11" t="s">
        <v>31</v>
      </c>
      <c r="E102" s="150">
        <v>43658.020833333336</v>
      </c>
      <c r="G102" s="153">
        <v>2035</v>
      </c>
      <c r="H102" s="151">
        <v>2.2464926083259731</v>
      </c>
      <c r="J102" s="153">
        <v>679</v>
      </c>
      <c r="K102" s="153">
        <v>50948</v>
      </c>
      <c r="L102" s="151">
        <v>1.1243607781226159</v>
      </c>
      <c r="M102" s="155">
        <f t="shared" si="26"/>
        <v>1.1221318302033572</v>
      </c>
      <c r="N102" s="12"/>
      <c r="R102" s="1"/>
      <c r="S102" s="1"/>
    </row>
    <row r="103" spans="1:19" hidden="1" outlineLevel="1" x14ac:dyDescent="0.2">
      <c r="B103" s="148" t="s">
        <v>90</v>
      </c>
      <c r="C103" s="10" t="s">
        <v>30</v>
      </c>
      <c r="D103" s="11" t="s">
        <v>31</v>
      </c>
      <c r="E103" s="150">
        <v>43660.65625</v>
      </c>
      <c r="G103" s="153">
        <v>2036</v>
      </c>
      <c r="H103" s="151">
        <v>2.9853116027907007</v>
      </c>
      <c r="J103" s="153">
        <v>679</v>
      </c>
      <c r="K103" s="153">
        <v>67670</v>
      </c>
      <c r="L103" s="151">
        <v>1.4933951059032231</v>
      </c>
      <c r="M103" s="155">
        <f t="shared" si="26"/>
        <v>1.4919164968874776</v>
      </c>
      <c r="N103" s="12"/>
      <c r="R103" s="1"/>
      <c r="S103" s="1"/>
    </row>
    <row r="104" spans="1:19" hidden="1" outlineLevel="1" x14ac:dyDescent="0.2">
      <c r="B104" s="148" t="s">
        <v>91</v>
      </c>
      <c r="C104" s="10" t="s">
        <v>65</v>
      </c>
      <c r="D104" s="11" t="s">
        <v>66</v>
      </c>
      <c r="E104" s="150">
        <v>43690.243055555555</v>
      </c>
      <c r="G104" s="153">
        <v>2725</v>
      </c>
      <c r="H104" s="151">
        <v>6.3984487933313625</v>
      </c>
      <c r="J104" s="153">
        <v>1790</v>
      </c>
      <c r="K104" s="153">
        <v>190451</v>
      </c>
      <c r="L104" s="151">
        <v>4.2030233680268179</v>
      </c>
      <c r="M104" s="155">
        <f t="shared" si="26"/>
        <v>2.1954254253045447</v>
      </c>
      <c r="N104" s="12"/>
      <c r="R104" s="1"/>
      <c r="S104" s="1"/>
    </row>
    <row r="105" spans="1:19" hidden="1" outlineLevel="1" x14ac:dyDescent="0.2">
      <c r="B105" s="148" t="s">
        <v>92</v>
      </c>
      <c r="C105" s="10" t="s">
        <v>75</v>
      </c>
      <c r="D105" s="11" t="s">
        <v>66</v>
      </c>
      <c r="E105" s="150">
        <v>43715.021527777775</v>
      </c>
      <c r="G105" s="153">
        <v>2206</v>
      </c>
      <c r="H105" s="151">
        <v>4.0064566440977503</v>
      </c>
      <c r="J105" s="153">
        <v>398</v>
      </c>
      <c r="K105" s="153">
        <v>858</v>
      </c>
      <c r="L105" s="151">
        <v>1.8935022918057712E-2</v>
      </c>
      <c r="M105" s="155">
        <f t="shared" si="26"/>
        <v>3.9875216211796927</v>
      </c>
      <c r="N105" s="12"/>
      <c r="R105" s="1"/>
      <c r="S105" s="1"/>
    </row>
    <row r="106" spans="1:19" hidden="1" outlineLevel="1" x14ac:dyDescent="0.2">
      <c r="B106" s="148" t="s">
        <v>93</v>
      </c>
      <c r="C106" s="10" t="s">
        <v>65</v>
      </c>
      <c r="D106" s="11" t="s">
        <v>66</v>
      </c>
      <c r="E106" s="150">
        <v>43725.357638888891</v>
      </c>
      <c r="G106" s="153">
        <v>2748</v>
      </c>
      <c r="H106" s="151">
        <v>2.1771083285423209</v>
      </c>
      <c r="J106" s="153">
        <v>378</v>
      </c>
      <c r="K106" s="153">
        <v>20355</v>
      </c>
      <c r="L106" s="151">
        <v>0.44921024650007552</v>
      </c>
      <c r="M106" s="156">
        <f t="shared" si="26"/>
        <v>1.7278980820422454</v>
      </c>
      <c r="N106" s="157"/>
      <c r="O106" s="157"/>
      <c r="P106" s="157"/>
      <c r="R106" s="1"/>
      <c r="S106" s="1"/>
    </row>
    <row r="107" spans="1:19" hidden="1" outlineLevel="1" x14ac:dyDescent="0.2">
      <c r="B107" s="149" t="s">
        <v>128</v>
      </c>
      <c r="C107" s="145"/>
      <c r="D107" s="146"/>
      <c r="E107" s="146"/>
      <c r="G107" s="154">
        <f>SUM(G69:G106)</f>
        <v>89951</v>
      </c>
      <c r="H107" s="152">
        <f>SUM(H69:H106)</f>
        <v>124.63484494886826</v>
      </c>
      <c r="J107" s="154">
        <f>SUM(J69:J106)</f>
        <v>24738</v>
      </c>
      <c r="K107" s="154">
        <f>SUM(K69:K106)</f>
        <v>2480262</v>
      </c>
      <c r="L107" s="152">
        <f>SUM(L69:L106)</f>
        <v>54.736384397188431</v>
      </c>
      <c r="M107" s="152">
        <f>SUM(M69:M106)</f>
        <v>70.011011387206736</v>
      </c>
      <c r="N107" s="147"/>
      <c r="R107" s="1"/>
      <c r="S107" s="1"/>
    </row>
    <row r="108" spans="1:19" hidden="1" outlineLevel="1" x14ac:dyDescent="0.2"/>
    <row r="109" spans="1:19" collapsed="1" x14ac:dyDescent="0.2">
      <c r="A109" s="46" t="s">
        <v>144</v>
      </c>
      <c r="B109" s="46"/>
      <c r="C109" s="47"/>
      <c r="D109" s="47"/>
      <c r="E109" s="47"/>
      <c r="F109" s="47"/>
      <c r="G109" s="47"/>
      <c r="H109" s="46"/>
      <c r="I109" s="46"/>
      <c r="J109" s="46"/>
      <c r="K109" s="46"/>
      <c r="L109" s="46"/>
      <c r="M109" s="46"/>
      <c r="N109" s="46"/>
      <c r="O109" s="46"/>
      <c r="P109" s="46"/>
    </row>
    <row r="110" spans="1:19" x14ac:dyDescent="0.2"/>
  </sheetData>
  <mergeCells count="14">
    <mergeCell ref="G67:H67"/>
    <mergeCell ref="J67:L67"/>
    <mergeCell ref="C31:F31"/>
    <mergeCell ref="H31:K31"/>
    <mergeCell ref="M31:P31"/>
    <mergeCell ref="M22:P22"/>
    <mergeCell ref="C11:F11"/>
    <mergeCell ref="H11:K11"/>
    <mergeCell ref="M11:P11"/>
    <mergeCell ref="C13:F13"/>
    <mergeCell ref="H13:K13"/>
    <mergeCell ref="M13:P13"/>
    <mergeCell ref="C22:F22"/>
    <mergeCell ref="H22:K22"/>
  </mergeCells>
  <pageMargins left="0.70866141732283472" right="0.70866141732283472" top="0.74803149606299213" bottom="0.74803149606299213" header="0.31496062992125984" footer="0.31496062992125984"/>
  <pageSetup paperSize="8" scale="64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F21" sqref="F21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outlinePr summaryBelow="0" summaryRight="0"/>
    <pageSetUpPr autoPageBreaks="0" fitToPage="1"/>
  </sheetPr>
  <dimension ref="A1:M179"/>
  <sheetViews>
    <sheetView showGridLines="0" zoomScaleNormal="100" zoomScaleSheetLayoutView="85" workbookViewId="0">
      <selection activeCell="D77" sqref="D77"/>
    </sheetView>
  </sheetViews>
  <sheetFormatPr defaultColWidth="0" defaultRowHeight="11.25" zeroHeight="1" outlineLevelRow="1" x14ac:dyDescent="0.15"/>
  <cols>
    <col min="1" max="2" width="2.375" style="98" customWidth="1"/>
    <col min="3" max="3" width="2.375" style="99" customWidth="1"/>
    <col min="4" max="4" width="2.375" style="100" customWidth="1"/>
    <col min="5" max="5" width="20.5" style="101" customWidth="1"/>
    <col min="6" max="6" width="5.875" style="101" customWidth="1"/>
    <col min="7" max="7" width="9.25" style="101" bestFit="1" customWidth="1"/>
    <col min="8" max="8" width="10" style="94" customWidth="1"/>
    <col min="9" max="12" width="10.25" style="101" customWidth="1"/>
    <col min="13" max="13" width="2.375" style="102" customWidth="1"/>
    <col min="14" max="16384" width="7.75" style="102" hidden="1"/>
  </cols>
  <sheetData>
    <row r="1" spans="1:12" x14ac:dyDescent="0.15"/>
    <row r="2" spans="1:12" x14ac:dyDescent="0.15">
      <c r="A2" s="103" t="s">
        <v>171</v>
      </c>
      <c r="B2" s="103"/>
      <c r="C2" s="103"/>
      <c r="D2" s="104"/>
      <c r="E2" s="105"/>
      <c r="F2" s="105"/>
      <c r="G2" s="105"/>
      <c r="H2" s="95"/>
      <c r="I2" s="105"/>
      <c r="J2" s="105"/>
      <c r="K2" s="105"/>
      <c r="L2" s="105"/>
    </row>
    <row r="3" spans="1:12" collapsed="1" x14ac:dyDescent="0.15">
      <c r="D3" s="106"/>
    </row>
    <row r="4" spans="1:12" hidden="1" outlineLevel="1" x14ac:dyDescent="0.15">
      <c r="C4" s="107" t="s">
        <v>170</v>
      </c>
      <c r="D4" s="106"/>
      <c r="H4" s="101"/>
      <c r="I4" s="96"/>
      <c r="J4" s="96"/>
      <c r="K4" s="96"/>
      <c r="L4" s="96"/>
    </row>
    <row r="5" spans="1:12" hidden="1" outlineLevel="1" x14ac:dyDescent="0.15">
      <c r="C5" s="101" t="s">
        <v>1</v>
      </c>
      <c r="D5" s="106"/>
      <c r="G5" s="108">
        <v>0.18</v>
      </c>
      <c r="H5" s="96" t="s">
        <v>165</v>
      </c>
      <c r="I5" s="96"/>
      <c r="J5" s="96"/>
      <c r="K5" s="96"/>
      <c r="L5" s="96"/>
    </row>
    <row r="6" spans="1:12" hidden="1" outlineLevel="1" x14ac:dyDescent="0.15">
      <c r="C6" s="101" t="s">
        <v>2</v>
      </c>
      <c r="D6" s="106"/>
      <c r="G6" s="108">
        <v>0.2</v>
      </c>
      <c r="H6" s="96" t="s">
        <v>165</v>
      </c>
      <c r="I6" s="96"/>
      <c r="J6" s="96"/>
      <c r="K6" s="96"/>
      <c r="L6" s="96"/>
    </row>
    <row r="7" spans="1:12" hidden="1" outlineLevel="1" x14ac:dyDescent="0.15">
      <c r="C7" s="101" t="s">
        <v>3</v>
      </c>
      <c r="D7" s="106"/>
      <c r="G7" s="108">
        <v>0.3</v>
      </c>
      <c r="H7" s="96" t="s">
        <v>165</v>
      </c>
      <c r="I7" s="96"/>
      <c r="J7" s="96"/>
      <c r="K7" s="96"/>
      <c r="L7" s="96"/>
    </row>
    <row r="8" spans="1:12" hidden="1" outlineLevel="1" x14ac:dyDescent="0.15">
      <c r="C8" s="101" t="s">
        <v>4</v>
      </c>
      <c r="D8" s="106"/>
      <c r="G8" s="108">
        <v>0.3</v>
      </c>
      <c r="H8" s="96" t="s">
        <v>165</v>
      </c>
      <c r="I8" s="96"/>
      <c r="J8" s="96"/>
      <c r="K8" s="96"/>
      <c r="L8" s="96"/>
    </row>
    <row r="9" spans="1:12" hidden="1" outlineLevel="1" x14ac:dyDescent="0.15">
      <c r="C9" s="101"/>
      <c r="D9" s="106"/>
      <c r="H9" s="96"/>
      <c r="I9" s="96"/>
      <c r="J9" s="96"/>
      <c r="K9" s="96"/>
      <c r="L9" s="96"/>
    </row>
    <row r="10" spans="1:12" hidden="1" outlineLevel="1" x14ac:dyDescent="0.15">
      <c r="C10" s="107" t="s">
        <v>169</v>
      </c>
      <c r="D10" s="106"/>
      <c r="H10" s="96"/>
      <c r="I10" s="96"/>
      <c r="J10" s="96"/>
      <c r="K10" s="96"/>
      <c r="L10" s="96"/>
    </row>
    <row r="11" spans="1:12" hidden="1" outlineLevel="1" x14ac:dyDescent="0.15">
      <c r="C11" s="101" t="s">
        <v>1</v>
      </c>
      <c r="D11" s="106"/>
      <c r="G11" s="108">
        <v>0.02</v>
      </c>
      <c r="H11" s="96" t="s">
        <v>165</v>
      </c>
      <c r="I11" s="96"/>
      <c r="J11" s="96"/>
      <c r="K11" s="96"/>
      <c r="L11" s="96"/>
    </row>
    <row r="12" spans="1:12" hidden="1" outlineLevel="1" x14ac:dyDescent="0.15">
      <c r="C12" s="101" t="s">
        <v>2</v>
      </c>
      <c r="D12" s="106"/>
      <c r="G12" s="108">
        <v>0.15</v>
      </c>
      <c r="H12" s="96" t="s">
        <v>165</v>
      </c>
      <c r="I12" s="96"/>
      <c r="J12" s="96"/>
      <c r="K12" s="96"/>
      <c r="L12" s="96"/>
    </row>
    <row r="13" spans="1:12" hidden="1" outlineLevel="1" x14ac:dyDescent="0.15">
      <c r="C13" s="101" t="s">
        <v>3</v>
      </c>
      <c r="D13" s="106"/>
      <c r="G13" s="108">
        <v>0</v>
      </c>
      <c r="H13" s="96" t="s">
        <v>165</v>
      </c>
      <c r="I13" s="96"/>
      <c r="J13" s="96"/>
      <c r="K13" s="96"/>
      <c r="L13" s="96"/>
    </row>
    <row r="14" spans="1:12" hidden="1" outlineLevel="1" x14ac:dyDescent="0.15">
      <c r="C14" s="101" t="s">
        <v>4</v>
      </c>
      <c r="D14" s="106"/>
      <c r="G14" s="108">
        <v>0.15</v>
      </c>
      <c r="H14" s="96" t="s">
        <v>165</v>
      </c>
      <c r="I14" s="96"/>
      <c r="J14" s="96"/>
      <c r="K14" s="96"/>
      <c r="L14" s="96"/>
    </row>
    <row r="15" spans="1:12" hidden="1" outlineLevel="1" x14ac:dyDescent="0.15">
      <c r="C15" s="101"/>
      <c r="D15" s="106"/>
    </row>
    <row r="16" spans="1:12" hidden="1" outlineLevel="1" x14ac:dyDescent="0.15">
      <c r="C16" s="101" t="s">
        <v>168</v>
      </c>
      <c r="D16" s="109"/>
      <c r="G16" s="110">
        <v>5</v>
      </c>
      <c r="H16" s="96" t="s">
        <v>167</v>
      </c>
    </row>
    <row r="17" spans="1:12" hidden="1" outlineLevel="1" x14ac:dyDescent="0.15">
      <c r="C17" s="101" t="s">
        <v>166</v>
      </c>
      <c r="D17" s="109"/>
      <c r="G17" s="111">
        <v>0.995</v>
      </c>
      <c r="H17" s="96" t="s">
        <v>165</v>
      </c>
    </row>
    <row r="18" spans="1:12" hidden="1" outlineLevel="1" x14ac:dyDescent="0.15">
      <c r="C18" s="101" t="s">
        <v>17</v>
      </c>
      <c r="D18" s="109"/>
      <c r="G18" s="139">
        <f>'2021-2026 Unserved Energy'!$C$5</f>
        <v>9415128.2345357668</v>
      </c>
      <c r="H18" s="96" t="s">
        <v>157</v>
      </c>
    </row>
    <row r="19" spans="1:12" hidden="1" outlineLevel="1" x14ac:dyDescent="0.15">
      <c r="C19" s="101" t="s">
        <v>164</v>
      </c>
      <c r="D19" s="109"/>
      <c r="G19" s="139">
        <f>'2021-2026 Unserved Energy'!$C$6</f>
        <v>811694</v>
      </c>
      <c r="H19" s="96" t="s">
        <v>163</v>
      </c>
    </row>
    <row r="20" spans="1:12" ht="14.25" hidden="1" customHeight="1" outlineLevel="1" x14ac:dyDescent="0.15">
      <c r="C20" s="101"/>
      <c r="D20" s="109"/>
    </row>
    <row r="21" spans="1:12" hidden="1" outlineLevel="1" x14ac:dyDescent="0.15">
      <c r="C21" s="101" t="s">
        <v>162</v>
      </c>
      <c r="G21" s="112" t="s">
        <v>161</v>
      </c>
      <c r="H21" s="96" t="s">
        <v>157</v>
      </c>
    </row>
    <row r="22" spans="1:12" hidden="1" outlineLevel="1" x14ac:dyDescent="0.15">
      <c r="C22" s="101" t="s">
        <v>160</v>
      </c>
      <c r="G22" s="112" t="s">
        <v>159</v>
      </c>
      <c r="H22" s="96" t="s">
        <v>157</v>
      </c>
    </row>
    <row r="23" spans="1:12" hidden="1" outlineLevel="1" x14ac:dyDescent="0.15">
      <c r="D23" s="109"/>
    </row>
    <row r="24" spans="1:12" hidden="1" outlineLevel="1" x14ac:dyDescent="0.15">
      <c r="A24" s="113"/>
      <c r="B24" s="113" t="s">
        <v>158</v>
      </c>
      <c r="C24" s="113"/>
      <c r="D24" s="114"/>
      <c r="E24" s="113"/>
      <c r="F24" s="115"/>
      <c r="G24" s="115"/>
      <c r="H24" s="97"/>
      <c r="I24" s="115"/>
      <c r="J24" s="115"/>
      <c r="K24" s="115"/>
      <c r="L24" s="115"/>
    </row>
    <row r="25" spans="1:12" ht="13.15" hidden="1" customHeight="1" outlineLevel="1" x14ac:dyDescent="0.15">
      <c r="D25" s="106"/>
    </row>
    <row r="26" spans="1:12" ht="13.15" hidden="1" customHeight="1" outlineLevel="1" x14ac:dyDescent="0.15">
      <c r="D26" s="106"/>
      <c r="E26" s="109"/>
      <c r="I26" s="116" t="s">
        <v>5</v>
      </c>
      <c r="J26" s="116" t="s">
        <v>6</v>
      </c>
      <c r="K26" s="116" t="s">
        <v>7</v>
      </c>
    </row>
    <row r="27" spans="1:12" ht="13.15" hidden="1" customHeight="1" outlineLevel="1" x14ac:dyDescent="0.15">
      <c r="A27" s="101"/>
      <c r="B27" s="101"/>
      <c r="C27" s="117" t="s">
        <v>1</v>
      </c>
      <c r="D27" s="118"/>
      <c r="E27" s="117"/>
      <c r="H27" s="96" t="s">
        <v>157</v>
      </c>
      <c r="I27" s="119">
        <v>62</v>
      </c>
      <c r="J27" s="119">
        <v>660</v>
      </c>
      <c r="K27" s="119">
        <v>2016</v>
      </c>
    </row>
    <row r="28" spans="1:12" ht="13.15" hidden="1" customHeight="1" outlineLevel="1" x14ac:dyDescent="0.15">
      <c r="C28" s="117" t="s">
        <v>2</v>
      </c>
      <c r="D28" s="118"/>
      <c r="E28" s="117"/>
      <c r="H28" s="96" t="s">
        <v>157</v>
      </c>
      <c r="I28" s="120"/>
      <c r="J28" s="120">
        <v>25</v>
      </c>
      <c r="K28" s="120">
        <v>150</v>
      </c>
    </row>
    <row r="29" spans="1:12" ht="13.15" hidden="1" customHeight="1" outlineLevel="1" x14ac:dyDescent="0.15">
      <c r="C29" s="117" t="s">
        <v>3</v>
      </c>
      <c r="D29" s="118"/>
      <c r="E29" s="117"/>
      <c r="H29" s="96" t="s">
        <v>157</v>
      </c>
      <c r="I29" s="120">
        <v>16</v>
      </c>
      <c r="J29" s="120">
        <v>38</v>
      </c>
      <c r="K29" s="120">
        <v>108</v>
      </c>
    </row>
    <row r="30" spans="1:12" ht="13.15" hidden="1" customHeight="1" outlineLevel="1" x14ac:dyDescent="0.15">
      <c r="C30" s="117" t="s">
        <v>4</v>
      </c>
      <c r="D30" s="118"/>
      <c r="E30" s="117"/>
      <c r="H30" s="96" t="s">
        <v>157</v>
      </c>
      <c r="I30" s="120">
        <v>11</v>
      </c>
      <c r="J30" s="120">
        <v>224</v>
      </c>
      <c r="K30" s="120">
        <v>1035</v>
      </c>
    </row>
    <row r="31" spans="1:12" hidden="1" outlineLevel="1" x14ac:dyDescent="0.15">
      <c r="D31" s="109"/>
    </row>
    <row r="32" spans="1:12" hidden="1" outlineLevel="1" x14ac:dyDescent="0.15">
      <c r="A32" s="113"/>
      <c r="B32" s="113" t="s">
        <v>156</v>
      </c>
      <c r="C32" s="113"/>
      <c r="D32" s="114"/>
      <c r="E32" s="113"/>
      <c r="F32" s="115"/>
      <c r="G32" s="115"/>
      <c r="H32" s="97"/>
      <c r="I32" s="115"/>
      <c r="J32" s="115"/>
      <c r="K32" s="115"/>
      <c r="L32" s="115"/>
    </row>
    <row r="33" spans="1:12" ht="13.15" hidden="1" customHeight="1" outlineLevel="1" x14ac:dyDescent="0.15">
      <c r="D33" s="109"/>
    </row>
    <row r="34" spans="1:12" ht="13.15" hidden="1" customHeight="1" outlineLevel="1" x14ac:dyDescent="0.15">
      <c r="A34" s="101"/>
      <c r="B34" s="101"/>
      <c r="C34" s="101"/>
      <c r="E34" s="109"/>
      <c r="H34" s="96"/>
      <c r="I34" s="116" t="s">
        <v>5</v>
      </c>
      <c r="J34" s="116" t="s">
        <v>6</v>
      </c>
      <c r="K34" s="116" t="s">
        <v>7</v>
      </c>
    </row>
    <row r="35" spans="1:12" ht="13.15" hidden="1" customHeight="1" outlineLevel="1" x14ac:dyDescent="0.15">
      <c r="C35" s="101" t="str">
        <f>$C$27</f>
        <v>22KV Dist Sub Outage</v>
      </c>
      <c r="D35" s="109"/>
      <c r="H35" s="96" t="s">
        <v>155</v>
      </c>
      <c r="I35" s="120">
        <v>344072</v>
      </c>
      <c r="J35" s="120">
        <v>1206349</v>
      </c>
      <c r="K35" s="120">
        <v>2420031</v>
      </c>
    </row>
    <row r="36" spans="1:12" ht="13.15" hidden="1" customHeight="1" outlineLevel="1" x14ac:dyDescent="0.15">
      <c r="C36" s="101" t="str">
        <f>$C$28</f>
        <v>HV 22kv ACR Outage</v>
      </c>
      <c r="D36" s="109"/>
      <c r="H36" s="96" t="s">
        <v>155</v>
      </c>
      <c r="I36" s="120"/>
      <c r="J36" s="120">
        <v>2641685</v>
      </c>
      <c r="K36" s="120">
        <v>20379440</v>
      </c>
    </row>
    <row r="37" spans="1:12" ht="13.15" hidden="1" customHeight="1" outlineLevel="1" x14ac:dyDescent="0.15">
      <c r="C37" s="101" t="str">
        <f>$C$29</f>
        <v>HV 22KV CB Outage</v>
      </c>
      <c r="D37" s="109"/>
      <c r="H37" s="96" t="s">
        <v>155</v>
      </c>
      <c r="I37" s="120">
        <v>965148</v>
      </c>
      <c r="J37" s="120">
        <v>5106648</v>
      </c>
      <c r="K37" s="120">
        <v>26872740</v>
      </c>
    </row>
    <row r="38" spans="1:12" ht="13.15" hidden="1" customHeight="1" outlineLevel="1" x14ac:dyDescent="0.15">
      <c r="C38" s="101" t="str">
        <f>$C$30</f>
        <v>HV 22KV Line Outage</v>
      </c>
      <c r="D38" s="109"/>
      <c r="H38" s="96" t="s">
        <v>155</v>
      </c>
      <c r="I38" s="120">
        <v>127044</v>
      </c>
      <c r="J38" s="120">
        <v>2757656</v>
      </c>
      <c r="K38" s="120">
        <v>14136629</v>
      </c>
    </row>
    <row r="39" spans="1:12" hidden="1" outlineLevel="1" x14ac:dyDescent="0.15">
      <c r="D39" s="109"/>
    </row>
    <row r="40" spans="1:12" ht="12.75" customHeight="1" x14ac:dyDescent="0.15">
      <c r="A40" s="103" t="s">
        <v>154</v>
      </c>
      <c r="B40" s="103"/>
      <c r="C40" s="103"/>
      <c r="D40" s="104"/>
      <c r="E40" s="105"/>
      <c r="F40" s="105"/>
      <c r="G40" s="105"/>
      <c r="H40" s="95"/>
      <c r="I40" s="105"/>
      <c r="J40" s="105"/>
      <c r="K40" s="105"/>
      <c r="L40" s="105"/>
    </row>
    <row r="41" spans="1:12" x14ac:dyDescent="0.15"/>
    <row r="42" spans="1:12" x14ac:dyDescent="0.15">
      <c r="C42" s="180" t="str">
        <f>CONCATENATE("Annual Average Performance Before"," ",'T1 Base'!G21," - ",'T1 Base'!G22)</f>
        <v>Annual Average Performance Before 2011/2012 - 2015/2016</v>
      </c>
      <c r="D42" s="180"/>
      <c r="E42" s="180"/>
      <c r="F42" s="180"/>
      <c r="G42" s="180"/>
      <c r="H42" s="180"/>
      <c r="I42" s="180"/>
      <c r="J42" s="180"/>
      <c r="K42" s="180"/>
      <c r="L42" s="180"/>
    </row>
    <row r="43" spans="1:12" x14ac:dyDescent="0.15"/>
    <row r="44" spans="1:12" x14ac:dyDescent="0.15">
      <c r="C44" s="99" t="s">
        <v>153</v>
      </c>
      <c r="I44" s="116" t="s">
        <v>5</v>
      </c>
      <c r="J44" s="116" t="s">
        <v>6</v>
      </c>
      <c r="K44" s="116" t="s">
        <v>7</v>
      </c>
      <c r="L44" s="116" t="s">
        <v>8</v>
      </c>
    </row>
    <row r="45" spans="1:12" x14ac:dyDescent="0.15">
      <c r="C45" s="101" t="str">
        <f>$C$27</f>
        <v>22KV Dist Sub Outage</v>
      </c>
      <c r="I45" s="121">
        <f>'T1 Base'!I27/'T1 Base'!$G$16</f>
        <v>12.4</v>
      </c>
      <c r="J45" s="121">
        <f>'T1 Base'!J27/'T1 Base'!$G$16</f>
        <v>132</v>
      </c>
      <c r="K45" s="121">
        <f>'T1 Base'!K27/'T1 Base'!$G$16</f>
        <v>403.2</v>
      </c>
      <c r="L45" s="121">
        <f>SUM(I45:K45)</f>
        <v>547.6</v>
      </c>
    </row>
    <row r="46" spans="1:12" x14ac:dyDescent="0.15">
      <c r="C46" s="101" t="str">
        <f>$C$28</f>
        <v>HV 22kv ACR Outage</v>
      </c>
      <c r="I46" s="121">
        <f>'T1 Base'!I28/'T1 Base'!$G$16</f>
        <v>0</v>
      </c>
      <c r="J46" s="121">
        <f>'T1 Base'!J28/'T1 Base'!$G$16</f>
        <v>5</v>
      </c>
      <c r="K46" s="121">
        <f>'T1 Base'!K28/'T1 Base'!$G$16</f>
        <v>30</v>
      </c>
      <c r="L46" s="121">
        <f>SUM(I46:K46)</f>
        <v>35</v>
      </c>
    </row>
    <row r="47" spans="1:12" x14ac:dyDescent="0.15">
      <c r="C47" s="101" t="str">
        <f>$C$29</f>
        <v>HV 22KV CB Outage</v>
      </c>
      <c r="I47" s="121">
        <f>'T1 Base'!I29/'T1 Base'!$G$16</f>
        <v>3.2</v>
      </c>
      <c r="J47" s="121">
        <f>'T1 Base'!J29/'T1 Base'!$G$16</f>
        <v>7.6</v>
      </c>
      <c r="K47" s="121">
        <f>'T1 Base'!K29/'T1 Base'!$G$16</f>
        <v>21.6</v>
      </c>
      <c r="L47" s="121">
        <f>SUM(I47:K47)</f>
        <v>32.400000000000006</v>
      </c>
    </row>
    <row r="48" spans="1:12" x14ac:dyDescent="0.15">
      <c r="C48" s="122" t="str">
        <f>$C$30</f>
        <v>HV 22KV Line Outage</v>
      </c>
      <c r="D48" s="123"/>
      <c r="E48" s="122"/>
      <c r="F48" s="122"/>
      <c r="G48" s="122"/>
      <c r="H48" s="124"/>
      <c r="I48" s="121">
        <f>'T1 Base'!I30/'T1 Base'!$G$16</f>
        <v>2.2000000000000002</v>
      </c>
      <c r="J48" s="121">
        <f>'T1 Base'!J30/'T1 Base'!$G$16</f>
        <v>44.8</v>
      </c>
      <c r="K48" s="121">
        <f>'T1 Base'!K30/'T1 Base'!$G$16</f>
        <v>207</v>
      </c>
      <c r="L48" s="121">
        <f>SUM(I48:K48)</f>
        <v>254</v>
      </c>
    </row>
    <row r="49" spans="3:12" x14ac:dyDescent="0.15"/>
    <row r="50" spans="3:12" x14ac:dyDescent="0.15">
      <c r="C50" s="99" t="s">
        <v>145</v>
      </c>
      <c r="I50" s="116" t="s">
        <v>5</v>
      </c>
      <c r="J50" s="116" t="s">
        <v>6</v>
      </c>
      <c r="K50" s="116" t="s">
        <v>7</v>
      </c>
      <c r="L50" s="116" t="s">
        <v>8</v>
      </c>
    </row>
    <row r="51" spans="3:12" x14ac:dyDescent="0.15">
      <c r="C51" s="101" t="str">
        <f>$C$27</f>
        <v>22KV Dist Sub Outage</v>
      </c>
      <c r="D51" s="125"/>
      <c r="I51" s="126">
        <f>'T1 Base'!I35/'T1 Base'!$G$16</f>
        <v>68814.399999999994</v>
      </c>
      <c r="J51" s="126">
        <f>'T1 Base'!J35/'T1 Base'!$G$16</f>
        <v>241269.8</v>
      </c>
      <c r="K51" s="126">
        <f>'T1 Base'!K35/'T1 Base'!$G$16</f>
        <v>484006.2</v>
      </c>
      <c r="L51" s="121">
        <f>SUM(I51:K51)</f>
        <v>794090.39999999991</v>
      </c>
    </row>
    <row r="52" spans="3:12" x14ac:dyDescent="0.15">
      <c r="C52" s="101" t="str">
        <f>$C$28</f>
        <v>HV 22kv ACR Outage</v>
      </c>
      <c r="D52" s="125"/>
      <c r="I52" s="126">
        <f>'T1 Base'!I36/'T1 Base'!$G$16</f>
        <v>0</v>
      </c>
      <c r="J52" s="126">
        <f>'T1 Base'!J36/'T1 Base'!$G$16</f>
        <v>528337</v>
      </c>
      <c r="K52" s="126">
        <f>'T1 Base'!K36/'T1 Base'!$G$16</f>
        <v>4075888</v>
      </c>
      <c r="L52" s="121">
        <f>SUM(I52:K52)</f>
        <v>4604225</v>
      </c>
    </row>
    <row r="53" spans="3:12" x14ac:dyDescent="0.15">
      <c r="C53" s="101" t="str">
        <f>$C$29</f>
        <v>HV 22KV CB Outage</v>
      </c>
      <c r="D53" s="125"/>
      <c r="I53" s="126">
        <f>'T1 Base'!I37/'T1 Base'!$G$16</f>
        <v>193029.6</v>
      </c>
      <c r="J53" s="126">
        <f>'T1 Base'!J37/'T1 Base'!$G$16</f>
        <v>1021329.6</v>
      </c>
      <c r="K53" s="126">
        <f>'T1 Base'!K37/'T1 Base'!$G$16</f>
        <v>5374548</v>
      </c>
      <c r="L53" s="121">
        <f>SUM(I53:K53)</f>
        <v>6588907.2000000002</v>
      </c>
    </row>
    <row r="54" spans="3:12" x14ac:dyDescent="0.15">
      <c r="C54" s="122" t="str">
        <f>$C$30</f>
        <v>HV 22KV Line Outage</v>
      </c>
      <c r="D54" s="127"/>
      <c r="E54" s="122"/>
      <c r="F54" s="122"/>
      <c r="G54" s="122"/>
      <c r="H54" s="124"/>
      <c r="I54" s="126">
        <f>'T1 Base'!I38/'T1 Base'!$G$16</f>
        <v>25408.799999999999</v>
      </c>
      <c r="J54" s="126">
        <f>'T1 Base'!J38/'T1 Base'!$G$16</f>
        <v>551531.19999999995</v>
      </c>
      <c r="K54" s="126">
        <f>'T1 Base'!K38/'T1 Base'!$G$16</f>
        <v>2827325.8</v>
      </c>
      <c r="L54" s="121">
        <f>SUM(I54:K54)</f>
        <v>3404265.8</v>
      </c>
    </row>
    <row r="55" spans="3:12" x14ac:dyDescent="0.15"/>
    <row r="56" spans="3:12" x14ac:dyDescent="0.15">
      <c r="C56" s="128" t="s">
        <v>152</v>
      </c>
      <c r="I56" s="116" t="s">
        <v>5</v>
      </c>
      <c r="J56" s="116" t="s">
        <v>6</v>
      </c>
      <c r="K56" s="116" t="s">
        <v>7</v>
      </c>
      <c r="L56" s="116" t="s">
        <v>8</v>
      </c>
    </row>
    <row r="57" spans="3:12" x14ac:dyDescent="0.15">
      <c r="C57" s="101" t="str">
        <f>$C$27</f>
        <v>22KV Dist Sub Outage</v>
      </c>
      <c r="I57" s="129">
        <f>IF(ISERROR('T1 Base'!I51/'T1 Base'!I45),0,'T1 Base'!I51/'T1 Base'!I45)</f>
        <v>5549.5483870967737</v>
      </c>
      <c r="J57" s="129">
        <f>IF(ISERROR('T1 Base'!J51/'T1 Base'!J45),0,'T1 Base'!J51/'T1 Base'!J45)</f>
        <v>1827.8015151515151</v>
      </c>
      <c r="K57" s="129">
        <f>IF(ISERROR('T1 Base'!K51/'T1 Base'!K45),0,'T1 Base'!K51/'T1 Base'!K45)</f>
        <v>1200.4122023809525</v>
      </c>
      <c r="L57" s="130"/>
    </row>
    <row r="58" spans="3:12" x14ac:dyDescent="0.15">
      <c r="C58" s="101" t="str">
        <f>$C$28</f>
        <v>HV 22kv ACR Outage</v>
      </c>
      <c r="I58" s="129">
        <f>IF(ISERROR('T1 Base'!I52/'T1 Base'!I46),0,'T1 Base'!I52/'T1 Base'!I46)</f>
        <v>0</v>
      </c>
      <c r="J58" s="129">
        <f>IF(ISERROR('T1 Base'!J52/'T1 Base'!J46),0,'T1 Base'!J52/'T1 Base'!J46)</f>
        <v>105667.4</v>
      </c>
      <c r="K58" s="129">
        <f>IF(ISERROR('T1 Base'!K52/'T1 Base'!K46),0,'T1 Base'!K52/'T1 Base'!K46)</f>
        <v>135862.93333333332</v>
      </c>
      <c r="L58" s="130"/>
    </row>
    <row r="59" spans="3:12" x14ac:dyDescent="0.15">
      <c r="C59" s="101" t="str">
        <f>$C$29</f>
        <v>HV 22KV CB Outage</v>
      </c>
      <c r="I59" s="129">
        <f>IF(ISERROR('T1 Base'!I53/'T1 Base'!I47),0,'T1 Base'!I53/'T1 Base'!I47)</f>
        <v>60321.75</v>
      </c>
      <c r="J59" s="129">
        <f>IF(ISERROR('T1 Base'!J53/'T1 Base'!J47),0,'T1 Base'!J53/'T1 Base'!J47)</f>
        <v>134385.47368421053</v>
      </c>
      <c r="K59" s="129">
        <f>IF(ISERROR('T1 Base'!K53/'T1 Base'!K47),0,'T1 Base'!K53/'T1 Base'!K47)</f>
        <v>248821.66666666666</v>
      </c>
      <c r="L59" s="130"/>
    </row>
    <row r="60" spans="3:12" x14ac:dyDescent="0.15">
      <c r="C60" s="122" t="str">
        <f>$C$30</f>
        <v>HV 22KV Line Outage</v>
      </c>
      <c r="D60" s="123"/>
      <c r="E60" s="122"/>
      <c r="F60" s="122"/>
      <c r="G60" s="122"/>
      <c r="H60" s="124"/>
      <c r="I60" s="129">
        <f>IF(ISERROR('T1 Base'!I54/'T1 Base'!I48),0,'T1 Base'!I54/'T1 Base'!I48)</f>
        <v>11549.454545454544</v>
      </c>
      <c r="J60" s="129">
        <f>IF(ISERROR('T1 Base'!J54/'T1 Base'!J48),0,'T1 Base'!J54/'T1 Base'!J48)</f>
        <v>12310.964285714286</v>
      </c>
      <c r="K60" s="129">
        <f>IF(ISERROR('T1 Base'!K54/'T1 Base'!K48),0,'T1 Base'!K54/'T1 Base'!K48)</f>
        <v>13658.578743961352</v>
      </c>
      <c r="L60" s="130"/>
    </row>
    <row r="61" spans="3:12" x14ac:dyDescent="0.15"/>
    <row r="62" spans="3:12" x14ac:dyDescent="0.15">
      <c r="C62" s="99" t="s">
        <v>129</v>
      </c>
      <c r="I62" s="116" t="s">
        <v>5</v>
      </c>
      <c r="J62" s="116" t="s">
        <v>6</v>
      </c>
      <c r="K62" s="116" t="s">
        <v>7</v>
      </c>
      <c r="L62" s="116" t="s">
        <v>8</v>
      </c>
    </row>
    <row r="63" spans="3:12" x14ac:dyDescent="0.15">
      <c r="C63" s="101" t="str">
        <f>$C$27</f>
        <v>22KV Dist Sub Outage</v>
      </c>
      <c r="I63" s="131">
        <f>ROUND(('T1 Base'!I51*('T1 Base'!$G$18/('T1 Base'!$G$19*365*24*60))),3)</f>
        <v>1.5189999999999999</v>
      </c>
      <c r="J63" s="131">
        <f>ROUND(('T1 Base'!J51*('T1 Base'!$G$18/('T1 Base'!$G$19*365*24*60))),3)</f>
        <v>5.3250000000000002</v>
      </c>
      <c r="K63" s="131">
        <f>ROUND(('T1 Base'!K51*('T1 Base'!$G$18/('T1 Base'!$G$19*365*24*60))),3)</f>
        <v>10.680999999999999</v>
      </c>
      <c r="L63" s="131">
        <f>ROUND(('T1 Base'!L51*('T1 Base'!$G$18/('T1 Base'!$G$19*365*24*60))),3)</f>
        <v>17.524999999999999</v>
      </c>
    </row>
    <row r="64" spans="3:12" x14ac:dyDescent="0.15">
      <c r="C64" s="101" t="str">
        <f>$C$28</f>
        <v>HV 22kv ACR Outage</v>
      </c>
      <c r="I64" s="131">
        <f>ROUND(('T1 Base'!I52*('T1 Base'!$G$18/('T1 Base'!$G$19*365*24*60))),3)</f>
        <v>0</v>
      </c>
      <c r="J64" s="131">
        <f>ROUND(('T1 Base'!J52*('T1 Base'!$G$18/('T1 Base'!$G$19*365*24*60))),3)</f>
        <v>11.66</v>
      </c>
      <c r="K64" s="131">
        <f>ROUND(('T1 Base'!K52*('T1 Base'!$G$18/('T1 Base'!$G$19*365*24*60))),3)</f>
        <v>89.95</v>
      </c>
      <c r="L64" s="131">
        <f>ROUND(('T1 Base'!L52*('T1 Base'!$G$18/('T1 Base'!$G$19*365*24*60))),3)</f>
        <v>101.61</v>
      </c>
    </row>
    <row r="65" spans="3:12" x14ac:dyDescent="0.15">
      <c r="C65" s="101" t="str">
        <f>$C$29</f>
        <v>HV 22KV CB Outage</v>
      </c>
      <c r="I65" s="131">
        <f>ROUND(('T1 Base'!I53*('T1 Base'!$G$18/('T1 Base'!$G$19*365*24*60))),3)</f>
        <v>4.26</v>
      </c>
      <c r="J65" s="131">
        <f>ROUND(('T1 Base'!J53*('T1 Base'!$G$18/('T1 Base'!$G$19*365*24*60))),3)</f>
        <v>22.54</v>
      </c>
      <c r="K65" s="131">
        <f>ROUND(('T1 Base'!K53*('T1 Base'!$G$18/('T1 Base'!$G$19*365*24*60))),3)</f>
        <v>118.61</v>
      </c>
      <c r="L65" s="131">
        <f>ROUND(('T1 Base'!L53*('T1 Base'!$G$18/('T1 Base'!$G$19*365*24*60))),3)</f>
        <v>145.40899999999999</v>
      </c>
    </row>
    <row r="66" spans="3:12" x14ac:dyDescent="0.15">
      <c r="C66" s="122" t="str">
        <f>$C$30</f>
        <v>HV 22KV Line Outage</v>
      </c>
      <c r="D66" s="123"/>
      <c r="E66" s="122"/>
      <c r="F66" s="122"/>
      <c r="G66" s="122"/>
      <c r="H66" s="124"/>
      <c r="I66" s="131">
        <f>ROUND(('T1 Base'!I54*('T1 Base'!$G$18/('T1 Base'!$G$19*365*24*60))),3)</f>
        <v>0.56100000000000005</v>
      </c>
      <c r="J66" s="131">
        <f>ROUND(('T1 Base'!J54*('T1 Base'!$G$18/('T1 Base'!$G$19*365*24*60))),3)</f>
        <v>12.172000000000001</v>
      </c>
      <c r="K66" s="131">
        <f>ROUND(('T1 Base'!K54*('T1 Base'!$G$18/('T1 Base'!$G$19*365*24*60))),3)</f>
        <v>62.396000000000001</v>
      </c>
      <c r="L66" s="131">
        <f>ROUND(('T1 Base'!L54*('T1 Base'!$G$18/('T1 Base'!$G$19*365*24*60))),3)</f>
        <v>75.128</v>
      </c>
    </row>
    <row r="67" spans="3:12" x14ac:dyDescent="0.15">
      <c r="C67" s="99" t="s">
        <v>128</v>
      </c>
      <c r="D67" s="132"/>
      <c r="E67" s="99"/>
      <c r="F67" s="99"/>
      <c r="G67" s="99"/>
      <c r="H67" s="133"/>
      <c r="I67" s="134">
        <f>SUM(I63:I66)</f>
        <v>6.34</v>
      </c>
      <c r="J67" s="134">
        <f>SUM(J63:J66)</f>
        <v>51.697000000000003</v>
      </c>
      <c r="K67" s="134">
        <f>SUM(K63:K66)</f>
        <v>281.637</v>
      </c>
      <c r="L67" s="134">
        <f>SUM(L63:L66)</f>
        <v>339.67199999999997</v>
      </c>
    </row>
    <row r="68" spans="3:12" x14ac:dyDescent="0.15"/>
    <row r="69" spans="3:12" x14ac:dyDescent="0.15">
      <c r="C69" s="181" t="s">
        <v>151</v>
      </c>
      <c r="D69" s="181"/>
      <c r="E69" s="181"/>
      <c r="F69" s="181"/>
      <c r="G69" s="181"/>
      <c r="H69" s="181"/>
      <c r="I69" s="181"/>
      <c r="J69" s="181"/>
      <c r="K69" s="181"/>
      <c r="L69" s="181"/>
    </row>
    <row r="70" spans="3:12" x14ac:dyDescent="0.15"/>
    <row r="71" spans="3:12" x14ac:dyDescent="0.15">
      <c r="C71" s="99" t="s">
        <v>150</v>
      </c>
      <c r="I71" s="116" t="s">
        <v>5</v>
      </c>
      <c r="J71" s="116" t="s">
        <v>6</v>
      </c>
      <c r="K71" s="116" t="s">
        <v>7</v>
      </c>
    </row>
    <row r="72" spans="3:12" x14ac:dyDescent="0.15">
      <c r="C72" s="101" t="str">
        <f>$C$27</f>
        <v>22KV Dist Sub Outage</v>
      </c>
      <c r="I72" s="135">
        <f>'T1 Base'!I45*(1-'T1 Base'!$G$17)</f>
        <v>6.2000000000000055E-2</v>
      </c>
      <c r="J72" s="135">
        <f>'T1 Base'!J45*(1-'T1 Base'!$G$17)</f>
        <v>0.66000000000000059</v>
      </c>
      <c r="K72" s="135">
        <f>'T1 Base'!K45*(1-'T1 Base'!$G$17)</f>
        <v>2.0160000000000018</v>
      </c>
    </row>
    <row r="73" spans="3:12" x14ac:dyDescent="0.15">
      <c r="C73" s="101" t="str">
        <f>$C$28</f>
        <v>HV 22kv ACR Outage</v>
      </c>
      <c r="I73" s="135">
        <f>'T1 Base'!I46*(1-'T1 Base'!$G$17)</f>
        <v>0</v>
      </c>
      <c r="J73" s="135">
        <f>'T1 Base'!J46*(1-'T1 Base'!$G$17)</f>
        <v>2.5000000000000022E-2</v>
      </c>
      <c r="K73" s="135">
        <f>'T1 Base'!K46*(1-'T1 Base'!$G$17)</f>
        <v>0.15000000000000013</v>
      </c>
    </row>
    <row r="74" spans="3:12" x14ac:dyDescent="0.15">
      <c r="C74" s="101" t="str">
        <f>$C$29</f>
        <v>HV 22KV CB Outage</v>
      </c>
      <c r="I74" s="135">
        <f>'T1 Base'!I47*(1-'T1 Base'!$G$17)</f>
        <v>1.6000000000000014E-2</v>
      </c>
      <c r="J74" s="135">
        <f>'T1 Base'!J47*(1-'T1 Base'!$G$17)</f>
        <v>3.8000000000000034E-2</v>
      </c>
      <c r="K74" s="135">
        <f>'T1 Base'!K47*(1-'T1 Base'!$G$17)</f>
        <v>0.10800000000000011</v>
      </c>
    </row>
    <row r="75" spans="3:12" x14ac:dyDescent="0.15">
      <c r="C75" s="122" t="str">
        <f>$C$30</f>
        <v>HV 22KV Line Outage</v>
      </c>
      <c r="D75" s="123"/>
      <c r="E75" s="122"/>
      <c r="F75" s="122"/>
      <c r="G75" s="122"/>
      <c r="H75" s="124"/>
      <c r="I75" s="135">
        <f>'T1 Base'!I48*(1-'T1 Base'!$G$17)</f>
        <v>1.1000000000000012E-2</v>
      </c>
      <c r="J75" s="135">
        <f>'T1 Base'!J48*(1-'T1 Base'!$G$17)</f>
        <v>0.22400000000000017</v>
      </c>
      <c r="K75" s="135">
        <f>'T1 Base'!K48*(1-'T1 Base'!$G$17)</f>
        <v>1.035000000000001</v>
      </c>
    </row>
    <row r="76" spans="3:12" x14ac:dyDescent="0.15"/>
    <row r="77" spans="3:12" ht="11.45" x14ac:dyDescent="0.25">
      <c r="C77" s="99" t="s">
        <v>149</v>
      </c>
      <c r="I77" s="116" t="s">
        <v>5</v>
      </c>
      <c r="J77" s="116" t="s">
        <v>6</v>
      </c>
      <c r="K77" s="116" t="s">
        <v>7</v>
      </c>
    </row>
    <row r="78" spans="3:12" ht="11.45" x14ac:dyDescent="0.25">
      <c r="C78" s="101" t="str">
        <f>$C$27</f>
        <v>22KV Dist Sub Outage</v>
      </c>
      <c r="I78" s="129">
        <f>('T1 Base'!I45-'T1 Base'!I72)*(1-'T1 Base'!$G5-'T1 Base'!$G11)</f>
        <v>9.8704000000000018</v>
      </c>
      <c r="J78" s="129">
        <f>('T1 Base'!J45-'T1 Base'!J72)*(1-'T1 Base'!$G5-'T1 Base'!$G11)</f>
        <v>105.072</v>
      </c>
      <c r="K78" s="129">
        <f>('T1 Base'!K45-'T1 Base'!K72)*(1-'T1 Base'!$G5-'T1 Base'!$G11)</f>
        <v>320.94720000000001</v>
      </c>
    </row>
    <row r="79" spans="3:12" ht="11.45" x14ac:dyDescent="0.25">
      <c r="C79" s="101" t="str">
        <f>$C$28</f>
        <v>HV 22kv ACR Outage</v>
      </c>
      <c r="I79" s="129">
        <f>('T1 Base'!I46-'T1 Base'!I73)*(1-'T1 Base'!$G6-'T1 Base'!$G12)</f>
        <v>0</v>
      </c>
      <c r="J79" s="129">
        <f>('T1 Base'!J46-'T1 Base'!J73)*(1-'T1 Base'!$G6-'T1 Base'!$G12)</f>
        <v>3.2337499999999997</v>
      </c>
      <c r="K79" s="129">
        <f>('T1 Base'!K46-'T1 Base'!K73)*(1-'T1 Base'!$G6-'T1 Base'!$G12)</f>
        <v>19.4025</v>
      </c>
    </row>
    <row r="80" spans="3:12" ht="11.45" x14ac:dyDescent="0.25">
      <c r="C80" s="101" t="str">
        <f>$C$29</f>
        <v>HV 22KV CB Outage</v>
      </c>
      <c r="I80" s="129">
        <f>('T1 Base'!I47-'T1 Base'!I74)*(1-'T1 Base'!$G7-'T1 Base'!$G13)</f>
        <v>2.2288000000000001</v>
      </c>
      <c r="J80" s="129">
        <f>('T1 Base'!J47-'T1 Base'!J74)*(1-'T1 Base'!$G7-'T1 Base'!$G13)</f>
        <v>5.2933999999999992</v>
      </c>
      <c r="K80" s="129">
        <f>('T1 Base'!K47-'T1 Base'!K74)*(1-'T1 Base'!$G7-'T1 Base'!$G13)</f>
        <v>15.0444</v>
      </c>
    </row>
    <row r="81" spans="3:12" ht="11.45" x14ac:dyDescent="0.25">
      <c r="C81" s="122" t="str">
        <f>$C$30</f>
        <v>HV 22KV Line Outage</v>
      </c>
      <c r="D81" s="123"/>
      <c r="E81" s="122"/>
      <c r="F81" s="122"/>
      <c r="G81" s="122"/>
      <c r="H81" s="124"/>
      <c r="I81" s="129">
        <f>('T1 Base'!I48-'T1 Base'!I75)*(1-'T1 Base'!$G8-'T1 Base'!$G14)</f>
        <v>1.2039499999999999</v>
      </c>
      <c r="J81" s="129">
        <f>('T1 Base'!J48-'T1 Base'!J75)*(1-'T1 Base'!$G8-'T1 Base'!$G14)</f>
        <v>24.516799999999996</v>
      </c>
      <c r="K81" s="129">
        <f>('T1 Base'!K48-'T1 Base'!K75)*(1-'T1 Base'!$G8-'T1 Base'!$G14)</f>
        <v>113.28074999999998</v>
      </c>
    </row>
    <row r="82" spans="3:12" ht="11.45" x14ac:dyDescent="0.25"/>
    <row r="83" spans="3:12" ht="11.45" x14ac:dyDescent="0.25">
      <c r="C83" s="99" t="s">
        <v>148</v>
      </c>
      <c r="I83" s="116" t="s">
        <v>5</v>
      </c>
      <c r="J83" s="116" t="s">
        <v>6</v>
      </c>
      <c r="K83" s="116" t="s">
        <v>7</v>
      </c>
    </row>
    <row r="84" spans="3:12" ht="11.45" x14ac:dyDescent="0.25">
      <c r="C84" s="101" t="str">
        <f>$C$27</f>
        <v>22KV Dist Sub Outage</v>
      </c>
      <c r="I84" s="129">
        <f>('T1 Base'!I45-'T1 Base'!I72)*'T1 Base'!$G5</f>
        <v>2.2208399999999999</v>
      </c>
      <c r="J84" s="129">
        <f>('T1 Base'!J45-'T1 Base'!J72)*'T1 Base'!$G5</f>
        <v>23.641200000000001</v>
      </c>
      <c r="K84" s="129">
        <f>('T1 Base'!K45-'T1 Base'!K72)*'T1 Base'!$G5</f>
        <v>72.213119999999989</v>
      </c>
    </row>
    <row r="85" spans="3:12" ht="11.45" x14ac:dyDescent="0.25">
      <c r="C85" s="101" t="str">
        <f>$C$28</f>
        <v>HV 22kv ACR Outage</v>
      </c>
      <c r="I85" s="129">
        <f>('T1 Base'!I46-'T1 Base'!I73)*'T1 Base'!$G6</f>
        <v>0</v>
      </c>
      <c r="J85" s="129">
        <f>('T1 Base'!J46-'T1 Base'!J73)*'T1 Base'!$G6</f>
        <v>0.995</v>
      </c>
      <c r="K85" s="129">
        <f>('T1 Base'!K46-'T1 Base'!K73)*'T1 Base'!$G6</f>
        <v>5.9700000000000006</v>
      </c>
    </row>
    <row r="86" spans="3:12" ht="11.45" x14ac:dyDescent="0.25">
      <c r="C86" s="101" t="str">
        <f>$C$29</f>
        <v>HV 22KV CB Outage</v>
      </c>
      <c r="I86" s="129">
        <f>('T1 Base'!I47-'T1 Base'!I74)*'T1 Base'!$G7</f>
        <v>0.95520000000000005</v>
      </c>
      <c r="J86" s="129">
        <f>('T1 Base'!J47-'T1 Base'!J74)*'T1 Base'!$G7</f>
        <v>2.2685999999999997</v>
      </c>
      <c r="K86" s="129">
        <f>('T1 Base'!K47-'T1 Base'!K74)*'T1 Base'!$G7</f>
        <v>6.4476000000000004</v>
      </c>
    </row>
    <row r="87" spans="3:12" ht="11.45" x14ac:dyDescent="0.25">
      <c r="C87" s="122" t="str">
        <f>$C$30</f>
        <v>HV 22KV Line Outage</v>
      </c>
      <c r="D87" s="123"/>
      <c r="E87" s="122"/>
      <c r="F87" s="122"/>
      <c r="G87" s="122"/>
      <c r="H87" s="124"/>
      <c r="I87" s="129">
        <f>('T1 Base'!I48-'T1 Base'!I75)*'T1 Base'!$G8</f>
        <v>0.65669999999999995</v>
      </c>
      <c r="J87" s="129">
        <f>('T1 Base'!J48-'T1 Base'!J75)*'T1 Base'!$G8</f>
        <v>13.3728</v>
      </c>
      <c r="K87" s="129">
        <f>('T1 Base'!K48-'T1 Base'!K75)*'T1 Base'!$G8</f>
        <v>61.789499999999997</v>
      </c>
    </row>
    <row r="88" spans="3:12" ht="11.45" x14ac:dyDescent="0.25"/>
    <row r="89" spans="3:12" ht="11.45" x14ac:dyDescent="0.25">
      <c r="C89" s="99" t="s">
        <v>147</v>
      </c>
      <c r="I89" s="116" t="s">
        <v>5</v>
      </c>
      <c r="J89" s="116" t="s">
        <v>6</v>
      </c>
      <c r="K89" s="116" t="s">
        <v>7</v>
      </c>
    </row>
    <row r="90" spans="3:12" ht="11.45" x14ac:dyDescent="0.25">
      <c r="C90" s="101" t="str">
        <f>$C$27</f>
        <v>22KV Dist Sub Outage</v>
      </c>
      <c r="I90" s="129">
        <f>('T1 Base'!I45-'T1 Base'!I72)*'T1 Base'!$G11</f>
        <v>0.24676000000000003</v>
      </c>
      <c r="J90" s="129">
        <f>('T1 Base'!J45-'T1 Base'!J72)*'T1 Base'!$G11</f>
        <v>2.6268000000000002</v>
      </c>
      <c r="K90" s="129">
        <f>('T1 Base'!K45-'T1 Base'!K72)*'T1 Base'!$G11</f>
        <v>8.0236799999999988</v>
      </c>
    </row>
    <row r="91" spans="3:12" ht="11.45" x14ac:dyDescent="0.25">
      <c r="C91" s="101" t="str">
        <f>$C$28</f>
        <v>HV 22kv ACR Outage</v>
      </c>
      <c r="I91" s="129">
        <f>('T1 Base'!I46-'T1 Base'!I73)*'T1 Base'!$G12</f>
        <v>0</v>
      </c>
      <c r="J91" s="129">
        <f>('T1 Base'!J46-'T1 Base'!J73)*'T1 Base'!$G12</f>
        <v>0.74624999999999997</v>
      </c>
      <c r="K91" s="129">
        <f>('T1 Base'!K46-'T1 Base'!K73)*'T1 Base'!$G12</f>
        <v>4.4775</v>
      </c>
    </row>
    <row r="92" spans="3:12" ht="11.45" x14ac:dyDescent="0.25">
      <c r="C92" s="101" t="str">
        <f>$C$29</f>
        <v>HV 22KV CB Outage</v>
      </c>
      <c r="I92" s="129">
        <f>('T1 Base'!I47-'T1 Base'!I74)*'T1 Base'!$G13</f>
        <v>0</v>
      </c>
      <c r="J92" s="129">
        <f>('T1 Base'!J47-'T1 Base'!J74)*'T1 Base'!$G13</f>
        <v>0</v>
      </c>
      <c r="K92" s="129">
        <f>('T1 Base'!K47-'T1 Base'!K74)*'T1 Base'!$G13</f>
        <v>0</v>
      </c>
    </row>
    <row r="93" spans="3:12" ht="11.45" x14ac:dyDescent="0.25">
      <c r="C93" s="122" t="str">
        <f>$C$30</f>
        <v>HV 22KV Line Outage</v>
      </c>
      <c r="D93" s="123"/>
      <c r="E93" s="122"/>
      <c r="F93" s="122"/>
      <c r="G93" s="122"/>
      <c r="H93" s="124"/>
      <c r="I93" s="129">
        <f>('T1 Base'!I48-'T1 Base'!I75)*'T1 Base'!$G14</f>
        <v>0.32834999999999998</v>
      </c>
      <c r="J93" s="129">
        <f>('T1 Base'!J48-'T1 Base'!J75)*'T1 Base'!$G14</f>
        <v>6.6863999999999999</v>
      </c>
      <c r="K93" s="129">
        <f>('T1 Base'!K48-'T1 Base'!K75)*'T1 Base'!$G14</f>
        <v>30.894749999999998</v>
      </c>
    </row>
    <row r="94" spans="3:12" x14ac:dyDescent="0.15"/>
    <row r="95" spans="3:12" x14ac:dyDescent="0.15">
      <c r="C95" s="99" t="s">
        <v>146</v>
      </c>
      <c r="I95" s="116" t="s">
        <v>5</v>
      </c>
      <c r="J95" s="116" t="s">
        <v>6</v>
      </c>
      <c r="K95" s="116" t="s">
        <v>7</v>
      </c>
      <c r="L95" s="116" t="s">
        <v>8</v>
      </c>
    </row>
    <row r="96" spans="3:12" x14ac:dyDescent="0.15">
      <c r="C96" s="101" t="str">
        <f>$C$27</f>
        <v>22KV Dist Sub Outage</v>
      </c>
      <c r="I96" s="129">
        <f>'T1 Base'!I78+'T1 Base'!I72</f>
        <v>9.9324000000000012</v>
      </c>
      <c r="J96" s="129">
        <f>'T1 Base'!J78+'T1 Base'!J72</f>
        <v>105.732</v>
      </c>
      <c r="K96" s="129">
        <f>'T1 Base'!K78+'T1 Base'!K72</f>
        <v>322.96320000000003</v>
      </c>
      <c r="L96" s="129">
        <f>SUM(I96:K96)</f>
        <v>438.62760000000003</v>
      </c>
    </row>
    <row r="97" spans="3:12" x14ac:dyDescent="0.15">
      <c r="C97" s="101" t="str">
        <f>$C$28</f>
        <v>HV 22kv ACR Outage</v>
      </c>
      <c r="I97" s="129">
        <f>'T1 Base'!I79+'T1 Base'!I73</f>
        <v>0</v>
      </c>
      <c r="J97" s="129">
        <f>'T1 Base'!J79+'T1 Base'!J73</f>
        <v>3.2587499999999996</v>
      </c>
      <c r="K97" s="129">
        <f>'T1 Base'!K79+'T1 Base'!K73</f>
        <v>19.552499999999998</v>
      </c>
      <c r="L97" s="129">
        <f>SUM(I97:K97)</f>
        <v>22.811249999999998</v>
      </c>
    </row>
    <row r="98" spans="3:12" x14ac:dyDescent="0.15">
      <c r="C98" s="101" t="str">
        <f>$C$29</f>
        <v>HV 22KV CB Outage</v>
      </c>
      <c r="I98" s="129">
        <f>'T1 Base'!I80+'T1 Base'!I74+'T1 Base'!I92+'T1 Base'!I90+'T1 Base'!I91+'T1 Base'!I93</f>
        <v>2.8199100000000001</v>
      </c>
      <c r="J98" s="129">
        <f>'T1 Base'!J80+'T1 Base'!J74+'T1 Base'!J92+'T1 Base'!J90+'T1 Base'!J91+'T1 Base'!J93</f>
        <v>15.39085</v>
      </c>
      <c r="K98" s="129">
        <f>'T1 Base'!K80+'T1 Base'!K74+'T1 Base'!K92+'T1 Base'!K90+'T1 Base'!K91+'T1 Base'!K93</f>
        <v>58.548329999999993</v>
      </c>
      <c r="L98" s="129">
        <f>SUM(I98:K98)</f>
        <v>76.759089999999986</v>
      </c>
    </row>
    <row r="99" spans="3:12" x14ac:dyDescent="0.15">
      <c r="C99" s="122" t="str">
        <f>$C$30</f>
        <v>HV 22KV Line Outage</v>
      </c>
      <c r="D99" s="123"/>
      <c r="E99" s="122"/>
      <c r="F99" s="122"/>
      <c r="G99" s="122"/>
      <c r="H99" s="124"/>
      <c r="I99" s="129">
        <f>'T1 Base'!I81+'T1 Base'!I75</f>
        <v>1.21495</v>
      </c>
      <c r="J99" s="129">
        <f>'T1 Base'!J81+'T1 Base'!J75</f>
        <v>24.740799999999997</v>
      </c>
      <c r="K99" s="129">
        <f>'T1 Base'!K81+'T1 Base'!K75</f>
        <v>114.31574999999998</v>
      </c>
      <c r="L99" s="129">
        <f>SUM(I99:K99)</f>
        <v>140.27149999999997</v>
      </c>
    </row>
    <row r="100" spans="3:12" x14ac:dyDescent="0.15"/>
    <row r="101" spans="3:12" x14ac:dyDescent="0.15">
      <c r="C101" s="99" t="s">
        <v>145</v>
      </c>
      <c r="I101" s="116" t="s">
        <v>5</v>
      </c>
      <c r="J101" s="116" t="s">
        <v>6</v>
      </c>
      <c r="K101" s="116" t="s">
        <v>7</v>
      </c>
      <c r="L101" s="116" t="s">
        <v>8</v>
      </c>
    </row>
    <row r="102" spans="3:12" x14ac:dyDescent="0.15">
      <c r="C102" s="101" t="str">
        <f>$C$27</f>
        <v>22KV Dist Sub Outage</v>
      </c>
      <c r="D102" s="125"/>
      <c r="I102" s="129">
        <f>'T1 Base'!I96*'T1 Base'!I57</f>
        <v>55120.3344</v>
      </c>
      <c r="J102" s="129">
        <f>'T1 Base'!J96*'T1 Base'!J57</f>
        <v>193257.10980000001</v>
      </c>
      <c r="K102" s="129">
        <f>'T1 Base'!K96*'T1 Base'!K57</f>
        <v>387688.96620000008</v>
      </c>
      <c r="L102" s="129">
        <f>SUM(I102:K102)</f>
        <v>636066.41040000005</v>
      </c>
    </row>
    <row r="103" spans="3:12" x14ac:dyDescent="0.15">
      <c r="C103" s="101" t="str">
        <f>$C$28</f>
        <v>HV 22kv ACR Outage</v>
      </c>
      <c r="D103" s="125"/>
      <c r="I103" s="129">
        <f>'T1 Base'!I97*'T1 Base'!I58</f>
        <v>0</v>
      </c>
      <c r="J103" s="129">
        <f>'T1 Base'!J97*'T1 Base'!J58</f>
        <v>344343.63974999991</v>
      </c>
      <c r="K103" s="129">
        <f>'T1 Base'!K97*'T1 Base'!K58</f>
        <v>2656460.0039999997</v>
      </c>
      <c r="L103" s="129">
        <f>SUM(I103:K103)</f>
        <v>3000803.6437499998</v>
      </c>
    </row>
    <row r="104" spans="3:12" x14ac:dyDescent="0.15">
      <c r="C104" s="101" t="str">
        <f>$C$29</f>
        <v>HV 22KV CB Outage</v>
      </c>
      <c r="D104" s="125"/>
      <c r="I104" s="129">
        <f>'T1 Base'!I98*'T1 Base'!I59</f>
        <v>170101.90604250002</v>
      </c>
      <c r="J104" s="129">
        <f>'T1 Base'!J98*'T1 Base'!J59</f>
        <v>2068306.6676526316</v>
      </c>
      <c r="K104" s="129">
        <f>'T1 Base'!K98*'T1 Base'!K59</f>
        <v>14568093.051149998</v>
      </c>
      <c r="L104" s="129">
        <f>SUM(I104:K104)</f>
        <v>16806501.624845129</v>
      </c>
    </row>
    <row r="105" spans="3:12" x14ac:dyDescent="0.15">
      <c r="C105" s="122" t="str">
        <f>$C$30</f>
        <v>HV 22KV Line Outage</v>
      </c>
      <c r="D105" s="127"/>
      <c r="E105" s="122"/>
      <c r="F105" s="122"/>
      <c r="G105" s="122"/>
      <c r="H105" s="124"/>
      <c r="I105" s="129">
        <f>'T1 Base'!I99*'T1 Base'!I60</f>
        <v>14032.009799999998</v>
      </c>
      <c r="J105" s="129">
        <f>'T1 Base'!J99*'T1 Base'!J60</f>
        <v>304583.10519999999</v>
      </c>
      <c r="K105" s="129">
        <f>'T1 Base'!K99*'T1 Base'!K60</f>
        <v>1561390.6730499996</v>
      </c>
      <c r="L105" s="129">
        <f>SUM(I105:K105)</f>
        <v>1880005.7880499996</v>
      </c>
    </row>
    <row r="106" spans="3:12" x14ac:dyDescent="0.15"/>
    <row r="107" spans="3:12" x14ac:dyDescent="0.15">
      <c r="C107" s="99" t="s">
        <v>129</v>
      </c>
      <c r="I107" s="116" t="s">
        <v>5</v>
      </c>
      <c r="J107" s="116" t="s">
        <v>6</v>
      </c>
      <c r="K107" s="116" t="s">
        <v>7</v>
      </c>
      <c r="L107" s="116" t="s">
        <v>8</v>
      </c>
    </row>
    <row r="108" spans="3:12" x14ac:dyDescent="0.15">
      <c r="C108" s="101" t="str">
        <f>$C$27</f>
        <v>22KV Dist Sub Outage</v>
      </c>
      <c r="I108" s="131">
        <f>ROUND(('T1 Base'!I102*('T1 Base'!$G$18/('T1 Base'!$G$19*365*24*60))),3)</f>
        <v>1.216</v>
      </c>
      <c r="J108" s="131">
        <f>ROUND(('T1 Base'!J102*('T1 Base'!$G$18/('T1 Base'!$G$19*365*24*60))),3)</f>
        <v>4.2649999999999997</v>
      </c>
      <c r="K108" s="131">
        <f>ROUND(('T1 Base'!K102*('T1 Base'!$G$18/('T1 Base'!$G$19*365*24*60))),3)</f>
        <v>8.5559999999999992</v>
      </c>
      <c r="L108" s="131">
        <f>ROUND(('T1 Base'!L102*('T1 Base'!$G$18/('T1 Base'!$G$19*365*24*60))),3)</f>
        <v>14.037000000000001</v>
      </c>
    </row>
    <row r="109" spans="3:12" x14ac:dyDescent="0.15">
      <c r="C109" s="101" t="str">
        <f>$C$28</f>
        <v>HV 22kv ACR Outage</v>
      </c>
      <c r="I109" s="131">
        <f>ROUND(('T1 Base'!I103*('T1 Base'!$G$18/('T1 Base'!$G$19*365*24*60))),3)</f>
        <v>0</v>
      </c>
      <c r="J109" s="131">
        <f>ROUND(('T1 Base'!J103*('T1 Base'!$G$18/('T1 Base'!$G$19*365*24*60))),3)</f>
        <v>7.5990000000000002</v>
      </c>
      <c r="K109" s="131">
        <f>ROUND(('T1 Base'!K103*('T1 Base'!$G$18/('T1 Base'!$G$19*365*24*60))),3)</f>
        <v>58.625</v>
      </c>
      <c r="L109" s="131">
        <f>ROUND(('T1 Base'!L103*('T1 Base'!$G$18/('T1 Base'!$G$19*365*24*60))),3)</f>
        <v>66.224000000000004</v>
      </c>
    </row>
    <row r="110" spans="3:12" x14ac:dyDescent="0.15">
      <c r="C110" s="101" t="str">
        <f>$C$29</f>
        <v>HV 22KV CB Outage</v>
      </c>
      <c r="I110" s="131">
        <f>ROUND(('T1 Base'!I104*('T1 Base'!$G$18/('T1 Base'!$G$19*365*24*60))),3)</f>
        <v>3.754</v>
      </c>
      <c r="J110" s="131">
        <f>ROUND(('T1 Base'!J104*('T1 Base'!$G$18/('T1 Base'!$G$19*365*24*60))),3)</f>
        <v>45.645000000000003</v>
      </c>
      <c r="K110" s="131">
        <f>ROUND(('T1 Base'!K104*('T1 Base'!$G$18/('T1 Base'!$G$19*365*24*60))),3)</f>
        <v>321.5</v>
      </c>
      <c r="L110" s="131">
        <f>ROUND(('T1 Base'!L104*('T1 Base'!$G$18/('T1 Base'!$G$19*365*24*60))),3)</f>
        <v>370.899</v>
      </c>
    </row>
    <row r="111" spans="3:12" x14ac:dyDescent="0.15">
      <c r="C111" s="122" t="str">
        <f>$C$30</f>
        <v>HV 22KV Line Outage</v>
      </c>
      <c r="D111" s="123"/>
      <c r="E111" s="122"/>
      <c r="F111" s="122"/>
      <c r="G111" s="122"/>
      <c r="H111" s="124"/>
      <c r="I111" s="131">
        <f>ROUND(('T1 Base'!I105*('T1 Base'!$G$18/('T1 Base'!$G$19*365*24*60))),3)</f>
        <v>0.31</v>
      </c>
      <c r="J111" s="131">
        <f>ROUND(('T1 Base'!J105*('T1 Base'!$G$18/('T1 Base'!$G$19*365*24*60))),3)</f>
        <v>6.7220000000000004</v>
      </c>
      <c r="K111" s="131">
        <f>ROUND(('T1 Base'!K105*('T1 Base'!$G$18/('T1 Base'!$G$19*365*24*60))),3)</f>
        <v>34.457999999999998</v>
      </c>
      <c r="L111" s="131">
        <f>ROUND(('T1 Base'!L105*('T1 Base'!$G$18/('T1 Base'!$G$19*365*24*60))),3)</f>
        <v>41.488999999999997</v>
      </c>
    </row>
    <row r="112" spans="3:12" x14ac:dyDescent="0.15">
      <c r="C112" s="99" t="s">
        <v>128</v>
      </c>
      <c r="D112" s="132"/>
      <c r="E112" s="99"/>
      <c r="F112" s="99"/>
      <c r="G112" s="99"/>
      <c r="H112" s="133"/>
      <c r="I112" s="134">
        <f>SUM(I108:I111)</f>
        <v>5.2799999999999994</v>
      </c>
      <c r="J112" s="134">
        <f>SUM(J108:J111)</f>
        <v>64.230999999999995</v>
      </c>
      <c r="K112" s="134">
        <f>SUM(K108:K111)</f>
        <v>423.13900000000001</v>
      </c>
      <c r="L112" s="134">
        <f>SUM(L108:L111)</f>
        <v>492.649</v>
      </c>
    </row>
    <row r="113" spans="1:12" x14ac:dyDescent="0.15"/>
    <row r="114" spans="1:12" x14ac:dyDescent="0.15">
      <c r="A114" s="103" t="s">
        <v>144</v>
      </c>
      <c r="B114" s="103"/>
      <c r="C114" s="103"/>
      <c r="D114" s="104"/>
      <c r="E114" s="105"/>
      <c r="F114" s="105"/>
      <c r="G114" s="105"/>
      <c r="H114" s="95"/>
      <c r="I114" s="105"/>
      <c r="J114" s="105"/>
      <c r="K114" s="105"/>
      <c r="L114" s="105"/>
    </row>
    <row r="115" spans="1:12" x14ac:dyDescent="0.15"/>
    <row r="116" spans="1:12" hidden="1" x14ac:dyDescent="0.15"/>
    <row r="117" spans="1:12" hidden="1" x14ac:dyDescent="0.15"/>
    <row r="118" spans="1:12" hidden="1" x14ac:dyDescent="0.15"/>
    <row r="119" spans="1:12" hidden="1" x14ac:dyDescent="0.15"/>
    <row r="120" spans="1:12" hidden="1" x14ac:dyDescent="0.15"/>
    <row r="121" spans="1:12" hidden="1" x14ac:dyDescent="0.15"/>
    <row r="122" spans="1:12" hidden="1" x14ac:dyDescent="0.15"/>
    <row r="123" spans="1:12" hidden="1" x14ac:dyDescent="0.15"/>
    <row r="124" spans="1:12" hidden="1" x14ac:dyDescent="0.15"/>
    <row r="125" spans="1:12" hidden="1" x14ac:dyDescent="0.15"/>
    <row r="126" spans="1:12" hidden="1" x14ac:dyDescent="0.15"/>
    <row r="127" spans="1:12" hidden="1" x14ac:dyDescent="0.15"/>
    <row r="128" spans="1:12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  <row r="167" hidden="1" x14ac:dyDescent="0.15"/>
    <row r="168" hidden="1" x14ac:dyDescent="0.15"/>
    <row r="169" hidden="1" x14ac:dyDescent="0.15"/>
    <row r="170" hidden="1" x14ac:dyDescent="0.15"/>
    <row r="171" hidden="1" x14ac:dyDescent="0.15"/>
    <row r="172" hidden="1" x14ac:dyDescent="0.15"/>
    <row r="173" hidden="1" x14ac:dyDescent="0.15"/>
    <row r="174" hidden="1" x14ac:dyDescent="0.15"/>
    <row r="175" hidden="1" x14ac:dyDescent="0.15"/>
    <row r="176" hidden="1" x14ac:dyDescent="0.15"/>
    <row r="177" hidden="1" x14ac:dyDescent="0.15"/>
    <row r="178" hidden="1" x14ac:dyDescent="0.15"/>
    <row r="179" hidden="1" x14ac:dyDescent="0.15"/>
  </sheetData>
  <sheetProtection formatCells="0" formatColumns="0" formatRows="0" autoFilter="0"/>
  <mergeCells count="2">
    <mergeCell ref="C42:L42"/>
    <mergeCell ref="C69:L69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outlinePr summaryBelow="0" summaryRight="0"/>
    <pageSetUpPr autoPageBreaks="0" fitToPage="1"/>
  </sheetPr>
  <dimension ref="A1:M179"/>
  <sheetViews>
    <sheetView showGridLines="0" zoomScaleNormal="100" zoomScaleSheetLayoutView="85" workbookViewId="0"/>
  </sheetViews>
  <sheetFormatPr defaultColWidth="0" defaultRowHeight="11.25" zeroHeight="1" outlineLevelRow="1" x14ac:dyDescent="0.15"/>
  <cols>
    <col min="1" max="2" width="2.375" style="98" customWidth="1"/>
    <col min="3" max="3" width="2.375" style="99" customWidth="1"/>
    <col min="4" max="4" width="2.375" style="100" customWidth="1"/>
    <col min="5" max="5" width="20.5" style="101" customWidth="1"/>
    <col min="6" max="6" width="5.875" style="101" customWidth="1"/>
    <col min="7" max="7" width="9.25" style="101" bestFit="1" customWidth="1"/>
    <col min="8" max="8" width="10" style="94" customWidth="1"/>
    <col min="9" max="12" width="10.25" style="101" customWidth="1"/>
    <col min="13" max="13" width="2.375" style="102" customWidth="1"/>
    <col min="14" max="16384" width="7.75" style="102" hidden="1"/>
  </cols>
  <sheetData>
    <row r="1" spans="1:12" x14ac:dyDescent="0.15"/>
    <row r="2" spans="1:12" x14ac:dyDescent="0.15">
      <c r="A2" s="103" t="s">
        <v>171</v>
      </c>
      <c r="B2" s="103"/>
      <c r="C2" s="103"/>
      <c r="D2" s="104"/>
      <c r="E2" s="105"/>
      <c r="F2" s="105"/>
      <c r="G2" s="105"/>
      <c r="H2" s="95"/>
      <c r="I2" s="105"/>
      <c r="J2" s="105"/>
      <c r="K2" s="105"/>
      <c r="L2" s="105"/>
    </row>
    <row r="3" spans="1:12" collapsed="1" x14ac:dyDescent="0.15">
      <c r="D3" s="106"/>
    </row>
    <row r="4" spans="1:12" hidden="1" outlineLevel="1" x14ac:dyDescent="0.15">
      <c r="C4" s="107" t="s">
        <v>170</v>
      </c>
      <c r="D4" s="106"/>
      <c r="H4" s="101"/>
      <c r="I4" s="96"/>
      <c r="J4" s="96"/>
      <c r="K4" s="96"/>
      <c r="L4" s="96"/>
    </row>
    <row r="5" spans="1:12" hidden="1" outlineLevel="1" x14ac:dyDescent="0.15">
      <c r="C5" s="101" t="s">
        <v>1</v>
      </c>
      <c r="D5" s="106"/>
      <c r="G5" s="136">
        <f>'T1 Base'!G5</f>
        <v>0.18</v>
      </c>
      <c r="H5" s="96" t="s">
        <v>165</v>
      </c>
      <c r="I5" s="96"/>
      <c r="J5" s="96"/>
      <c r="K5" s="96"/>
      <c r="L5" s="96"/>
    </row>
    <row r="6" spans="1:12" hidden="1" outlineLevel="1" x14ac:dyDescent="0.15">
      <c r="C6" s="101" t="s">
        <v>2</v>
      </c>
      <c r="D6" s="106"/>
      <c r="G6" s="136">
        <f>'T1 Base'!G6</f>
        <v>0.2</v>
      </c>
      <c r="H6" s="96" t="s">
        <v>165</v>
      </c>
      <c r="I6" s="96"/>
      <c r="J6" s="96"/>
      <c r="K6" s="96"/>
      <c r="L6" s="96"/>
    </row>
    <row r="7" spans="1:12" hidden="1" outlineLevel="1" x14ac:dyDescent="0.15">
      <c r="C7" s="101" t="s">
        <v>3</v>
      </c>
      <c r="D7" s="106"/>
      <c r="G7" s="136">
        <f>'T1 Base'!G7</f>
        <v>0.3</v>
      </c>
      <c r="H7" s="96" t="s">
        <v>165</v>
      </c>
      <c r="I7" s="96"/>
      <c r="J7" s="96"/>
      <c r="K7" s="96"/>
      <c r="L7" s="96"/>
    </row>
    <row r="8" spans="1:12" hidden="1" outlineLevel="1" x14ac:dyDescent="0.15">
      <c r="C8" s="101" t="s">
        <v>4</v>
      </c>
      <c r="D8" s="106"/>
      <c r="G8" s="136">
        <f>'T1 Base'!G8</f>
        <v>0.3</v>
      </c>
      <c r="H8" s="96" t="s">
        <v>165</v>
      </c>
      <c r="I8" s="96"/>
      <c r="J8" s="96"/>
      <c r="K8" s="96"/>
      <c r="L8" s="96"/>
    </row>
    <row r="9" spans="1:12" hidden="1" outlineLevel="1" x14ac:dyDescent="0.15">
      <c r="C9" s="101"/>
      <c r="D9" s="106"/>
      <c r="H9" s="96"/>
      <c r="I9" s="96"/>
      <c r="J9" s="96"/>
      <c r="K9" s="96"/>
      <c r="L9" s="96"/>
    </row>
    <row r="10" spans="1:12" hidden="1" outlineLevel="1" x14ac:dyDescent="0.15">
      <c r="C10" s="107" t="s">
        <v>169</v>
      </c>
      <c r="D10" s="106"/>
      <c r="H10" s="96"/>
      <c r="I10" s="96"/>
      <c r="J10" s="96"/>
      <c r="K10" s="96"/>
      <c r="L10" s="96"/>
    </row>
    <row r="11" spans="1:12" hidden="1" outlineLevel="1" x14ac:dyDescent="0.15">
      <c r="C11" s="101" t="s">
        <v>1</v>
      </c>
      <c r="D11" s="106"/>
      <c r="G11" s="136">
        <f>'T1 Base'!G11</f>
        <v>0.02</v>
      </c>
      <c r="H11" s="96" t="s">
        <v>165</v>
      </c>
      <c r="I11" s="96"/>
      <c r="J11" s="96"/>
      <c r="K11" s="96"/>
      <c r="L11" s="96"/>
    </row>
    <row r="12" spans="1:12" hidden="1" outlineLevel="1" x14ac:dyDescent="0.15">
      <c r="C12" s="101" t="s">
        <v>2</v>
      </c>
      <c r="D12" s="106"/>
      <c r="G12" s="136">
        <f>'T1 Base'!G12</f>
        <v>0.15</v>
      </c>
      <c r="H12" s="96" t="s">
        <v>165</v>
      </c>
      <c r="I12" s="96"/>
      <c r="J12" s="96"/>
      <c r="K12" s="96"/>
      <c r="L12" s="96"/>
    </row>
    <row r="13" spans="1:12" hidden="1" outlineLevel="1" x14ac:dyDescent="0.15">
      <c r="C13" s="101" t="s">
        <v>3</v>
      </c>
      <c r="D13" s="106"/>
      <c r="G13" s="136">
        <f>'T1 Base'!G13</f>
        <v>0</v>
      </c>
      <c r="H13" s="96" t="s">
        <v>165</v>
      </c>
      <c r="I13" s="96"/>
      <c r="J13" s="96"/>
      <c r="K13" s="96"/>
      <c r="L13" s="96"/>
    </row>
    <row r="14" spans="1:12" hidden="1" outlineLevel="1" x14ac:dyDescent="0.15">
      <c r="C14" s="101" t="s">
        <v>4</v>
      </c>
      <c r="D14" s="106"/>
      <c r="G14" s="136">
        <f>'T1 Base'!G14</f>
        <v>0.15</v>
      </c>
      <c r="H14" s="96" t="s">
        <v>165</v>
      </c>
      <c r="I14" s="96"/>
      <c r="J14" s="96"/>
      <c r="K14" s="96"/>
      <c r="L14" s="96"/>
    </row>
    <row r="15" spans="1:12" hidden="1" outlineLevel="1" x14ac:dyDescent="0.15">
      <c r="C15" s="101"/>
      <c r="D15" s="106"/>
    </row>
    <row r="16" spans="1:12" hidden="1" outlineLevel="1" x14ac:dyDescent="0.15">
      <c r="C16" s="101" t="s">
        <v>168</v>
      </c>
      <c r="D16" s="109"/>
      <c r="G16" s="137">
        <f>'T1 Base'!G16</f>
        <v>5</v>
      </c>
      <c r="H16" s="96" t="s">
        <v>167</v>
      </c>
    </row>
    <row r="17" spans="1:12" hidden="1" outlineLevel="1" x14ac:dyDescent="0.15">
      <c r="C17" s="101" t="s">
        <v>166</v>
      </c>
      <c r="D17" s="109"/>
      <c r="G17" s="138">
        <f>'T1 Base'!G17</f>
        <v>0.995</v>
      </c>
      <c r="H17" s="96" t="s">
        <v>165</v>
      </c>
    </row>
    <row r="18" spans="1:12" hidden="1" outlineLevel="1" x14ac:dyDescent="0.15">
      <c r="C18" s="101" t="s">
        <v>17</v>
      </c>
      <c r="D18" s="109"/>
      <c r="G18" s="139">
        <f>'2021-2026 Unserved Energy'!$C$5</f>
        <v>9415128.2345357668</v>
      </c>
      <c r="H18" s="96" t="s">
        <v>157</v>
      </c>
    </row>
    <row r="19" spans="1:12" hidden="1" outlineLevel="1" x14ac:dyDescent="0.15">
      <c r="C19" s="101" t="s">
        <v>164</v>
      </c>
      <c r="D19" s="109"/>
      <c r="G19" s="139">
        <f>'2021-2026 Unserved Energy'!$C$6</f>
        <v>811694</v>
      </c>
      <c r="H19" s="96" t="s">
        <v>163</v>
      </c>
    </row>
    <row r="20" spans="1:12" ht="14.25" hidden="1" customHeight="1" outlineLevel="1" x14ac:dyDescent="0.15">
      <c r="C20" s="101"/>
      <c r="D20" s="109"/>
    </row>
    <row r="21" spans="1:12" hidden="1" outlineLevel="1" x14ac:dyDescent="0.15">
      <c r="C21" s="101" t="s">
        <v>162</v>
      </c>
      <c r="G21" s="112" t="s">
        <v>172</v>
      </c>
      <c r="H21" s="96" t="s">
        <v>157</v>
      </c>
    </row>
    <row r="22" spans="1:12" hidden="1" outlineLevel="1" x14ac:dyDescent="0.15">
      <c r="C22" s="101" t="s">
        <v>160</v>
      </c>
      <c r="G22" s="112" t="s">
        <v>173</v>
      </c>
      <c r="H22" s="96" t="s">
        <v>157</v>
      </c>
    </row>
    <row r="23" spans="1:12" hidden="1" outlineLevel="1" x14ac:dyDescent="0.15">
      <c r="D23" s="109"/>
    </row>
    <row r="24" spans="1:12" hidden="1" outlineLevel="1" x14ac:dyDescent="0.15">
      <c r="A24" s="113"/>
      <c r="B24" s="113" t="s">
        <v>158</v>
      </c>
      <c r="C24" s="113"/>
      <c r="D24" s="114"/>
      <c r="E24" s="113"/>
      <c r="F24" s="115"/>
      <c r="G24" s="115"/>
      <c r="H24" s="97"/>
      <c r="I24" s="115"/>
      <c r="J24" s="115"/>
      <c r="K24" s="115"/>
      <c r="L24" s="115"/>
    </row>
    <row r="25" spans="1:12" ht="13.15" hidden="1" customHeight="1" outlineLevel="1" x14ac:dyDescent="0.15">
      <c r="D25" s="106"/>
    </row>
    <row r="26" spans="1:12" ht="13.15" hidden="1" customHeight="1" outlineLevel="1" x14ac:dyDescent="0.15">
      <c r="D26" s="106"/>
      <c r="E26" s="109"/>
      <c r="I26" s="116" t="s">
        <v>5</v>
      </c>
      <c r="J26" s="116" t="s">
        <v>6</v>
      </c>
      <c r="K26" s="116" t="s">
        <v>7</v>
      </c>
    </row>
    <row r="27" spans="1:12" ht="13.15" hidden="1" customHeight="1" outlineLevel="1" x14ac:dyDescent="0.15">
      <c r="A27" s="101"/>
      <c r="B27" s="101"/>
      <c r="C27" s="117" t="s">
        <v>1</v>
      </c>
      <c r="D27" s="118"/>
      <c r="E27" s="117"/>
      <c r="H27" s="96" t="s">
        <v>157</v>
      </c>
      <c r="I27" s="119">
        <v>357</v>
      </c>
      <c r="J27" s="119">
        <v>840</v>
      </c>
      <c r="K27" s="119">
        <v>3108</v>
      </c>
    </row>
    <row r="28" spans="1:12" ht="13.15" hidden="1" customHeight="1" outlineLevel="1" x14ac:dyDescent="0.15">
      <c r="C28" s="117" t="s">
        <v>2</v>
      </c>
      <c r="D28" s="118"/>
      <c r="E28" s="117"/>
      <c r="H28" s="96" t="s">
        <v>157</v>
      </c>
      <c r="I28" s="120">
        <v>3</v>
      </c>
      <c r="J28" s="120">
        <v>35</v>
      </c>
      <c r="K28" s="120">
        <v>340</v>
      </c>
    </row>
    <row r="29" spans="1:12" ht="13.15" hidden="1" customHeight="1" outlineLevel="1" x14ac:dyDescent="0.15">
      <c r="C29" s="117" t="s">
        <v>3</v>
      </c>
      <c r="D29" s="118"/>
      <c r="E29" s="117"/>
      <c r="H29" s="96" t="s">
        <v>157</v>
      </c>
      <c r="I29" s="120">
        <v>39</v>
      </c>
      <c r="J29" s="120">
        <v>63</v>
      </c>
      <c r="K29" s="120">
        <v>103</v>
      </c>
    </row>
    <row r="30" spans="1:12" ht="13.15" hidden="1" customHeight="1" outlineLevel="1" x14ac:dyDescent="0.15">
      <c r="C30" s="117" t="s">
        <v>4</v>
      </c>
      <c r="D30" s="118"/>
      <c r="E30" s="117"/>
      <c r="H30" s="96" t="s">
        <v>157</v>
      </c>
      <c r="I30" s="120">
        <v>36</v>
      </c>
      <c r="J30" s="120">
        <v>230</v>
      </c>
      <c r="K30" s="120">
        <v>1245</v>
      </c>
    </row>
    <row r="31" spans="1:12" hidden="1" outlineLevel="1" x14ac:dyDescent="0.15">
      <c r="D31" s="109"/>
    </row>
    <row r="32" spans="1:12" hidden="1" outlineLevel="1" x14ac:dyDescent="0.15">
      <c r="A32" s="113"/>
      <c r="B32" s="113" t="s">
        <v>156</v>
      </c>
      <c r="C32" s="113"/>
      <c r="D32" s="114"/>
      <c r="E32" s="113"/>
      <c r="F32" s="115"/>
      <c r="G32" s="115"/>
      <c r="H32" s="97"/>
      <c r="I32" s="115"/>
      <c r="J32" s="115"/>
      <c r="K32" s="115"/>
      <c r="L32" s="115"/>
    </row>
    <row r="33" spans="1:12" ht="13.15" hidden="1" customHeight="1" outlineLevel="1" x14ac:dyDescent="0.15">
      <c r="D33" s="109"/>
    </row>
    <row r="34" spans="1:12" ht="13.15" hidden="1" customHeight="1" outlineLevel="1" x14ac:dyDescent="0.15">
      <c r="A34" s="101"/>
      <c r="B34" s="101"/>
      <c r="C34" s="101"/>
      <c r="E34" s="109"/>
      <c r="H34" s="96"/>
      <c r="I34" s="116" t="s">
        <v>5</v>
      </c>
      <c r="J34" s="116" t="s">
        <v>6</v>
      </c>
      <c r="K34" s="116" t="s">
        <v>7</v>
      </c>
    </row>
    <row r="35" spans="1:12" ht="13.15" hidden="1" customHeight="1" outlineLevel="1" x14ac:dyDescent="0.15">
      <c r="C35" s="101" t="str">
        <f>$C$27</f>
        <v>22KV Dist Sub Outage</v>
      </c>
      <c r="D35" s="109"/>
      <c r="H35" s="96" t="s">
        <v>155</v>
      </c>
      <c r="I35" s="120">
        <v>1677369</v>
      </c>
      <c r="J35" s="120">
        <v>2262081</v>
      </c>
      <c r="K35" s="120">
        <v>3641610</v>
      </c>
    </row>
    <row r="36" spans="1:12" ht="13.15" hidden="1" customHeight="1" outlineLevel="1" x14ac:dyDescent="0.15">
      <c r="C36" s="101" t="str">
        <f>$C$28</f>
        <v>HV 22kv ACR Outage</v>
      </c>
      <c r="D36" s="109"/>
      <c r="H36" s="96" t="s">
        <v>155</v>
      </c>
      <c r="I36" s="120">
        <v>553260</v>
      </c>
      <c r="J36" s="120">
        <v>5592923</v>
      </c>
      <c r="K36" s="120">
        <v>38672971</v>
      </c>
    </row>
    <row r="37" spans="1:12" ht="13.15" hidden="1" customHeight="1" outlineLevel="1" x14ac:dyDescent="0.15">
      <c r="C37" s="101" t="str">
        <f>$C$29</f>
        <v>HV 22KV CB Outage</v>
      </c>
      <c r="D37" s="109"/>
      <c r="H37" s="96" t="s">
        <v>155</v>
      </c>
      <c r="I37" s="120">
        <v>7673630</v>
      </c>
      <c r="J37" s="120">
        <v>13891079</v>
      </c>
      <c r="K37" s="120">
        <v>25970033</v>
      </c>
    </row>
    <row r="38" spans="1:12" ht="13.15" hidden="1" customHeight="1" outlineLevel="1" x14ac:dyDescent="0.15">
      <c r="C38" s="101" t="str">
        <f>$C$30</f>
        <v>HV 22KV Line Outage</v>
      </c>
      <c r="D38" s="109"/>
      <c r="H38" s="96" t="s">
        <v>155</v>
      </c>
      <c r="I38" s="120">
        <v>1443360</v>
      </c>
      <c r="J38" s="120">
        <v>2897894</v>
      </c>
      <c r="K38" s="120">
        <v>19260807</v>
      </c>
    </row>
    <row r="39" spans="1:12" hidden="1" outlineLevel="1" x14ac:dyDescent="0.15">
      <c r="D39" s="109"/>
    </row>
    <row r="40" spans="1:12" ht="12.75" customHeight="1" x14ac:dyDescent="0.15">
      <c r="A40" s="103" t="s">
        <v>154</v>
      </c>
      <c r="B40" s="103"/>
      <c r="C40" s="103"/>
      <c r="D40" s="104"/>
      <c r="E40" s="105"/>
      <c r="F40" s="105"/>
      <c r="G40" s="105"/>
      <c r="H40" s="95"/>
      <c r="I40" s="105"/>
      <c r="J40" s="105"/>
      <c r="K40" s="105"/>
      <c r="L40" s="105"/>
    </row>
    <row r="41" spans="1:12" x14ac:dyDescent="0.15"/>
    <row r="42" spans="1:12" x14ac:dyDescent="0.15">
      <c r="C42" s="180" t="str">
        <f>CONCATENATE("Annual Average Performance Before"," ",'T2 Base'!G21," - ",'T2 Base'!G22)</f>
        <v>Annual Average Performance Before 2014/2015 - 2018/2019</v>
      </c>
      <c r="D42" s="180"/>
      <c r="E42" s="180"/>
      <c r="F42" s="180"/>
      <c r="G42" s="180"/>
      <c r="H42" s="180"/>
      <c r="I42" s="180"/>
      <c r="J42" s="180"/>
      <c r="K42" s="180"/>
      <c r="L42" s="180"/>
    </row>
    <row r="43" spans="1:12" x14ac:dyDescent="0.15"/>
    <row r="44" spans="1:12" x14ac:dyDescent="0.15">
      <c r="C44" s="99" t="s">
        <v>153</v>
      </c>
      <c r="I44" s="116" t="s">
        <v>5</v>
      </c>
      <c r="J44" s="116" t="s">
        <v>6</v>
      </c>
      <c r="K44" s="116" t="s">
        <v>7</v>
      </c>
      <c r="L44" s="116" t="s">
        <v>8</v>
      </c>
    </row>
    <row r="45" spans="1:12" x14ac:dyDescent="0.15">
      <c r="C45" s="101" t="str">
        <f>$C$27</f>
        <v>22KV Dist Sub Outage</v>
      </c>
      <c r="I45" s="121">
        <f>'T2 Base'!I27/'T2 Base'!$G$16</f>
        <v>71.400000000000006</v>
      </c>
      <c r="J45" s="121">
        <f>'T2 Base'!J27/'T2 Base'!$G$16</f>
        <v>168</v>
      </c>
      <c r="K45" s="121">
        <f>'T2 Base'!K27/'T2 Base'!$G$16</f>
        <v>621.6</v>
      </c>
      <c r="L45" s="121">
        <f>SUM(I45:K45)</f>
        <v>861</v>
      </c>
    </row>
    <row r="46" spans="1:12" x14ac:dyDescent="0.15">
      <c r="C46" s="101" t="str">
        <f>$C$28</f>
        <v>HV 22kv ACR Outage</v>
      </c>
      <c r="I46" s="121">
        <f>'T2 Base'!I28/'T2 Base'!$G$16</f>
        <v>0.6</v>
      </c>
      <c r="J46" s="121">
        <f>'T2 Base'!J28/'T2 Base'!$G$16</f>
        <v>7</v>
      </c>
      <c r="K46" s="121">
        <f>'T2 Base'!K28/'T2 Base'!$G$16</f>
        <v>68</v>
      </c>
      <c r="L46" s="121">
        <f>SUM(I46:K46)</f>
        <v>75.599999999999994</v>
      </c>
    </row>
    <row r="47" spans="1:12" x14ac:dyDescent="0.15">
      <c r="C47" s="101" t="str">
        <f>$C$29</f>
        <v>HV 22KV CB Outage</v>
      </c>
      <c r="I47" s="121">
        <f>'T2 Base'!I29/'T2 Base'!$G$16</f>
        <v>7.8</v>
      </c>
      <c r="J47" s="121">
        <f>'T2 Base'!J29/'T2 Base'!$G$16</f>
        <v>12.6</v>
      </c>
      <c r="K47" s="121">
        <f>'T2 Base'!K29/'T2 Base'!$G$16</f>
        <v>20.6</v>
      </c>
      <c r="L47" s="121">
        <f>SUM(I47:K47)</f>
        <v>41</v>
      </c>
    </row>
    <row r="48" spans="1:12" x14ac:dyDescent="0.15">
      <c r="C48" s="122" t="str">
        <f>$C$30</f>
        <v>HV 22KV Line Outage</v>
      </c>
      <c r="D48" s="123"/>
      <c r="E48" s="122"/>
      <c r="F48" s="122"/>
      <c r="G48" s="122"/>
      <c r="H48" s="124"/>
      <c r="I48" s="121">
        <f>'T2 Base'!I30/'T2 Base'!$G$16</f>
        <v>7.2</v>
      </c>
      <c r="J48" s="121">
        <f>'T2 Base'!J30/'T2 Base'!$G$16</f>
        <v>46</v>
      </c>
      <c r="K48" s="121">
        <f>'T2 Base'!K30/'T2 Base'!$G$16</f>
        <v>249</v>
      </c>
      <c r="L48" s="121">
        <f>SUM(I48:K48)</f>
        <v>302.2</v>
      </c>
    </row>
    <row r="49" spans="3:12" x14ac:dyDescent="0.15"/>
    <row r="50" spans="3:12" x14ac:dyDescent="0.15">
      <c r="C50" s="99" t="s">
        <v>145</v>
      </c>
      <c r="I50" s="116" t="s">
        <v>5</v>
      </c>
      <c r="J50" s="116" t="s">
        <v>6</v>
      </c>
      <c r="K50" s="116" t="s">
        <v>7</v>
      </c>
      <c r="L50" s="116" t="s">
        <v>8</v>
      </c>
    </row>
    <row r="51" spans="3:12" x14ac:dyDescent="0.15">
      <c r="C51" s="101" t="str">
        <f>$C$27</f>
        <v>22KV Dist Sub Outage</v>
      </c>
      <c r="D51" s="125"/>
      <c r="I51" s="126">
        <f>'T2 Base'!I35/'T2 Base'!$G$16</f>
        <v>335473.8</v>
      </c>
      <c r="J51" s="126">
        <f>'T2 Base'!J35/'T2 Base'!$G$16</f>
        <v>452416.2</v>
      </c>
      <c r="K51" s="126">
        <f>'T2 Base'!K35/'T2 Base'!$G$16</f>
        <v>728322</v>
      </c>
      <c r="L51" s="121">
        <f>SUM(I51:K51)</f>
        <v>1516212</v>
      </c>
    </row>
    <row r="52" spans="3:12" x14ac:dyDescent="0.15">
      <c r="C52" s="101" t="str">
        <f>$C$28</f>
        <v>HV 22kv ACR Outage</v>
      </c>
      <c r="D52" s="125"/>
      <c r="I52" s="126">
        <f>'T2 Base'!I36/'T2 Base'!$G$16</f>
        <v>110652</v>
      </c>
      <c r="J52" s="126">
        <f>'T2 Base'!J36/'T2 Base'!$G$16</f>
        <v>1118584.6000000001</v>
      </c>
      <c r="K52" s="126">
        <f>'T2 Base'!K36/'T2 Base'!$G$16</f>
        <v>7734594.2000000002</v>
      </c>
      <c r="L52" s="121">
        <f>SUM(I52:K52)</f>
        <v>8963830.8000000007</v>
      </c>
    </row>
    <row r="53" spans="3:12" x14ac:dyDescent="0.15">
      <c r="C53" s="101" t="str">
        <f>$C$29</f>
        <v>HV 22KV CB Outage</v>
      </c>
      <c r="D53" s="125"/>
      <c r="I53" s="126">
        <f>'T2 Base'!I37/'T2 Base'!$G$16</f>
        <v>1534726</v>
      </c>
      <c r="J53" s="126">
        <f>'T2 Base'!J37/'T2 Base'!$G$16</f>
        <v>2778215.8</v>
      </c>
      <c r="K53" s="126">
        <f>'T2 Base'!K37/'T2 Base'!$G$16</f>
        <v>5194006.5999999996</v>
      </c>
      <c r="L53" s="121">
        <f>SUM(I53:K53)</f>
        <v>9506948.3999999985</v>
      </c>
    </row>
    <row r="54" spans="3:12" x14ac:dyDescent="0.15">
      <c r="C54" s="122" t="str">
        <f>$C$30</f>
        <v>HV 22KV Line Outage</v>
      </c>
      <c r="D54" s="127"/>
      <c r="E54" s="122"/>
      <c r="F54" s="122"/>
      <c r="G54" s="122"/>
      <c r="H54" s="124"/>
      <c r="I54" s="126">
        <f>'T2 Base'!I38/'T2 Base'!$G$16</f>
        <v>288672</v>
      </c>
      <c r="J54" s="126">
        <f>'T2 Base'!J38/'T2 Base'!$G$16</f>
        <v>579578.80000000005</v>
      </c>
      <c r="K54" s="126">
        <f>'T2 Base'!K38/'T2 Base'!$G$16</f>
        <v>3852161.4</v>
      </c>
      <c r="L54" s="121">
        <f>SUM(I54:K54)</f>
        <v>4720412.2</v>
      </c>
    </row>
    <row r="55" spans="3:12" x14ac:dyDescent="0.15"/>
    <row r="56" spans="3:12" x14ac:dyDescent="0.15">
      <c r="C56" s="128" t="s">
        <v>152</v>
      </c>
      <c r="I56" s="116" t="s">
        <v>5</v>
      </c>
      <c r="J56" s="116" t="s">
        <v>6</v>
      </c>
      <c r="K56" s="116" t="s">
        <v>7</v>
      </c>
      <c r="L56" s="116" t="s">
        <v>8</v>
      </c>
    </row>
    <row r="57" spans="3:12" x14ac:dyDescent="0.15">
      <c r="C57" s="101" t="str">
        <f>$C$27</f>
        <v>22KV Dist Sub Outage</v>
      </c>
      <c r="I57" s="129">
        <f>IF(ISERROR('T2 Base'!I51/'T2 Base'!I45),0,'T2 Base'!I51/'T2 Base'!I45)</f>
        <v>4698.5126050420158</v>
      </c>
      <c r="J57" s="129">
        <f>IF(ISERROR('T2 Base'!J51/'T2 Base'!J45),0,'T2 Base'!J51/'T2 Base'!J45)</f>
        <v>2692.9535714285716</v>
      </c>
      <c r="K57" s="129">
        <f>IF(ISERROR('T2 Base'!K51/'T2 Base'!K45),0,'T2 Base'!K51/'T2 Base'!K45)</f>
        <v>1171.6891891891892</v>
      </c>
      <c r="L57" s="130"/>
    </row>
    <row r="58" spans="3:12" x14ac:dyDescent="0.15">
      <c r="C58" s="101" t="str">
        <f>$C$28</f>
        <v>HV 22kv ACR Outage</v>
      </c>
      <c r="I58" s="129">
        <f>IF(ISERROR('T2 Base'!I52/'T2 Base'!I46),0,'T2 Base'!I52/'T2 Base'!I46)</f>
        <v>184420</v>
      </c>
      <c r="J58" s="129">
        <f>IF(ISERROR('T2 Base'!J52/'T2 Base'!J46),0,'T2 Base'!J52/'T2 Base'!J46)</f>
        <v>159797.80000000002</v>
      </c>
      <c r="K58" s="129">
        <f>IF(ISERROR('T2 Base'!K52/'T2 Base'!K46),0,'T2 Base'!K52/'T2 Base'!K46)</f>
        <v>113744.03235294118</v>
      </c>
      <c r="L58" s="130"/>
    </row>
    <row r="59" spans="3:12" x14ac:dyDescent="0.15">
      <c r="C59" s="101" t="str">
        <f>$C$29</f>
        <v>HV 22KV CB Outage</v>
      </c>
      <c r="I59" s="129">
        <f>IF(ISERROR('T2 Base'!I53/'T2 Base'!I47),0,'T2 Base'!I53/'T2 Base'!I47)</f>
        <v>196759.74358974359</v>
      </c>
      <c r="J59" s="129">
        <f>IF(ISERROR('T2 Base'!J53/'T2 Base'!J47),0,'T2 Base'!J53/'T2 Base'!J47)</f>
        <v>220493.31746031746</v>
      </c>
      <c r="K59" s="129">
        <f>IF(ISERROR('T2 Base'!K53/'T2 Base'!K47),0,'T2 Base'!K53/'T2 Base'!K47)</f>
        <v>252136.24271844656</v>
      </c>
      <c r="L59" s="130"/>
    </row>
    <row r="60" spans="3:12" x14ac:dyDescent="0.15">
      <c r="C60" s="122" t="str">
        <f>$C$30</f>
        <v>HV 22KV Line Outage</v>
      </c>
      <c r="D60" s="123"/>
      <c r="E60" s="122"/>
      <c r="F60" s="122"/>
      <c r="G60" s="122"/>
      <c r="H60" s="124"/>
      <c r="I60" s="129">
        <f>IF(ISERROR('T2 Base'!I54/'T2 Base'!I48),0,'T2 Base'!I54/'T2 Base'!I48)</f>
        <v>40093.333333333336</v>
      </c>
      <c r="J60" s="129">
        <f>IF(ISERROR('T2 Base'!J54/'T2 Base'!J48),0,'T2 Base'!J54/'T2 Base'!J48)</f>
        <v>12599.539130434783</v>
      </c>
      <c r="K60" s="129">
        <f>IF(ISERROR('T2 Base'!K54/'T2 Base'!K48),0,'T2 Base'!K54/'T2 Base'!K48)</f>
        <v>15470.527710843373</v>
      </c>
      <c r="L60" s="130"/>
    </row>
    <row r="61" spans="3:12" x14ac:dyDescent="0.15"/>
    <row r="62" spans="3:12" x14ac:dyDescent="0.15">
      <c r="C62" s="99" t="s">
        <v>129</v>
      </c>
      <c r="I62" s="116" t="s">
        <v>5</v>
      </c>
      <c r="J62" s="116" t="s">
        <v>6</v>
      </c>
      <c r="K62" s="116" t="s">
        <v>7</v>
      </c>
      <c r="L62" s="116" t="s">
        <v>8</v>
      </c>
    </row>
    <row r="63" spans="3:12" x14ac:dyDescent="0.15">
      <c r="C63" s="101" t="str">
        <f>$C$27</f>
        <v>22KV Dist Sub Outage</v>
      </c>
      <c r="I63" s="131">
        <f>ROUND(('T2 Base'!I51*('T2 Base'!$G$18/('T2 Base'!$G$19*365*24*60))),3)</f>
        <v>7.4039999999999999</v>
      </c>
      <c r="J63" s="131">
        <f>ROUND(('T2 Base'!J51*('T2 Base'!$G$18/('T2 Base'!$G$19*365*24*60))),3)</f>
        <v>9.984</v>
      </c>
      <c r="K63" s="131">
        <f>ROUND(('T2 Base'!K51*('T2 Base'!$G$18/('T2 Base'!$G$19*365*24*60))),3)</f>
        <v>16.073</v>
      </c>
      <c r="L63" s="131">
        <f>ROUND(('T2 Base'!L51*('T2 Base'!$G$18/('T2 Base'!$G$19*365*24*60))),3)</f>
        <v>33.460999999999999</v>
      </c>
    </row>
    <row r="64" spans="3:12" x14ac:dyDescent="0.15">
      <c r="C64" s="101" t="str">
        <f>$C$28</f>
        <v>HV 22kv ACR Outage</v>
      </c>
      <c r="I64" s="131">
        <f>ROUND(('T2 Base'!I52*('T2 Base'!$G$18/('T2 Base'!$G$19*365*24*60))),3)</f>
        <v>2.4420000000000002</v>
      </c>
      <c r="J64" s="131">
        <f>ROUND(('T2 Base'!J52*('T2 Base'!$G$18/('T2 Base'!$G$19*365*24*60))),3)</f>
        <v>24.686</v>
      </c>
      <c r="K64" s="131">
        <f>ROUND(('T2 Base'!K52*('T2 Base'!$G$18/('T2 Base'!$G$19*365*24*60))),3)</f>
        <v>170.69300000000001</v>
      </c>
      <c r="L64" s="131">
        <f>ROUND(('T2 Base'!L52*('T2 Base'!$G$18/('T2 Base'!$G$19*365*24*60))),3)</f>
        <v>197.821</v>
      </c>
    </row>
    <row r="65" spans="3:12" x14ac:dyDescent="0.15">
      <c r="C65" s="101" t="str">
        <f>$C$29</f>
        <v>HV 22KV CB Outage</v>
      </c>
      <c r="I65" s="131">
        <f>ROUND(('T2 Base'!I53*('T2 Base'!$G$18/('T2 Base'!$G$19*365*24*60))),3)</f>
        <v>33.869999999999997</v>
      </c>
      <c r="J65" s="131">
        <f>ROUND(('T2 Base'!J53*('T2 Base'!$G$18/('T2 Base'!$G$19*365*24*60))),3)</f>
        <v>61.311999999999998</v>
      </c>
      <c r="K65" s="131">
        <f>ROUND(('T2 Base'!K53*('T2 Base'!$G$18/('T2 Base'!$G$19*365*24*60))),3)</f>
        <v>114.625</v>
      </c>
      <c r="L65" s="131">
        <f>ROUND(('T2 Base'!L53*('T2 Base'!$G$18/('T2 Base'!$G$19*365*24*60))),3)</f>
        <v>209.80699999999999</v>
      </c>
    </row>
    <row r="66" spans="3:12" x14ac:dyDescent="0.15">
      <c r="C66" s="122" t="str">
        <f>$C$30</f>
        <v>HV 22KV Line Outage</v>
      </c>
      <c r="D66" s="123"/>
      <c r="E66" s="122"/>
      <c r="F66" s="122"/>
      <c r="G66" s="122"/>
      <c r="H66" s="124"/>
      <c r="I66" s="131">
        <f>ROUND(('T2 Base'!I54*('T2 Base'!$G$18/('T2 Base'!$G$19*365*24*60))),3)</f>
        <v>6.3710000000000004</v>
      </c>
      <c r="J66" s="131">
        <f>ROUND(('T2 Base'!J54*('T2 Base'!$G$18/('T2 Base'!$G$19*365*24*60))),3)</f>
        <v>12.791</v>
      </c>
      <c r="K66" s="131">
        <f>ROUND(('T2 Base'!K54*('T2 Base'!$G$18/('T2 Base'!$G$19*365*24*60))),3)</f>
        <v>85.013000000000005</v>
      </c>
      <c r="L66" s="131">
        <f>ROUND(('T2 Base'!L54*('T2 Base'!$G$18/('T2 Base'!$G$19*365*24*60))),3)</f>
        <v>104.17400000000001</v>
      </c>
    </row>
    <row r="67" spans="3:12" x14ac:dyDescent="0.15">
      <c r="C67" s="99" t="s">
        <v>128</v>
      </c>
      <c r="D67" s="132"/>
      <c r="E67" s="99"/>
      <c r="F67" s="99"/>
      <c r="G67" s="99"/>
      <c r="H67" s="133"/>
      <c r="I67" s="134">
        <f>SUM(I63:I66)</f>
        <v>50.086999999999996</v>
      </c>
      <c r="J67" s="134">
        <f>SUM(J63:J66)</f>
        <v>108.773</v>
      </c>
      <c r="K67" s="134">
        <f>SUM(K63:K66)</f>
        <v>386.404</v>
      </c>
      <c r="L67" s="134">
        <f>SUM(L63:L66)</f>
        <v>545.26299999999992</v>
      </c>
    </row>
    <row r="68" spans="3:12" x14ac:dyDescent="0.15"/>
    <row r="69" spans="3:12" x14ac:dyDescent="0.15">
      <c r="C69" s="181" t="s">
        <v>151</v>
      </c>
      <c r="D69" s="181"/>
      <c r="E69" s="181"/>
      <c r="F69" s="181"/>
      <c r="G69" s="181"/>
      <c r="H69" s="181"/>
      <c r="I69" s="181"/>
      <c r="J69" s="181"/>
      <c r="K69" s="181"/>
      <c r="L69" s="181"/>
    </row>
    <row r="70" spans="3:12" x14ac:dyDescent="0.15"/>
    <row r="71" spans="3:12" x14ac:dyDescent="0.15">
      <c r="C71" s="99" t="s">
        <v>150</v>
      </c>
      <c r="I71" s="116" t="s">
        <v>5</v>
      </c>
      <c r="J71" s="116" t="s">
        <v>6</v>
      </c>
      <c r="K71" s="116" t="s">
        <v>7</v>
      </c>
    </row>
    <row r="72" spans="3:12" x14ac:dyDescent="0.15">
      <c r="C72" s="101" t="str">
        <f>$C$27</f>
        <v>22KV Dist Sub Outage</v>
      </c>
      <c r="I72" s="135">
        <f>'T2 Base'!I45*(1-'T2 Base'!$G$17)</f>
        <v>0.35700000000000037</v>
      </c>
      <c r="J72" s="135">
        <f>'T2 Base'!J45*(1-'T2 Base'!$G$17)</f>
        <v>0.84000000000000075</v>
      </c>
      <c r="K72" s="135">
        <f>'T2 Base'!K45*(1-'T2 Base'!$G$17)</f>
        <v>3.1080000000000028</v>
      </c>
    </row>
    <row r="73" spans="3:12" x14ac:dyDescent="0.15">
      <c r="C73" s="101" t="str">
        <f>$C$28</f>
        <v>HV 22kv ACR Outage</v>
      </c>
      <c r="I73" s="135">
        <f>'T2 Base'!I46*(1-'T2 Base'!$G$17)</f>
        <v>3.0000000000000027E-3</v>
      </c>
      <c r="J73" s="135">
        <f>'T2 Base'!J46*(1-'T2 Base'!$G$17)</f>
        <v>3.5000000000000031E-2</v>
      </c>
      <c r="K73" s="135">
        <f>'T2 Base'!K46*(1-'T2 Base'!$G$17)</f>
        <v>0.3400000000000003</v>
      </c>
    </row>
    <row r="74" spans="3:12" x14ac:dyDescent="0.15">
      <c r="C74" s="101" t="str">
        <f>$C$29</f>
        <v>HV 22KV CB Outage</v>
      </c>
      <c r="I74" s="135">
        <f>'T2 Base'!I47*(1-'T2 Base'!$G$17)</f>
        <v>3.9000000000000035E-2</v>
      </c>
      <c r="J74" s="135">
        <f>'T2 Base'!J47*(1-'T2 Base'!$G$17)</f>
        <v>6.3000000000000056E-2</v>
      </c>
      <c r="K74" s="135">
        <f>'T2 Base'!K47*(1-'T2 Base'!$G$17)</f>
        <v>0.10300000000000011</v>
      </c>
    </row>
    <row r="75" spans="3:12" x14ac:dyDescent="0.15">
      <c r="C75" s="122" t="str">
        <f>$C$30</f>
        <v>HV 22KV Line Outage</v>
      </c>
      <c r="D75" s="123"/>
      <c r="E75" s="122"/>
      <c r="F75" s="122"/>
      <c r="G75" s="122"/>
      <c r="H75" s="124"/>
      <c r="I75" s="135">
        <f>'T2 Base'!I48*(1-'T2 Base'!$G$17)</f>
        <v>3.6000000000000032E-2</v>
      </c>
      <c r="J75" s="135">
        <f>'T2 Base'!J48*(1-'T2 Base'!$G$17)</f>
        <v>0.2300000000000002</v>
      </c>
      <c r="K75" s="135">
        <f>'T2 Base'!K48*(1-'T2 Base'!$G$17)</f>
        <v>1.245000000000001</v>
      </c>
    </row>
    <row r="76" spans="3:12" x14ac:dyDescent="0.15"/>
    <row r="77" spans="3:12" ht="11.45" x14ac:dyDescent="0.25">
      <c r="C77" s="99" t="s">
        <v>149</v>
      </c>
      <c r="I77" s="116" t="s">
        <v>5</v>
      </c>
      <c r="J77" s="116" t="s">
        <v>6</v>
      </c>
      <c r="K77" s="116" t="s">
        <v>7</v>
      </c>
    </row>
    <row r="78" spans="3:12" ht="11.45" x14ac:dyDescent="0.25">
      <c r="C78" s="101" t="str">
        <f>$C$27</f>
        <v>22KV Dist Sub Outage</v>
      </c>
      <c r="I78" s="129">
        <f>('T2 Base'!I45-'T2 Base'!I72)*(1-'T2 Base'!$G5-'T2 Base'!$G11)</f>
        <v>56.834400000000009</v>
      </c>
      <c r="J78" s="129">
        <f>('T2 Base'!J45-'T2 Base'!J72)*(1-'T2 Base'!$G5-'T2 Base'!$G11)</f>
        <v>133.72800000000001</v>
      </c>
      <c r="K78" s="129">
        <f>('T2 Base'!K45-'T2 Base'!K72)*(1-'T2 Base'!$G5-'T2 Base'!$G11)</f>
        <v>494.79360000000008</v>
      </c>
    </row>
    <row r="79" spans="3:12" ht="11.45" x14ac:dyDescent="0.25">
      <c r="C79" s="101" t="str">
        <f>$C$28</f>
        <v>HV 22kv ACR Outage</v>
      </c>
      <c r="I79" s="129">
        <f>('T2 Base'!I46-'T2 Base'!I73)*(1-'T2 Base'!$G6-'T2 Base'!$G12)</f>
        <v>0.38805000000000001</v>
      </c>
      <c r="J79" s="129">
        <f>('T2 Base'!J46-'T2 Base'!J73)*(1-'T2 Base'!$G6-'T2 Base'!$G12)</f>
        <v>4.5272500000000004</v>
      </c>
      <c r="K79" s="129">
        <f>('T2 Base'!K46-'T2 Base'!K73)*(1-'T2 Base'!$G6-'T2 Base'!$G12)</f>
        <v>43.978999999999999</v>
      </c>
    </row>
    <row r="80" spans="3:12" ht="11.45" x14ac:dyDescent="0.25">
      <c r="C80" s="101" t="str">
        <f>$C$29</f>
        <v>HV 22KV CB Outage</v>
      </c>
      <c r="I80" s="129">
        <f>('T2 Base'!I47-'T2 Base'!I74)*(1-'T2 Base'!$G7-'T2 Base'!$G13)</f>
        <v>5.4326999999999996</v>
      </c>
      <c r="J80" s="129">
        <f>('T2 Base'!J47-'T2 Base'!J74)*(1-'T2 Base'!$G7-'T2 Base'!$G13)</f>
        <v>8.7758999999999983</v>
      </c>
      <c r="K80" s="129">
        <f>('T2 Base'!K47-'T2 Base'!K74)*(1-'T2 Base'!$G7-'T2 Base'!$G13)</f>
        <v>14.347899999999999</v>
      </c>
    </row>
    <row r="81" spans="3:12" ht="11.45" x14ac:dyDescent="0.25">
      <c r="C81" s="122" t="str">
        <f>$C$30</f>
        <v>HV 22KV Line Outage</v>
      </c>
      <c r="D81" s="123"/>
      <c r="E81" s="122"/>
      <c r="F81" s="122"/>
      <c r="G81" s="122"/>
      <c r="H81" s="124"/>
      <c r="I81" s="129">
        <f>('T2 Base'!I48-'T2 Base'!I75)*(1-'T2 Base'!$G8-'T2 Base'!$G14)</f>
        <v>3.9401999999999995</v>
      </c>
      <c r="J81" s="129">
        <f>('T2 Base'!J48-'T2 Base'!J75)*(1-'T2 Base'!$G8-'T2 Base'!$G14)</f>
        <v>25.173499999999997</v>
      </c>
      <c r="K81" s="129">
        <f>('T2 Base'!K48-'T2 Base'!K75)*(1-'T2 Base'!$G8-'T2 Base'!$G14)</f>
        <v>136.26524999999998</v>
      </c>
    </row>
    <row r="82" spans="3:12" ht="11.45" x14ac:dyDescent="0.25"/>
    <row r="83" spans="3:12" ht="11.45" x14ac:dyDescent="0.25">
      <c r="C83" s="99" t="s">
        <v>148</v>
      </c>
      <c r="I83" s="116" t="s">
        <v>5</v>
      </c>
      <c r="J83" s="116" t="s">
        <v>6</v>
      </c>
      <c r="K83" s="116" t="s">
        <v>7</v>
      </c>
    </row>
    <row r="84" spans="3:12" ht="11.45" x14ac:dyDescent="0.25">
      <c r="C84" s="101" t="str">
        <f>$C$27</f>
        <v>22KV Dist Sub Outage</v>
      </c>
      <c r="I84" s="129">
        <f>('T2 Base'!I45-'T2 Base'!I72)*'T2 Base'!$G5</f>
        <v>12.787740000000001</v>
      </c>
      <c r="J84" s="129">
        <f>('T2 Base'!J45-'T2 Base'!J72)*'T2 Base'!$G5</f>
        <v>30.088799999999999</v>
      </c>
      <c r="K84" s="129">
        <f>('T2 Base'!K45-'T2 Base'!K72)*'T2 Base'!$G5</f>
        <v>111.32856000000001</v>
      </c>
    </row>
    <row r="85" spans="3:12" ht="11.45" x14ac:dyDescent="0.25">
      <c r="C85" s="101" t="str">
        <f>$C$28</f>
        <v>HV 22kv ACR Outage</v>
      </c>
      <c r="I85" s="129">
        <f>('T2 Base'!I46-'T2 Base'!I73)*'T2 Base'!$G6</f>
        <v>0.11940000000000001</v>
      </c>
      <c r="J85" s="129">
        <f>('T2 Base'!J46-'T2 Base'!J73)*'T2 Base'!$G6</f>
        <v>1.393</v>
      </c>
      <c r="K85" s="129">
        <f>('T2 Base'!K46-'T2 Base'!K73)*'T2 Base'!$G6</f>
        <v>13.532</v>
      </c>
    </row>
    <row r="86" spans="3:12" ht="11.45" x14ac:dyDescent="0.25">
      <c r="C86" s="101" t="str">
        <f>$C$29</f>
        <v>HV 22KV CB Outage</v>
      </c>
      <c r="I86" s="129">
        <f>('T2 Base'!I47-'T2 Base'!I74)*'T2 Base'!$G7</f>
        <v>2.3283</v>
      </c>
      <c r="J86" s="129">
        <f>('T2 Base'!J47-'T2 Base'!J74)*'T2 Base'!$G7</f>
        <v>3.7610999999999994</v>
      </c>
      <c r="K86" s="129">
        <f>('T2 Base'!K47-'T2 Base'!K74)*'T2 Base'!$G7</f>
        <v>6.1490999999999998</v>
      </c>
    </row>
    <row r="87" spans="3:12" ht="11.45" x14ac:dyDescent="0.25">
      <c r="C87" s="122" t="str">
        <f>$C$30</f>
        <v>HV 22KV Line Outage</v>
      </c>
      <c r="D87" s="123"/>
      <c r="E87" s="122"/>
      <c r="F87" s="122"/>
      <c r="G87" s="122"/>
      <c r="H87" s="124"/>
      <c r="I87" s="129">
        <f>('T2 Base'!I48-'T2 Base'!I75)*'T2 Base'!$G8</f>
        <v>2.1492</v>
      </c>
      <c r="J87" s="129">
        <f>('T2 Base'!J48-'T2 Base'!J75)*'T2 Base'!$G8</f>
        <v>13.731</v>
      </c>
      <c r="K87" s="129">
        <f>('T2 Base'!K48-'T2 Base'!K75)*'T2 Base'!$G8</f>
        <v>74.326499999999996</v>
      </c>
    </row>
    <row r="88" spans="3:12" ht="11.45" x14ac:dyDescent="0.25"/>
    <row r="89" spans="3:12" ht="11.45" x14ac:dyDescent="0.25">
      <c r="C89" s="99" t="s">
        <v>147</v>
      </c>
      <c r="I89" s="116" t="s">
        <v>5</v>
      </c>
      <c r="J89" s="116" t="s">
        <v>6</v>
      </c>
      <c r="K89" s="116" t="s">
        <v>7</v>
      </c>
    </row>
    <row r="90" spans="3:12" ht="11.45" x14ac:dyDescent="0.25">
      <c r="C90" s="101" t="str">
        <f>$C$27</f>
        <v>22KV Dist Sub Outage</v>
      </c>
      <c r="I90" s="129">
        <f>('T2 Base'!I45-'T2 Base'!I72)*'T2 Base'!$G11</f>
        <v>1.4208600000000002</v>
      </c>
      <c r="J90" s="129">
        <f>('T2 Base'!J45-'T2 Base'!J72)*'T2 Base'!$G11</f>
        <v>3.3431999999999999</v>
      </c>
      <c r="K90" s="129">
        <f>('T2 Base'!K45-'T2 Base'!K72)*'T2 Base'!$G11</f>
        <v>12.369840000000002</v>
      </c>
    </row>
    <row r="91" spans="3:12" ht="11.45" x14ac:dyDescent="0.25">
      <c r="C91" s="101" t="str">
        <f>$C$28</f>
        <v>HV 22kv ACR Outage</v>
      </c>
      <c r="I91" s="129">
        <f>('T2 Base'!I46-'T2 Base'!I73)*'T2 Base'!$G12</f>
        <v>8.9549999999999991E-2</v>
      </c>
      <c r="J91" s="129">
        <f>('T2 Base'!J46-'T2 Base'!J73)*'T2 Base'!$G12</f>
        <v>1.0447499999999998</v>
      </c>
      <c r="K91" s="129">
        <f>('T2 Base'!K46-'T2 Base'!K73)*'T2 Base'!$G12</f>
        <v>10.148999999999999</v>
      </c>
    </row>
    <row r="92" spans="3:12" ht="11.45" x14ac:dyDescent="0.25">
      <c r="C92" s="101" t="str">
        <f>$C$29</f>
        <v>HV 22KV CB Outage</v>
      </c>
      <c r="I92" s="129">
        <f>('T2 Base'!I47-'T2 Base'!I74)*'T2 Base'!$G13</f>
        <v>0</v>
      </c>
      <c r="J92" s="129">
        <f>('T2 Base'!J47-'T2 Base'!J74)*'T2 Base'!$G13</f>
        <v>0</v>
      </c>
      <c r="K92" s="129">
        <f>('T2 Base'!K47-'T2 Base'!K74)*'T2 Base'!$G13</f>
        <v>0</v>
      </c>
    </row>
    <row r="93" spans="3:12" ht="11.45" x14ac:dyDescent="0.25">
      <c r="C93" s="122" t="str">
        <f>$C$30</f>
        <v>HV 22KV Line Outage</v>
      </c>
      <c r="D93" s="123"/>
      <c r="E93" s="122"/>
      <c r="F93" s="122"/>
      <c r="G93" s="122"/>
      <c r="H93" s="124"/>
      <c r="I93" s="129">
        <f>('T2 Base'!I48-'T2 Base'!I75)*'T2 Base'!$G14</f>
        <v>1.0746</v>
      </c>
      <c r="J93" s="129">
        <f>('T2 Base'!J48-'T2 Base'!J75)*'T2 Base'!$G14</f>
        <v>6.8654999999999999</v>
      </c>
      <c r="K93" s="129">
        <f>('T2 Base'!K48-'T2 Base'!K75)*'T2 Base'!$G14</f>
        <v>37.163249999999998</v>
      </c>
    </row>
    <row r="94" spans="3:12" x14ac:dyDescent="0.15"/>
    <row r="95" spans="3:12" x14ac:dyDescent="0.15">
      <c r="C95" s="99" t="s">
        <v>146</v>
      </c>
      <c r="I95" s="116" t="s">
        <v>5</v>
      </c>
      <c r="J95" s="116" t="s">
        <v>6</v>
      </c>
      <c r="K95" s="116" t="s">
        <v>7</v>
      </c>
      <c r="L95" s="116" t="s">
        <v>8</v>
      </c>
    </row>
    <row r="96" spans="3:12" x14ac:dyDescent="0.15">
      <c r="C96" s="101" t="str">
        <f>$C$27</f>
        <v>22KV Dist Sub Outage</v>
      </c>
      <c r="I96" s="129">
        <f>'T2 Base'!I78+'T2 Base'!I72</f>
        <v>57.191400000000009</v>
      </c>
      <c r="J96" s="129">
        <f>'T2 Base'!J78+'T2 Base'!J72</f>
        <v>134.56800000000001</v>
      </c>
      <c r="K96" s="129">
        <f>'T2 Base'!K78+'T2 Base'!K72</f>
        <v>497.90160000000009</v>
      </c>
      <c r="L96" s="129">
        <f>SUM(I96:K96)</f>
        <v>689.66100000000006</v>
      </c>
    </row>
    <row r="97" spans="3:12" x14ac:dyDescent="0.15">
      <c r="C97" s="101" t="str">
        <f>$C$28</f>
        <v>HV 22kv ACR Outage</v>
      </c>
      <c r="I97" s="129">
        <f>'T2 Base'!I79+'T2 Base'!I73</f>
        <v>0.39105000000000001</v>
      </c>
      <c r="J97" s="129">
        <f>'T2 Base'!J79+'T2 Base'!J73</f>
        <v>4.5622500000000006</v>
      </c>
      <c r="K97" s="129">
        <f>'T2 Base'!K79+'T2 Base'!K73</f>
        <v>44.319000000000003</v>
      </c>
      <c r="L97" s="129">
        <f>SUM(I97:K97)</f>
        <v>49.272300000000001</v>
      </c>
    </row>
    <row r="98" spans="3:12" x14ac:dyDescent="0.15">
      <c r="C98" s="101" t="str">
        <f>$C$29</f>
        <v>HV 22KV CB Outage</v>
      </c>
      <c r="I98" s="129">
        <f>'T2 Base'!I80+'T2 Base'!I74+'T2 Base'!I92+'T2 Base'!I90+'T2 Base'!I91+'T2 Base'!I93</f>
        <v>8.0567099999999989</v>
      </c>
      <c r="J98" s="129">
        <f>'T2 Base'!J80+'T2 Base'!J74+'T2 Base'!J92+'T2 Base'!J90+'T2 Base'!J91+'T2 Base'!J93</f>
        <v>20.09235</v>
      </c>
      <c r="K98" s="129">
        <f>'T2 Base'!K80+'T2 Base'!K74+'T2 Base'!K92+'T2 Base'!K90+'T2 Base'!K91+'T2 Base'!K93</f>
        <v>74.132990000000007</v>
      </c>
      <c r="L98" s="129">
        <f>SUM(I98:K98)</f>
        <v>102.28205</v>
      </c>
    </row>
    <row r="99" spans="3:12" x14ac:dyDescent="0.15">
      <c r="C99" s="122" t="str">
        <f>$C$30</f>
        <v>HV 22KV Line Outage</v>
      </c>
      <c r="D99" s="123"/>
      <c r="E99" s="122"/>
      <c r="F99" s="122"/>
      <c r="G99" s="122"/>
      <c r="H99" s="124"/>
      <c r="I99" s="129">
        <f>'T2 Base'!I81+'T2 Base'!I75</f>
        <v>3.9761999999999995</v>
      </c>
      <c r="J99" s="129">
        <f>'T2 Base'!J81+'T2 Base'!J75</f>
        <v>25.403499999999998</v>
      </c>
      <c r="K99" s="129">
        <f>'T2 Base'!K81+'T2 Base'!K75</f>
        <v>137.51024999999998</v>
      </c>
      <c r="L99" s="129">
        <f>SUM(I99:K99)</f>
        <v>166.88994999999997</v>
      </c>
    </row>
    <row r="100" spans="3:12" x14ac:dyDescent="0.15"/>
    <row r="101" spans="3:12" x14ac:dyDescent="0.15">
      <c r="C101" s="99" t="s">
        <v>145</v>
      </c>
      <c r="I101" s="116" t="s">
        <v>5</v>
      </c>
      <c r="J101" s="116" t="s">
        <v>6</v>
      </c>
      <c r="K101" s="116" t="s">
        <v>7</v>
      </c>
      <c r="L101" s="116" t="s">
        <v>8</v>
      </c>
    </row>
    <row r="102" spans="3:12" x14ac:dyDescent="0.15">
      <c r="C102" s="101" t="str">
        <f>$C$27</f>
        <v>22KV Dist Sub Outage</v>
      </c>
      <c r="D102" s="125"/>
      <c r="I102" s="129">
        <f>'T2 Base'!I96*'T2 Base'!I57</f>
        <v>268714.51379999996</v>
      </c>
      <c r="J102" s="129">
        <f>'T2 Base'!J96*'T2 Base'!J57</f>
        <v>362385.37620000006</v>
      </c>
      <c r="K102" s="129">
        <f>'T2 Base'!K96*'T2 Base'!K57</f>
        <v>583385.92200000014</v>
      </c>
      <c r="L102" s="129">
        <f>SUM(I102:K102)</f>
        <v>1214485.8120000002</v>
      </c>
    </row>
    <row r="103" spans="3:12" x14ac:dyDescent="0.15">
      <c r="C103" s="101" t="str">
        <f>$C$28</f>
        <v>HV 22kv ACR Outage</v>
      </c>
      <c r="D103" s="125"/>
      <c r="I103" s="129">
        <f>'T2 Base'!I97*'T2 Base'!I58</f>
        <v>72117.441000000006</v>
      </c>
      <c r="J103" s="129">
        <f>'T2 Base'!J97*'T2 Base'!J58</f>
        <v>729037.51305000018</v>
      </c>
      <c r="K103" s="129">
        <f>'T2 Base'!K97*'T2 Base'!K58</f>
        <v>5041021.7698500007</v>
      </c>
      <c r="L103" s="129">
        <f>SUM(I103:K103)</f>
        <v>5842176.7239000006</v>
      </c>
    </row>
    <row r="104" spans="3:12" x14ac:dyDescent="0.15">
      <c r="C104" s="101" t="str">
        <f>$C$29</f>
        <v>HV 22KV CB Outage</v>
      </c>
      <c r="D104" s="125"/>
      <c r="I104" s="129">
        <f>'T2 Base'!I98*'T2 Base'!I59</f>
        <v>1585236.193776923</v>
      </c>
      <c r="J104" s="129">
        <f>'T2 Base'!J98*'T2 Base'!J59</f>
        <v>4430228.9070738098</v>
      </c>
      <c r="K104" s="129">
        <f>'T2 Base'!K98*'T2 Base'!K59</f>
        <v>18691613.560084175</v>
      </c>
      <c r="L104" s="129">
        <f>SUM(I104:K104)</f>
        <v>24707078.66093491</v>
      </c>
    </row>
    <row r="105" spans="3:12" x14ac:dyDescent="0.15">
      <c r="C105" s="122" t="str">
        <f>$C$30</f>
        <v>HV 22KV Line Outage</v>
      </c>
      <c r="D105" s="127"/>
      <c r="E105" s="122"/>
      <c r="F105" s="122"/>
      <c r="G105" s="122"/>
      <c r="H105" s="124"/>
      <c r="I105" s="129">
        <f>'T2 Base'!I99*'T2 Base'!I60</f>
        <v>159419.11199999999</v>
      </c>
      <c r="J105" s="129">
        <f>'T2 Base'!J99*'T2 Base'!J60</f>
        <v>320072.39230000001</v>
      </c>
      <c r="K105" s="129">
        <f>'T2 Base'!K99*'T2 Base'!K60</f>
        <v>2127356.1331499997</v>
      </c>
      <c r="L105" s="129">
        <f>SUM(I105:K105)</f>
        <v>2606847.6374499998</v>
      </c>
    </row>
    <row r="106" spans="3:12" x14ac:dyDescent="0.15"/>
    <row r="107" spans="3:12" x14ac:dyDescent="0.15">
      <c r="C107" s="99" t="s">
        <v>129</v>
      </c>
      <c r="I107" s="116" t="s">
        <v>5</v>
      </c>
      <c r="J107" s="116" t="s">
        <v>6</v>
      </c>
      <c r="K107" s="116" t="s">
        <v>7</v>
      </c>
      <c r="L107" s="116" t="s">
        <v>8</v>
      </c>
    </row>
    <row r="108" spans="3:12" x14ac:dyDescent="0.15">
      <c r="C108" s="101" t="str">
        <f>$C$27</f>
        <v>22KV Dist Sub Outage</v>
      </c>
      <c r="I108" s="131">
        <f>ROUND(('T2 Base'!I102*('T2 Base'!$G$18/('T2 Base'!$G$19*365*24*60))),3)</f>
        <v>5.93</v>
      </c>
      <c r="J108" s="131">
        <f>ROUND(('T2 Base'!J102*('T2 Base'!$G$18/('T2 Base'!$G$19*365*24*60))),3)</f>
        <v>7.9969999999999999</v>
      </c>
      <c r="K108" s="131">
        <f>ROUND(('T2 Base'!K102*('T2 Base'!$G$18/('T2 Base'!$G$19*365*24*60))),3)</f>
        <v>12.875</v>
      </c>
      <c r="L108" s="131">
        <f>ROUND(('T2 Base'!L102*('T2 Base'!$G$18/('T2 Base'!$G$19*365*24*60))),3)</f>
        <v>26.802</v>
      </c>
    </row>
    <row r="109" spans="3:12" x14ac:dyDescent="0.15">
      <c r="C109" s="101" t="str">
        <f>$C$28</f>
        <v>HV 22kv ACR Outage</v>
      </c>
      <c r="I109" s="131">
        <f>ROUND(('T2 Base'!I103*('T2 Base'!$G$18/('T2 Base'!$G$19*365*24*60))),3)</f>
        <v>1.5920000000000001</v>
      </c>
      <c r="J109" s="131">
        <f>ROUND(('T2 Base'!J103*('T2 Base'!$G$18/('T2 Base'!$G$19*365*24*60))),3)</f>
        <v>16.088999999999999</v>
      </c>
      <c r="K109" s="131">
        <f>ROUND(('T2 Base'!K103*('T2 Base'!$G$18/('T2 Base'!$G$19*365*24*60))),3)</f>
        <v>111.249</v>
      </c>
      <c r="L109" s="131">
        <f>ROUND(('T2 Base'!L103*('T2 Base'!$G$18/('T2 Base'!$G$19*365*24*60))),3)</f>
        <v>128.93</v>
      </c>
    </row>
    <row r="110" spans="3:12" x14ac:dyDescent="0.15">
      <c r="C110" s="101" t="str">
        <f>$C$29</f>
        <v>HV 22KV CB Outage</v>
      </c>
      <c r="I110" s="131">
        <f>ROUND(('T2 Base'!I104*('T2 Base'!$G$18/('T2 Base'!$G$19*365*24*60))),3)</f>
        <v>34.984000000000002</v>
      </c>
      <c r="J110" s="131">
        <f>ROUND(('T2 Base'!J104*('T2 Base'!$G$18/('T2 Base'!$G$19*365*24*60))),3)</f>
        <v>97.77</v>
      </c>
      <c r="K110" s="131">
        <f>ROUND(('T2 Base'!K104*('T2 Base'!$G$18/('T2 Base'!$G$19*365*24*60))),3)</f>
        <v>412.50099999999998</v>
      </c>
      <c r="L110" s="131">
        <f>ROUND(('T2 Base'!L104*('T2 Base'!$G$18/('T2 Base'!$G$19*365*24*60))),3)</f>
        <v>545.255</v>
      </c>
    </row>
    <row r="111" spans="3:12" x14ac:dyDescent="0.15">
      <c r="C111" s="122" t="str">
        <f>$C$30</f>
        <v>HV 22KV Line Outage</v>
      </c>
      <c r="D111" s="123"/>
      <c r="E111" s="122"/>
      <c r="F111" s="122"/>
      <c r="G111" s="122"/>
      <c r="H111" s="124"/>
      <c r="I111" s="131">
        <f>ROUND(('T2 Base'!I105*('T2 Base'!$G$18/('T2 Base'!$G$19*365*24*60))),3)</f>
        <v>3.5179999999999998</v>
      </c>
      <c r="J111" s="131">
        <f>ROUND(('T2 Base'!J105*('T2 Base'!$G$18/('T2 Base'!$G$19*365*24*60))),3)</f>
        <v>7.0640000000000001</v>
      </c>
      <c r="K111" s="131">
        <f>ROUND(('T2 Base'!K105*('T2 Base'!$G$18/('T2 Base'!$G$19*365*24*60))),3)</f>
        <v>46.948</v>
      </c>
      <c r="L111" s="131">
        <f>ROUND(('T2 Base'!L105*('T2 Base'!$G$18/('T2 Base'!$G$19*365*24*60))),3)</f>
        <v>57.53</v>
      </c>
    </row>
    <row r="112" spans="3:12" x14ac:dyDescent="0.15">
      <c r="C112" s="99" t="s">
        <v>128</v>
      </c>
      <c r="D112" s="132"/>
      <c r="E112" s="99"/>
      <c r="F112" s="99"/>
      <c r="G112" s="99"/>
      <c r="H112" s="133"/>
      <c r="I112" s="134">
        <f>SUM(I108:I111)</f>
        <v>46.024000000000001</v>
      </c>
      <c r="J112" s="134">
        <f>SUM(J108:J111)</f>
        <v>128.91999999999999</v>
      </c>
      <c r="K112" s="134">
        <f>SUM(K108:K111)</f>
        <v>583.57299999999998</v>
      </c>
      <c r="L112" s="134">
        <f>SUM(L108:L111)</f>
        <v>758.51699999999994</v>
      </c>
    </row>
    <row r="113" spans="1:12" x14ac:dyDescent="0.15"/>
    <row r="114" spans="1:12" x14ac:dyDescent="0.15">
      <c r="A114" s="103" t="s">
        <v>144</v>
      </c>
      <c r="B114" s="103"/>
      <c r="C114" s="103"/>
      <c r="D114" s="104"/>
      <c r="E114" s="105"/>
      <c r="F114" s="105"/>
      <c r="G114" s="105"/>
      <c r="H114" s="95"/>
      <c r="I114" s="105"/>
      <c r="J114" s="105"/>
      <c r="K114" s="105"/>
      <c r="L114" s="105"/>
    </row>
    <row r="115" spans="1:12" x14ac:dyDescent="0.15"/>
    <row r="116" spans="1:12" hidden="1" x14ac:dyDescent="0.15"/>
    <row r="117" spans="1:12" hidden="1" x14ac:dyDescent="0.15"/>
    <row r="118" spans="1:12" hidden="1" x14ac:dyDescent="0.15"/>
    <row r="119" spans="1:12" hidden="1" x14ac:dyDescent="0.15"/>
    <row r="120" spans="1:12" hidden="1" x14ac:dyDescent="0.15"/>
    <row r="121" spans="1:12" hidden="1" x14ac:dyDescent="0.15"/>
    <row r="122" spans="1:12" hidden="1" x14ac:dyDescent="0.15"/>
    <row r="123" spans="1:12" hidden="1" x14ac:dyDescent="0.15"/>
    <row r="124" spans="1:12" hidden="1" x14ac:dyDescent="0.15"/>
    <row r="125" spans="1:12" hidden="1" x14ac:dyDescent="0.15"/>
    <row r="126" spans="1:12" hidden="1" x14ac:dyDescent="0.15"/>
    <row r="127" spans="1:12" hidden="1" x14ac:dyDescent="0.15"/>
    <row r="128" spans="1:12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  <row r="167" hidden="1" x14ac:dyDescent="0.15"/>
    <row r="168" hidden="1" x14ac:dyDescent="0.15"/>
    <row r="169" hidden="1" x14ac:dyDescent="0.15"/>
    <row r="170" hidden="1" x14ac:dyDescent="0.15"/>
    <row r="171" hidden="1" x14ac:dyDescent="0.15"/>
    <row r="172" hidden="1" x14ac:dyDescent="0.15"/>
    <row r="173" hidden="1" x14ac:dyDescent="0.15"/>
    <row r="174" hidden="1" x14ac:dyDescent="0.15"/>
    <row r="175" hidden="1" x14ac:dyDescent="0.15"/>
    <row r="176" hidden="1" x14ac:dyDescent="0.15"/>
    <row r="177" hidden="1" x14ac:dyDescent="0.15"/>
    <row r="178" hidden="1" x14ac:dyDescent="0.15"/>
    <row r="179" hidden="1" x14ac:dyDescent="0.15"/>
  </sheetData>
  <sheetProtection formatCells="0" formatColumns="0" formatRows="0" autoFilter="0"/>
  <mergeCells count="2">
    <mergeCell ref="C42:L42"/>
    <mergeCell ref="C69:L69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ignoredErrors>
    <ignoredError sqref="G5:G1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outlinePr summaryBelow="0" summaryRight="0"/>
    <pageSetUpPr autoPageBreaks="0" fitToPage="1"/>
  </sheetPr>
  <dimension ref="A1:M179"/>
  <sheetViews>
    <sheetView showGridLines="0" zoomScaleNormal="100" zoomScaleSheetLayoutView="85" workbookViewId="0"/>
  </sheetViews>
  <sheetFormatPr defaultColWidth="0" defaultRowHeight="11.25" zeroHeight="1" outlineLevelRow="1" x14ac:dyDescent="0.15"/>
  <cols>
    <col min="1" max="2" width="2.375" style="98" customWidth="1"/>
    <col min="3" max="3" width="2.375" style="99" customWidth="1"/>
    <col min="4" max="4" width="2.375" style="100" customWidth="1"/>
    <col min="5" max="5" width="20.5" style="101" customWidth="1"/>
    <col min="6" max="6" width="5.875" style="101" customWidth="1"/>
    <col min="7" max="7" width="9.25" style="101" bestFit="1" customWidth="1"/>
    <col min="8" max="8" width="10" style="94" customWidth="1"/>
    <col min="9" max="12" width="10.25" style="101" customWidth="1"/>
    <col min="13" max="13" width="2.375" style="102" customWidth="1"/>
    <col min="14" max="16384" width="7.75" style="102" hidden="1"/>
  </cols>
  <sheetData>
    <row r="1" spans="1:12" x14ac:dyDescent="0.15"/>
    <row r="2" spans="1:12" x14ac:dyDescent="0.15">
      <c r="A2" s="103" t="s">
        <v>171</v>
      </c>
      <c r="B2" s="103"/>
      <c r="C2" s="103"/>
      <c r="D2" s="104"/>
      <c r="E2" s="105"/>
      <c r="F2" s="105"/>
      <c r="G2" s="105"/>
      <c r="H2" s="95"/>
      <c r="I2" s="105"/>
      <c r="J2" s="105"/>
      <c r="K2" s="105"/>
      <c r="L2" s="105"/>
    </row>
    <row r="3" spans="1:12" collapsed="1" x14ac:dyDescent="0.15">
      <c r="D3" s="106"/>
    </row>
    <row r="4" spans="1:12" hidden="1" outlineLevel="1" x14ac:dyDescent="0.15">
      <c r="C4" s="107" t="s">
        <v>170</v>
      </c>
      <c r="D4" s="106"/>
      <c r="H4" s="101"/>
      <c r="I4" s="96"/>
      <c r="J4" s="96"/>
      <c r="K4" s="96"/>
      <c r="L4" s="96"/>
    </row>
    <row r="5" spans="1:12" hidden="1" outlineLevel="1" x14ac:dyDescent="0.15">
      <c r="C5" s="101" t="s">
        <v>1</v>
      </c>
      <c r="D5" s="106"/>
      <c r="G5" s="136">
        <f>'T1 Base'!G5</f>
        <v>0.18</v>
      </c>
      <c r="H5" s="96" t="s">
        <v>165</v>
      </c>
      <c r="I5" s="96"/>
      <c r="J5" s="96"/>
      <c r="K5" s="96"/>
      <c r="L5" s="96"/>
    </row>
    <row r="6" spans="1:12" hidden="1" outlineLevel="1" x14ac:dyDescent="0.15">
      <c r="C6" s="101" t="s">
        <v>2</v>
      </c>
      <c r="D6" s="106"/>
      <c r="G6" s="136">
        <f>'T1 Base'!G6</f>
        <v>0.2</v>
      </c>
      <c r="H6" s="96" t="s">
        <v>165</v>
      </c>
      <c r="I6" s="96"/>
      <c r="J6" s="96"/>
      <c r="K6" s="96"/>
      <c r="L6" s="96"/>
    </row>
    <row r="7" spans="1:12" hidden="1" outlineLevel="1" x14ac:dyDescent="0.15">
      <c r="C7" s="101" t="s">
        <v>3</v>
      </c>
      <c r="D7" s="106"/>
      <c r="G7" s="136">
        <f>'T1 Base'!G7</f>
        <v>0.3</v>
      </c>
      <c r="H7" s="96" t="s">
        <v>165</v>
      </c>
      <c r="I7" s="96"/>
      <c r="J7" s="96"/>
      <c r="K7" s="96"/>
      <c r="L7" s="96"/>
    </row>
    <row r="8" spans="1:12" hidden="1" outlineLevel="1" x14ac:dyDescent="0.15">
      <c r="C8" s="101" t="s">
        <v>4</v>
      </c>
      <c r="D8" s="106"/>
      <c r="G8" s="136">
        <f>'T1 Base'!G8</f>
        <v>0.3</v>
      </c>
      <c r="H8" s="96" t="s">
        <v>165</v>
      </c>
      <c r="I8" s="96"/>
      <c r="J8" s="96"/>
      <c r="K8" s="96"/>
      <c r="L8" s="96"/>
    </row>
    <row r="9" spans="1:12" hidden="1" outlineLevel="1" x14ac:dyDescent="0.15">
      <c r="C9" s="101"/>
      <c r="D9" s="106"/>
      <c r="H9" s="96"/>
      <c r="I9" s="96"/>
      <c r="J9" s="96"/>
      <c r="K9" s="96"/>
      <c r="L9" s="96"/>
    </row>
    <row r="10" spans="1:12" hidden="1" outlineLevel="1" x14ac:dyDescent="0.15">
      <c r="C10" s="107" t="s">
        <v>169</v>
      </c>
      <c r="D10" s="106"/>
      <c r="H10" s="96"/>
      <c r="I10" s="96"/>
      <c r="J10" s="96"/>
      <c r="K10" s="96"/>
      <c r="L10" s="96"/>
    </row>
    <row r="11" spans="1:12" hidden="1" outlineLevel="1" x14ac:dyDescent="0.15">
      <c r="C11" s="101" t="s">
        <v>1</v>
      </c>
      <c r="D11" s="106"/>
      <c r="G11" s="136">
        <f>'T1 Base'!G11</f>
        <v>0.02</v>
      </c>
      <c r="H11" s="96" t="s">
        <v>165</v>
      </c>
      <c r="I11" s="96"/>
      <c r="J11" s="96"/>
      <c r="K11" s="96"/>
      <c r="L11" s="96"/>
    </row>
    <row r="12" spans="1:12" hidden="1" outlineLevel="1" x14ac:dyDescent="0.15">
      <c r="C12" s="101" t="s">
        <v>2</v>
      </c>
      <c r="D12" s="106"/>
      <c r="G12" s="136">
        <f>'T1 Base'!G12</f>
        <v>0.15</v>
      </c>
      <c r="H12" s="96" t="s">
        <v>165</v>
      </c>
      <c r="I12" s="96"/>
      <c r="J12" s="96"/>
      <c r="K12" s="96"/>
      <c r="L12" s="96"/>
    </row>
    <row r="13" spans="1:12" hidden="1" outlineLevel="1" x14ac:dyDescent="0.15">
      <c r="C13" s="101" t="s">
        <v>3</v>
      </c>
      <c r="D13" s="106"/>
      <c r="G13" s="136">
        <f>'T1 Base'!G13</f>
        <v>0</v>
      </c>
      <c r="H13" s="96" t="s">
        <v>165</v>
      </c>
      <c r="I13" s="96"/>
      <c r="J13" s="96"/>
      <c r="K13" s="96"/>
      <c r="L13" s="96"/>
    </row>
    <row r="14" spans="1:12" hidden="1" outlineLevel="1" x14ac:dyDescent="0.15">
      <c r="C14" s="101" t="s">
        <v>4</v>
      </c>
      <c r="D14" s="106"/>
      <c r="G14" s="136">
        <f>'T1 Base'!G14</f>
        <v>0.15</v>
      </c>
      <c r="H14" s="96" t="s">
        <v>165</v>
      </c>
      <c r="I14" s="96"/>
      <c r="J14" s="96"/>
      <c r="K14" s="96"/>
      <c r="L14" s="96"/>
    </row>
    <row r="15" spans="1:12" hidden="1" outlineLevel="1" x14ac:dyDescent="0.15">
      <c r="C15" s="101"/>
      <c r="D15" s="106"/>
    </row>
    <row r="16" spans="1:12" hidden="1" outlineLevel="1" x14ac:dyDescent="0.15">
      <c r="C16" s="101" t="s">
        <v>168</v>
      </c>
      <c r="D16" s="109"/>
      <c r="G16" s="137">
        <f>'T1 Base'!G16</f>
        <v>5</v>
      </c>
      <c r="H16" s="96" t="s">
        <v>167</v>
      </c>
    </row>
    <row r="17" spans="1:12" hidden="1" outlineLevel="1" x14ac:dyDescent="0.15">
      <c r="C17" s="101" t="s">
        <v>166</v>
      </c>
      <c r="D17" s="109"/>
      <c r="G17" s="138">
        <f>'T1 Base'!G17</f>
        <v>0.995</v>
      </c>
      <c r="H17" s="96" t="s">
        <v>165</v>
      </c>
    </row>
    <row r="18" spans="1:12" hidden="1" outlineLevel="1" x14ac:dyDescent="0.15">
      <c r="C18" s="101" t="s">
        <v>17</v>
      </c>
      <c r="D18" s="109"/>
      <c r="G18" s="139">
        <f>'2021-2026 Unserved Energy'!$C$5</f>
        <v>9415128.2345357668</v>
      </c>
      <c r="H18" s="96" t="s">
        <v>157</v>
      </c>
    </row>
    <row r="19" spans="1:12" hidden="1" outlineLevel="1" x14ac:dyDescent="0.15">
      <c r="C19" s="101" t="s">
        <v>164</v>
      </c>
      <c r="D19" s="109"/>
      <c r="G19" s="139">
        <f>'2021-2026 Unserved Energy'!$C$6</f>
        <v>811694</v>
      </c>
      <c r="H19" s="96" t="s">
        <v>163</v>
      </c>
    </row>
    <row r="20" spans="1:12" ht="14.25" hidden="1" customHeight="1" outlineLevel="1" x14ac:dyDescent="0.15">
      <c r="C20" s="101"/>
      <c r="D20" s="109"/>
    </row>
    <row r="21" spans="1:12" hidden="1" outlineLevel="1" x14ac:dyDescent="0.15">
      <c r="C21" s="101" t="s">
        <v>162</v>
      </c>
      <c r="G21" s="112" t="s">
        <v>159</v>
      </c>
      <c r="H21" s="96" t="s">
        <v>157</v>
      </c>
    </row>
    <row r="22" spans="1:12" hidden="1" outlineLevel="1" x14ac:dyDescent="0.15">
      <c r="C22" s="101" t="s">
        <v>160</v>
      </c>
      <c r="G22" s="112" t="s">
        <v>173</v>
      </c>
      <c r="H22" s="96" t="s">
        <v>157</v>
      </c>
    </row>
    <row r="23" spans="1:12" hidden="1" outlineLevel="1" x14ac:dyDescent="0.15">
      <c r="D23" s="109"/>
    </row>
    <row r="24" spans="1:12" hidden="1" outlineLevel="1" x14ac:dyDescent="0.15">
      <c r="A24" s="113"/>
      <c r="B24" s="113" t="s">
        <v>158</v>
      </c>
      <c r="C24" s="113"/>
      <c r="D24" s="114"/>
      <c r="E24" s="113"/>
      <c r="F24" s="115"/>
      <c r="G24" s="115"/>
      <c r="H24" s="97"/>
      <c r="I24" s="115"/>
      <c r="J24" s="115"/>
      <c r="K24" s="115"/>
      <c r="L24" s="115"/>
    </row>
    <row r="25" spans="1:12" ht="13.15" hidden="1" customHeight="1" outlineLevel="1" x14ac:dyDescent="0.15">
      <c r="D25" s="106"/>
    </row>
    <row r="26" spans="1:12" ht="13.15" hidden="1" customHeight="1" outlineLevel="1" x14ac:dyDescent="0.15">
      <c r="D26" s="106"/>
      <c r="E26" s="109"/>
      <c r="I26" s="116" t="s">
        <v>5</v>
      </c>
      <c r="J26" s="116" t="s">
        <v>6</v>
      </c>
      <c r="K26" s="116" t="s">
        <v>7</v>
      </c>
    </row>
    <row r="27" spans="1:12" ht="13.15" hidden="1" customHeight="1" outlineLevel="1" x14ac:dyDescent="0.15">
      <c r="A27" s="101"/>
      <c r="B27" s="101"/>
      <c r="C27" s="117" t="s">
        <v>1</v>
      </c>
      <c r="D27" s="118"/>
      <c r="E27" s="117"/>
      <c r="H27" s="96" t="s">
        <v>157</v>
      </c>
      <c r="I27" s="119">
        <v>440</v>
      </c>
      <c r="J27" s="119">
        <v>1196</v>
      </c>
      <c r="K27" s="119">
        <v>1521</v>
      </c>
    </row>
    <row r="28" spans="1:12" ht="13.15" hidden="1" customHeight="1" outlineLevel="1" x14ac:dyDescent="0.15">
      <c r="C28" s="117" t="s">
        <v>2</v>
      </c>
      <c r="D28" s="118"/>
      <c r="E28" s="117"/>
      <c r="H28" s="96" t="s">
        <v>157</v>
      </c>
      <c r="I28" s="120">
        <v>13</v>
      </c>
      <c r="J28" s="120">
        <v>44</v>
      </c>
      <c r="K28" s="120">
        <v>127</v>
      </c>
    </row>
    <row r="29" spans="1:12" ht="13.15" hidden="1" customHeight="1" outlineLevel="1" x14ac:dyDescent="0.15">
      <c r="C29" s="117" t="s">
        <v>3</v>
      </c>
      <c r="D29" s="118"/>
      <c r="E29" s="117"/>
      <c r="H29" s="96" t="s">
        <v>157</v>
      </c>
      <c r="I29" s="120">
        <v>39</v>
      </c>
      <c r="J29" s="120">
        <v>47</v>
      </c>
      <c r="K29" s="120">
        <v>18</v>
      </c>
    </row>
    <row r="30" spans="1:12" ht="13.15" hidden="1" customHeight="1" outlineLevel="1" x14ac:dyDescent="0.15">
      <c r="C30" s="117" t="s">
        <v>4</v>
      </c>
      <c r="D30" s="118"/>
      <c r="E30" s="117"/>
      <c r="H30" s="96" t="s">
        <v>157</v>
      </c>
      <c r="I30" s="120">
        <v>63</v>
      </c>
      <c r="J30" s="120">
        <v>409</v>
      </c>
      <c r="K30" s="120">
        <v>564</v>
      </c>
    </row>
    <row r="31" spans="1:12" hidden="1" outlineLevel="1" x14ac:dyDescent="0.15">
      <c r="D31" s="109"/>
    </row>
    <row r="32" spans="1:12" hidden="1" outlineLevel="1" x14ac:dyDescent="0.15">
      <c r="A32" s="113"/>
      <c r="B32" s="113" t="s">
        <v>156</v>
      </c>
      <c r="C32" s="113"/>
      <c r="D32" s="114"/>
      <c r="E32" s="113"/>
      <c r="F32" s="115"/>
      <c r="G32" s="115"/>
      <c r="H32" s="97"/>
      <c r="I32" s="115"/>
      <c r="J32" s="115"/>
      <c r="K32" s="115"/>
      <c r="L32" s="115"/>
    </row>
    <row r="33" spans="1:12" ht="13.15" hidden="1" customHeight="1" outlineLevel="1" x14ac:dyDescent="0.15">
      <c r="D33" s="109"/>
    </row>
    <row r="34" spans="1:12" ht="13.15" hidden="1" customHeight="1" outlineLevel="1" x14ac:dyDescent="0.15">
      <c r="A34" s="101"/>
      <c r="B34" s="101"/>
      <c r="C34" s="101"/>
      <c r="E34" s="109"/>
      <c r="H34" s="96"/>
      <c r="I34" s="116" t="s">
        <v>5</v>
      </c>
      <c r="J34" s="116" t="s">
        <v>6</v>
      </c>
      <c r="K34" s="116" t="s">
        <v>7</v>
      </c>
    </row>
    <row r="35" spans="1:12" ht="13.15" hidden="1" customHeight="1" outlineLevel="1" x14ac:dyDescent="0.15">
      <c r="C35" s="101" t="str">
        <f>$C$27</f>
        <v>22KV Dist Sub Outage</v>
      </c>
      <c r="D35" s="109"/>
      <c r="H35" s="96" t="s">
        <v>155</v>
      </c>
      <c r="I35" s="120">
        <v>2178526</v>
      </c>
      <c r="J35" s="120">
        <v>2949105</v>
      </c>
      <c r="K35" s="120">
        <v>2625759</v>
      </c>
    </row>
    <row r="36" spans="1:12" ht="13.15" hidden="1" customHeight="1" outlineLevel="1" x14ac:dyDescent="0.15">
      <c r="C36" s="101" t="str">
        <f>$C$28</f>
        <v>HV 22kv ACR Outage</v>
      </c>
      <c r="D36" s="109"/>
      <c r="H36" s="96" t="s">
        <v>155</v>
      </c>
      <c r="I36" s="120">
        <v>2926074</v>
      </c>
      <c r="J36" s="120">
        <v>5757851</v>
      </c>
      <c r="K36" s="120">
        <v>13995494</v>
      </c>
    </row>
    <row r="37" spans="1:12" ht="13.15" hidden="1" customHeight="1" outlineLevel="1" x14ac:dyDescent="0.15">
      <c r="C37" s="101" t="str">
        <f>$C$29</f>
        <v>HV 22KV CB Outage</v>
      </c>
      <c r="D37" s="109"/>
      <c r="H37" s="96" t="s">
        <v>155</v>
      </c>
      <c r="I37" s="120">
        <v>7312756</v>
      </c>
      <c r="J37" s="120">
        <v>9503684</v>
      </c>
      <c r="K37" s="120">
        <v>2997471</v>
      </c>
    </row>
    <row r="38" spans="1:12" ht="13.15" hidden="1" customHeight="1" outlineLevel="1" x14ac:dyDescent="0.15">
      <c r="C38" s="101" t="str">
        <f>$C$30</f>
        <v>HV 22KV Line Outage</v>
      </c>
      <c r="D38" s="109"/>
      <c r="H38" s="96" t="s">
        <v>155</v>
      </c>
      <c r="I38" s="120">
        <v>1626199</v>
      </c>
      <c r="J38" s="120">
        <v>8493086</v>
      </c>
      <c r="K38" s="120">
        <v>6214403</v>
      </c>
    </row>
    <row r="39" spans="1:12" hidden="1" outlineLevel="1" x14ac:dyDescent="0.15">
      <c r="D39" s="109"/>
    </row>
    <row r="40" spans="1:12" ht="12.75" customHeight="1" x14ac:dyDescent="0.15">
      <c r="A40" s="103" t="s">
        <v>154</v>
      </c>
      <c r="B40" s="103"/>
      <c r="C40" s="103"/>
      <c r="D40" s="104"/>
      <c r="E40" s="105"/>
      <c r="F40" s="105"/>
      <c r="G40" s="105"/>
      <c r="H40" s="95"/>
      <c r="I40" s="105"/>
      <c r="J40" s="105"/>
      <c r="K40" s="105"/>
      <c r="L40" s="105"/>
    </row>
    <row r="41" spans="1:12" x14ac:dyDescent="0.15"/>
    <row r="42" spans="1:12" x14ac:dyDescent="0.15">
      <c r="C42" s="180" t="str">
        <f>CONCATENATE("Annual Average Performance Before"," ",'T3 Base'!G21," - ",'T3 Base'!G22)</f>
        <v>Annual Average Performance Before 2015/2016 - 2018/2019</v>
      </c>
      <c r="D42" s="180"/>
      <c r="E42" s="180"/>
      <c r="F42" s="180"/>
      <c r="G42" s="180"/>
      <c r="H42" s="180"/>
      <c r="I42" s="180"/>
      <c r="J42" s="180"/>
      <c r="K42" s="180"/>
      <c r="L42" s="180"/>
    </row>
    <row r="43" spans="1:12" x14ac:dyDescent="0.15"/>
    <row r="44" spans="1:12" x14ac:dyDescent="0.15">
      <c r="C44" s="99" t="s">
        <v>153</v>
      </c>
      <c r="I44" s="116" t="s">
        <v>5</v>
      </c>
      <c r="J44" s="116" t="s">
        <v>6</v>
      </c>
      <c r="K44" s="116" t="s">
        <v>7</v>
      </c>
      <c r="L44" s="116" t="s">
        <v>8</v>
      </c>
    </row>
    <row r="45" spans="1:12" x14ac:dyDescent="0.15">
      <c r="C45" s="101" t="str">
        <f>$C$27</f>
        <v>22KV Dist Sub Outage</v>
      </c>
      <c r="I45" s="121">
        <f>'T3 Base'!I27/'T3 Base'!$G$16</f>
        <v>88</v>
      </c>
      <c r="J45" s="121">
        <f>'T3 Base'!J27/'T3 Base'!$G$16</f>
        <v>239.2</v>
      </c>
      <c r="K45" s="121">
        <f>'T3 Base'!K27/'T3 Base'!$G$16</f>
        <v>304.2</v>
      </c>
      <c r="L45" s="121">
        <f>SUM(I45:K45)</f>
        <v>631.4</v>
      </c>
    </row>
    <row r="46" spans="1:12" x14ac:dyDescent="0.15">
      <c r="C46" s="101" t="str">
        <f>$C$28</f>
        <v>HV 22kv ACR Outage</v>
      </c>
      <c r="I46" s="121">
        <f>'T3 Base'!I28/'T3 Base'!$G$16</f>
        <v>2.6</v>
      </c>
      <c r="J46" s="121">
        <f>'T3 Base'!J28/'T3 Base'!$G$16</f>
        <v>8.8000000000000007</v>
      </c>
      <c r="K46" s="121">
        <f>'T3 Base'!K28/'T3 Base'!$G$16</f>
        <v>25.4</v>
      </c>
      <c r="L46" s="121">
        <f>SUM(I46:K46)</f>
        <v>36.799999999999997</v>
      </c>
    </row>
    <row r="47" spans="1:12" x14ac:dyDescent="0.15">
      <c r="C47" s="101" t="str">
        <f>$C$29</f>
        <v>HV 22KV CB Outage</v>
      </c>
      <c r="I47" s="121">
        <f>'T3 Base'!I29/'T3 Base'!$G$16</f>
        <v>7.8</v>
      </c>
      <c r="J47" s="121">
        <f>'T3 Base'!J29/'T3 Base'!$G$16</f>
        <v>9.4</v>
      </c>
      <c r="K47" s="121">
        <f>'T3 Base'!K29/'T3 Base'!$G$16</f>
        <v>3.6</v>
      </c>
      <c r="L47" s="121">
        <f>SUM(I47:K47)</f>
        <v>20.8</v>
      </c>
    </row>
    <row r="48" spans="1:12" x14ac:dyDescent="0.15">
      <c r="C48" s="122" t="str">
        <f>$C$30</f>
        <v>HV 22KV Line Outage</v>
      </c>
      <c r="D48" s="123"/>
      <c r="E48" s="122"/>
      <c r="F48" s="122"/>
      <c r="G48" s="122"/>
      <c r="H48" s="124"/>
      <c r="I48" s="121">
        <f>'T3 Base'!I30/'T3 Base'!$G$16</f>
        <v>12.6</v>
      </c>
      <c r="J48" s="121">
        <f>'T3 Base'!J30/'T3 Base'!$G$16</f>
        <v>81.8</v>
      </c>
      <c r="K48" s="121">
        <f>'T3 Base'!K30/'T3 Base'!$G$16</f>
        <v>112.8</v>
      </c>
      <c r="L48" s="121">
        <f>SUM(I48:K48)</f>
        <v>207.2</v>
      </c>
    </row>
    <row r="49" spans="3:12" x14ac:dyDescent="0.15"/>
    <row r="50" spans="3:12" x14ac:dyDescent="0.15">
      <c r="C50" s="99" t="s">
        <v>145</v>
      </c>
      <c r="I50" s="116" t="s">
        <v>5</v>
      </c>
      <c r="J50" s="116" t="s">
        <v>6</v>
      </c>
      <c r="K50" s="116" t="s">
        <v>7</v>
      </c>
      <c r="L50" s="116" t="s">
        <v>8</v>
      </c>
    </row>
    <row r="51" spans="3:12" x14ac:dyDescent="0.15">
      <c r="C51" s="101" t="str">
        <f>$C$27</f>
        <v>22KV Dist Sub Outage</v>
      </c>
      <c r="D51" s="125"/>
      <c r="I51" s="126">
        <f>'T3 Base'!I35/'T3 Base'!$G$16</f>
        <v>435705.2</v>
      </c>
      <c r="J51" s="126">
        <f>'T3 Base'!J35/'T3 Base'!$G$16</f>
        <v>589821</v>
      </c>
      <c r="K51" s="126">
        <f>'T3 Base'!K35/'T3 Base'!$G$16</f>
        <v>525151.80000000005</v>
      </c>
      <c r="L51" s="121">
        <f>SUM(I51:K51)</f>
        <v>1550678</v>
      </c>
    </row>
    <row r="52" spans="3:12" x14ac:dyDescent="0.15">
      <c r="C52" s="101" t="str">
        <f>$C$28</f>
        <v>HV 22kv ACR Outage</v>
      </c>
      <c r="D52" s="125"/>
      <c r="I52" s="126">
        <f>'T3 Base'!I36/'T3 Base'!$G$16</f>
        <v>585214.80000000005</v>
      </c>
      <c r="J52" s="126">
        <f>'T3 Base'!J36/'T3 Base'!$G$16</f>
        <v>1151570.2</v>
      </c>
      <c r="K52" s="126">
        <f>'T3 Base'!K36/'T3 Base'!$G$16</f>
        <v>2799098.8</v>
      </c>
      <c r="L52" s="121">
        <f>SUM(I52:K52)</f>
        <v>4535883.8</v>
      </c>
    </row>
    <row r="53" spans="3:12" x14ac:dyDescent="0.15">
      <c r="C53" s="101" t="str">
        <f>$C$29</f>
        <v>HV 22KV CB Outage</v>
      </c>
      <c r="D53" s="125"/>
      <c r="I53" s="126">
        <f>'T3 Base'!I37/'T3 Base'!$G$16</f>
        <v>1462551.2</v>
      </c>
      <c r="J53" s="126">
        <f>'T3 Base'!J37/'T3 Base'!$G$16</f>
        <v>1900736.8</v>
      </c>
      <c r="K53" s="126">
        <f>'T3 Base'!K37/'T3 Base'!$G$16</f>
        <v>599494.19999999995</v>
      </c>
      <c r="L53" s="121">
        <f>SUM(I53:K53)</f>
        <v>3962782.2</v>
      </c>
    </row>
    <row r="54" spans="3:12" x14ac:dyDescent="0.15">
      <c r="C54" s="122" t="str">
        <f>$C$30</f>
        <v>HV 22KV Line Outage</v>
      </c>
      <c r="D54" s="127"/>
      <c r="E54" s="122"/>
      <c r="F54" s="122"/>
      <c r="G54" s="122"/>
      <c r="H54" s="124"/>
      <c r="I54" s="126">
        <f>'T3 Base'!I38/'T3 Base'!$G$16</f>
        <v>325239.8</v>
      </c>
      <c r="J54" s="126">
        <f>'T3 Base'!J38/'T3 Base'!$G$16</f>
        <v>1698617.2</v>
      </c>
      <c r="K54" s="126">
        <f>'T3 Base'!K38/'T3 Base'!$G$16</f>
        <v>1242880.6000000001</v>
      </c>
      <c r="L54" s="121">
        <f>SUM(I54:K54)</f>
        <v>3266737.6</v>
      </c>
    </row>
    <row r="55" spans="3:12" x14ac:dyDescent="0.15"/>
    <row r="56" spans="3:12" x14ac:dyDescent="0.15">
      <c r="C56" s="128" t="s">
        <v>152</v>
      </c>
      <c r="I56" s="116" t="s">
        <v>5</v>
      </c>
      <c r="J56" s="116" t="s">
        <v>6</v>
      </c>
      <c r="K56" s="116" t="s">
        <v>7</v>
      </c>
      <c r="L56" s="116" t="s">
        <v>8</v>
      </c>
    </row>
    <row r="57" spans="3:12" x14ac:dyDescent="0.15">
      <c r="C57" s="101" t="str">
        <f>$C$27</f>
        <v>22KV Dist Sub Outage</v>
      </c>
      <c r="I57" s="129">
        <f>IF(ISERROR('T3 Base'!I51/'T3 Base'!I45),0,'T3 Base'!I51/'T3 Base'!I45)</f>
        <v>4951.1954545454546</v>
      </c>
      <c r="J57" s="129">
        <f>IF(ISERROR('T3 Base'!J51/'T3 Base'!J45),0,'T3 Base'!J51/'T3 Base'!J45)</f>
        <v>2465.806856187291</v>
      </c>
      <c r="K57" s="129">
        <f>IF(ISERROR('T3 Base'!K51/'T3 Base'!K45),0,'T3 Base'!K51/'T3 Base'!K45)</f>
        <v>1726.3372781065091</v>
      </c>
      <c r="L57" s="130"/>
    </row>
    <row r="58" spans="3:12" x14ac:dyDescent="0.15">
      <c r="C58" s="101" t="str">
        <f>$C$28</f>
        <v>HV 22kv ACR Outage</v>
      </c>
      <c r="I58" s="129">
        <f>IF(ISERROR('T3 Base'!I52/'T3 Base'!I46),0,'T3 Base'!I52/'T3 Base'!I46)</f>
        <v>225082.6153846154</v>
      </c>
      <c r="J58" s="129">
        <f>IF(ISERROR('T3 Base'!J52/'T3 Base'!J46),0,'T3 Base'!J52/'T3 Base'!J46)</f>
        <v>130860.24999999999</v>
      </c>
      <c r="K58" s="129">
        <f>IF(ISERROR('T3 Base'!K52/'T3 Base'!K46),0,'T3 Base'!K52/'T3 Base'!K46)</f>
        <v>110200.74015748031</v>
      </c>
      <c r="L58" s="130"/>
    </row>
    <row r="59" spans="3:12" x14ac:dyDescent="0.15">
      <c r="C59" s="101" t="str">
        <f>$C$29</f>
        <v>HV 22KV CB Outage</v>
      </c>
      <c r="I59" s="129">
        <f>IF(ISERROR('T3 Base'!I53/'T3 Base'!I47),0,'T3 Base'!I53/'T3 Base'!I47)</f>
        <v>187506.56410256409</v>
      </c>
      <c r="J59" s="129">
        <f>IF(ISERROR('T3 Base'!J53/'T3 Base'!J47),0,'T3 Base'!J53/'T3 Base'!J47)</f>
        <v>202206.04255319148</v>
      </c>
      <c r="K59" s="129">
        <f>IF(ISERROR('T3 Base'!K53/'T3 Base'!K47),0,'T3 Base'!K53/'T3 Base'!K47)</f>
        <v>166526.16666666666</v>
      </c>
      <c r="L59" s="130"/>
    </row>
    <row r="60" spans="3:12" x14ac:dyDescent="0.15">
      <c r="C60" s="122" t="str">
        <f>$C$30</f>
        <v>HV 22KV Line Outage</v>
      </c>
      <c r="D60" s="123"/>
      <c r="E60" s="122"/>
      <c r="F60" s="122"/>
      <c r="G60" s="122"/>
      <c r="H60" s="124"/>
      <c r="I60" s="129">
        <f>IF(ISERROR('T3 Base'!I54/'T3 Base'!I48),0,'T3 Base'!I54/'T3 Base'!I48)</f>
        <v>25812.682539682541</v>
      </c>
      <c r="J60" s="129">
        <f>IF(ISERROR('T3 Base'!J54/'T3 Base'!J48),0,'T3 Base'!J54/'T3 Base'!J48)</f>
        <v>20765.491442542789</v>
      </c>
      <c r="K60" s="129">
        <f>IF(ISERROR('T3 Base'!K54/'T3 Base'!K48),0,'T3 Base'!K54/'T3 Base'!K48)</f>
        <v>11018.445035460994</v>
      </c>
      <c r="L60" s="130"/>
    </row>
    <row r="61" spans="3:12" x14ac:dyDescent="0.15"/>
    <row r="62" spans="3:12" x14ac:dyDescent="0.15">
      <c r="C62" s="99" t="s">
        <v>129</v>
      </c>
      <c r="I62" s="116" t="s">
        <v>5</v>
      </c>
      <c r="J62" s="116" t="s">
        <v>6</v>
      </c>
      <c r="K62" s="116" t="s">
        <v>7</v>
      </c>
      <c r="L62" s="116" t="s">
        <v>8</v>
      </c>
    </row>
    <row r="63" spans="3:12" x14ac:dyDescent="0.15">
      <c r="C63" s="101" t="str">
        <f>$C$27</f>
        <v>22KV Dist Sub Outage</v>
      </c>
      <c r="I63" s="131">
        <f>ROUND(('T3 Base'!I51*('T3 Base'!$G$18/('T3 Base'!$G$19*365*24*60))),3)</f>
        <v>9.6150000000000002</v>
      </c>
      <c r="J63" s="131">
        <f>ROUND(('T3 Base'!J51*('T3 Base'!$G$18/('T3 Base'!$G$19*365*24*60))),3)</f>
        <v>13.016999999999999</v>
      </c>
      <c r="K63" s="131">
        <f>ROUND(('T3 Base'!K51*('T3 Base'!$G$18/('T3 Base'!$G$19*365*24*60))),3)</f>
        <v>11.589</v>
      </c>
      <c r="L63" s="131">
        <f>ROUND(('T3 Base'!L51*('T3 Base'!$G$18/('T3 Base'!$G$19*365*24*60))),3)</f>
        <v>34.222000000000001</v>
      </c>
    </row>
    <row r="64" spans="3:12" x14ac:dyDescent="0.15">
      <c r="C64" s="101" t="str">
        <f>$C$28</f>
        <v>HV 22kv ACR Outage</v>
      </c>
      <c r="I64" s="131">
        <f>ROUND(('T3 Base'!I52*('T3 Base'!$G$18/('T3 Base'!$G$19*365*24*60))),3)</f>
        <v>12.914999999999999</v>
      </c>
      <c r="J64" s="131">
        <f>ROUND(('T3 Base'!J52*('T3 Base'!$G$18/('T3 Base'!$G$19*365*24*60))),3)</f>
        <v>25.414000000000001</v>
      </c>
      <c r="K64" s="131">
        <f>ROUND(('T3 Base'!K52*('T3 Base'!$G$18/('T3 Base'!$G$19*365*24*60))),3)</f>
        <v>61.773000000000003</v>
      </c>
      <c r="L64" s="131">
        <f>ROUND(('T3 Base'!L52*('T3 Base'!$G$18/('T3 Base'!$G$19*365*24*60))),3)</f>
        <v>100.101</v>
      </c>
    </row>
    <row r="65" spans="3:12" x14ac:dyDescent="0.15">
      <c r="C65" s="101" t="str">
        <f>$C$29</f>
        <v>HV 22KV CB Outage</v>
      </c>
      <c r="I65" s="131">
        <f>ROUND(('T3 Base'!I53*('T3 Base'!$G$18/('T3 Base'!$G$19*365*24*60))),3)</f>
        <v>32.277000000000001</v>
      </c>
      <c r="J65" s="131">
        <f>ROUND(('T3 Base'!J53*('T3 Base'!$G$18/('T3 Base'!$G$19*365*24*60))),3)</f>
        <v>41.947000000000003</v>
      </c>
      <c r="K65" s="131">
        <f>ROUND(('T3 Base'!K53*('T3 Base'!$G$18/('T3 Base'!$G$19*365*24*60))),3)</f>
        <v>13.23</v>
      </c>
      <c r="L65" s="131">
        <f>ROUND(('T3 Base'!L53*('T3 Base'!$G$18/('T3 Base'!$G$19*365*24*60))),3)</f>
        <v>87.453999999999994</v>
      </c>
    </row>
    <row r="66" spans="3:12" x14ac:dyDescent="0.15">
      <c r="C66" s="122" t="str">
        <f>$C$30</f>
        <v>HV 22KV Line Outage</v>
      </c>
      <c r="D66" s="123"/>
      <c r="E66" s="122"/>
      <c r="F66" s="122"/>
      <c r="G66" s="122"/>
      <c r="H66" s="124"/>
      <c r="I66" s="131">
        <f>ROUND(('T3 Base'!I54*('T3 Base'!$G$18/('T3 Base'!$G$19*365*24*60))),3)</f>
        <v>7.1779999999999999</v>
      </c>
      <c r="J66" s="131">
        <f>ROUND(('T3 Base'!J54*('T3 Base'!$G$18/('T3 Base'!$G$19*365*24*60))),3)</f>
        <v>37.485999999999997</v>
      </c>
      <c r="K66" s="131">
        <f>ROUND(('T3 Base'!K54*('T3 Base'!$G$18/('T3 Base'!$G$19*365*24*60))),3)</f>
        <v>27.428999999999998</v>
      </c>
      <c r="L66" s="131">
        <f>ROUND(('T3 Base'!L54*('T3 Base'!$G$18/('T3 Base'!$G$19*365*24*60))),3)</f>
        <v>72.093000000000004</v>
      </c>
    </row>
    <row r="67" spans="3:12" x14ac:dyDescent="0.15">
      <c r="C67" s="99" t="s">
        <v>128</v>
      </c>
      <c r="D67" s="132"/>
      <c r="E67" s="99"/>
      <c r="F67" s="99"/>
      <c r="G67" s="99"/>
      <c r="H67" s="133"/>
      <c r="I67" s="134">
        <f>SUM(I63:I66)</f>
        <v>61.984999999999999</v>
      </c>
      <c r="J67" s="134">
        <f>SUM(J63:J66)</f>
        <v>117.864</v>
      </c>
      <c r="K67" s="134">
        <f>SUM(K63:K66)</f>
        <v>114.02100000000002</v>
      </c>
      <c r="L67" s="134">
        <f>SUM(L63:L66)</f>
        <v>293.87</v>
      </c>
    </row>
    <row r="68" spans="3:12" x14ac:dyDescent="0.15"/>
    <row r="69" spans="3:12" x14ac:dyDescent="0.15">
      <c r="C69" s="181" t="s">
        <v>151</v>
      </c>
      <c r="D69" s="181"/>
      <c r="E69" s="181"/>
      <c r="F69" s="181"/>
      <c r="G69" s="181"/>
      <c r="H69" s="181"/>
      <c r="I69" s="181"/>
      <c r="J69" s="181"/>
      <c r="K69" s="181"/>
      <c r="L69" s="181"/>
    </row>
    <row r="70" spans="3:12" x14ac:dyDescent="0.15"/>
    <row r="71" spans="3:12" x14ac:dyDescent="0.15">
      <c r="C71" s="99" t="s">
        <v>150</v>
      </c>
      <c r="I71" s="116" t="s">
        <v>5</v>
      </c>
      <c r="J71" s="116" t="s">
        <v>6</v>
      </c>
      <c r="K71" s="116" t="s">
        <v>7</v>
      </c>
    </row>
    <row r="72" spans="3:12" x14ac:dyDescent="0.15">
      <c r="C72" s="101" t="str">
        <f>$C$27</f>
        <v>22KV Dist Sub Outage</v>
      </c>
      <c r="I72" s="135">
        <f>'T3 Base'!I45*(1-'T3 Base'!$G$17)</f>
        <v>0.44000000000000039</v>
      </c>
      <c r="J72" s="135">
        <f>'T3 Base'!J45*(1-'T3 Base'!$G$17)</f>
        <v>1.1960000000000011</v>
      </c>
      <c r="K72" s="135">
        <f>'T3 Base'!K45*(1-'T3 Base'!$G$17)</f>
        <v>1.5210000000000012</v>
      </c>
    </row>
    <row r="73" spans="3:12" x14ac:dyDescent="0.15">
      <c r="C73" s="101" t="str">
        <f>$C$28</f>
        <v>HV 22kv ACR Outage</v>
      </c>
      <c r="I73" s="135">
        <f>'T3 Base'!I46*(1-'T3 Base'!$G$17)</f>
        <v>1.3000000000000012E-2</v>
      </c>
      <c r="J73" s="135">
        <f>'T3 Base'!J46*(1-'T3 Base'!$G$17)</f>
        <v>4.4000000000000046E-2</v>
      </c>
      <c r="K73" s="135">
        <f>'T3 Base'!K46*(1-'T3 Base'!$G$17)</f>
        <v>0.12700000000000011</v>
      </c>
    </row>
    <row r="74" spans="3:12" x14ac:dyDescent="0.15">
      <c r="C74" s="101" t="str">
        <f>$C$29</f>
        <v>HV 22KV CB Outage</v>
      </c>
      <c r="I74" s="135">
        <f>'T3 Base'!I47*(1-'T3 Base'!$G$17)</f>
        <v>3.9000000000000035E-2</v>
      </c>
      <c r="J74" s="135">
        <f>'T3 Base'!J47*(1-'T3 Base'!$G$17)</f>
        <v>4.7000000000000042E-2</v>
      </c>
      <c r="K74" s="135">
        <f>'T3 Base'!K47*(1-'T3 Base'!$G$17)</f>
        <v>1.8000000000000016E-2</v>
      </c>
    </row>
    <row r="75" spans="3:12" x14ac:dyDescent="0.15">
      <c r="C75" s="122" t="str">
        <f>$C$30</f>
        <v>HV 22KV Line Outage</v>
      </c>
      <c r="D75" s="123"/>
      <c r="E75" s="122"/>
      <c r="F75" s="122"/>
      <c r="G75" s="122"/>
      <c r="H75" s="124"/>
      <c r="I75" s="135">
        <f>'T3 Base'!I48*(1-'T3 Base'!$G$17)</f>
        <v>6.3000000000000056E-2</v>
      </c>
      <c r="J75" s="135">
        <f>'T3 Base'!J48*(1-'T3 Base'!$G$17)</f>
        <v>0.40900000000000036</v>
      </c>
      <c r="K75" s="135">
        <f>'T3 Base'!K48*(1-'T3 Base'!$G$17)</f>
        <v>0.5640000000000005</v>
      </c>
    </row>
    <row r="76" spans="3:12" x14ac:dyDescent="0.15"/>
    <row r="77" spans="3:12" x14ac:dyDescent="0.15">
      <c r="C77" s="99" t="s">
        <v>149</v>
      </c>
      <c r="I77" s="116" t="s">
        <v>5</v>
      </c>
      <c r="J77" s="116" t="s">
        <v>6</v>
      </c>
      <c r="K77" s="116" t="s">
        <v>7</v>
      </c>
    </row>
    <row r="78" spans="3:12" x14ac:dyDescent="0.15">
      <c r="C78" s="101" t="str">
        <f>$C$27</f>
        <v>22KV Dist Sub Outage</v>
      </c>
      <c r="I78" s="129">
        <f>('T3 Base'!I45-'T3 Base'!I72)*(1-'T3 Base'!$G5-'T3 Base'!$G11)</f>
        <v>70.048000000000002</v>
      </c>
      <c r="J78" s="129">
        <f>('T3 Base'!J45-'T3 Base'!J72)*(1-'T3 Base'!$G5-'T3 Base'!$G11)</f>
        <v>190.4032</v>
      </c>
      <c r="K78" s="129">
        <f>('T3 Base'!K45-'T3 Base'!K72)*(1-'T3 Base'!$G5-'T3 Base'!$G11)</f>
        <v>242.14319999999998</v>
      </c>
    </row>
    <row r="79" spans="3:12" x14ac:dyDescent="0.15">
      <c r="C79" s="101" t="str">
        <f>$C$28</f>
        <v>HV 22kv ACR Outage</v>
      </c>
      <c r="I79" s="129">
        <f>('T3 Base'!I46-'T3 Base'!I73)*(1-'T3 Base'!$G6-'T3 Base'!$G12)</f>
        <v>1.6815500000000001</v>
      </c>
      <c r="J79" s="129">
        <f>('T3 Base'!J46-'T3 Base'!J73)*(1-'T3 Base'!$G6-'T3 Base'!$G12)</f>
        <v>5.6914000000000007</v>
      </c>
      <c r="K79" s="129">
        <f>('T3 Base'!K46-'T3 Base'!K73)*(1-'T3 Base'!$G6-'T3 Base'!$G12)</f>
        <v>16.42745</v>
      </c>
    </row>
    <row r="80" spans="3:12" x14ac:dyDescent="0.15">
      <c r="C80" s="101" t="str">
        <f>$C$29</f>
        <v>HV 22KV CB Outage</v>
      </c>
      <c r="I80" s="129">
        <f>('T3 Base'!I47-'T3 Base'!I74)*(1-'T3 Base'!$G7-'T3 Base'!$G13)</f>
        <v>5.4326999999999996</v>
      </c>
      <c r="J80" s="129">
        <f>('T3 Base'!J47-'T3 Base'!J74)*(1-'T3 Base'!$G7-'T3 Base'!$G13)</f>
        <v>6.5470999999999995</v>
      </c>
      <c r="K80" s="129">
        <f>('T3 Base'!K47-'T3 Base'!K74)*(1-'T3 Base'!$G7-'T3 Base'!$G13)</f>
        <v>2.5073999999999996</v>
      </c>
    </row>
    <row r="81" spans="3:12" x14ac:dyDescent="0.15">
      <c r="C81" s="122" t="str">
        <f>$C$30</f>
        <v>HV 22KV Line Outage</v>
      </c>
      <c r="D81" s="123"/>
      <c r="E81" s="122"/>
      <c r="F81" s="122"/>
      <c r="G81" s="122"/>
      <c r="H81" s="124"/>
      <c r="I81" s="129">
        <f>('T3 Base'!I48-'T3 Base'!I75)*(1-'T3 Base'!$G8-'T3 Base'!$G14)</f>
        <v>6.8953499999999988</v>
      </c>
      <c r="J81" s="129">
        <f>('T3 Base'!J48-'T3 Base'!J75)*(1-'T3 Base'!$G8-'T3 Base'!$G14)</f>
        <v>44.765049999999988</v>
      </c>
      <c r="K81" s="129">
        <f>('T3 Base'!K48-'T3 Base'!K75)*(1-'T3 Base'!$G8-'T3 Base'!$G14)</f>
        <v>61.72979999999999</v>
      </c>
    </row>
    <row r="82" spans="3:12" x14ac:dyDescent="0.15"/>
    <row r="83" spans="3:12" x14ac:dyDescent="0.15">
      <c r="C83" s="99" t="s">
        <v>148</v>
      </c>
      <c r="I83" s="116" t="s">
        <v>5</v>
      </c>
      <c r="J83" s="116" t="s">
        <v>6</v>
      </c>
      <c r="K83" s="116" t="s">
        <v>7</v>
      </c>
    </row>
    <row r="84" spans="3:12" x14ac:dyDescent="0.15">
      <c r="C84" s="101" t="str">
        <f>$C$27</f>
        <v>22KV Dist Sub Outage</v>
      </c>
      <c r="I84" s="129">
        <f>('T3 Base'!I45-'T3 Base'!I72)*'T3 Base'!$G5</f>
        <v>15.7608</v>
      </c>
      <c r="J84" s="129">
        <f>('T3 Base'!J45-'T3 Base'!J72)*'T3 Base'!$G5</f>
        <v>42.840719999999997</v>
      </c>
      <c r="K84" s="129">
        <f>('T3 Base'!K45-'T3 Base'!K72)*'T3 Base'!$G5</f>
        <v>54.482219999999991</v>
      </c>
    </row>
    <row r="85" spans="3:12" x14ac:dyDescent="0.15">
      <c r="C85" s="101" t="str">
        <f>$C$28</f>
        <v>HV 22kv ACR Outage</v>
      </c>
      <c r="I85" s="129">
        <f>('T3 Base'!I46-'T3 Base'!I73)*'T3 Base'!$G6</f>
        <v>0.51740000000000008</v>
      </c>
      <c r="J85" s="129">
        <f>('T3 Base'!J46-'T3 Base'!J73)*'T3 Base'!$G6</f>
        <v>1.7512000000000001</v>
      </c>
      <c r="K85" s="129">
        <f>('T3 Base'!K46-'T3 Base'!K73)*'T3 Base'!$G6</f>
        <v>5.0546000000000006</v>
      </c>
    </row>
    <row r="86" spans="3:12" x14ac:dyDescent="0.15">
      <c r="C86" s="101" t="str">
        <f>$C$29</f>
        <v>HV 22KV CB Outage</v>
      </c>
      <c r="I86" s="129">
        <f>('T3 Base'!I47-'T3 Base'!I74)*'T3 Base'!$G7</f>
        <v>2.3283</v>
      </c>
      <c r="J86" s="129">
        <f>('T3 Base'!J47-'T3 Base'!J74)*'T3 Base'!$G7</f>
        <v>2.8058999999999998</v>
      </c>
      <c r="K86" s="129">
        <f>('T3 Base'!K47-'T3 Base'!K74)*'T3 Base'!$G7</f>
        <v>1.0746</v>
      </c>
    </row>
    <row r="87" spans="3:12" x14ac:dyDescent="0.15">
      <c r="C87" s="122" t="str">
        <f>$C$30</f>
        <v>HV 22KV Line Outage</v>
      </c>
      <c r="D87" s="123"/>
      <c r="E87" s="122"/>
      <c r="F87" s="122"/>
      <c r="G87" s="122"/>
      <c r="H87" s="124"/>
      <c r="I87" s="129">
        <f>('T3 Base'!I48-'T3 Base'!I75)*'T3 Base'!$G8</f>
        <v>3.7610999999999994</v>
      </c>
      <c r="J87" s="129">
        <f>('T3 Base'!J48-'T3 Base'!J75)*'T3 Base'!$G8</f>
        <v>24.417299999999997</v>
      </c>
      <c r="K87" s="129">
        <f>('T3 Base'!K48-'T3 Base'!K75)*'T3 Base'!$G8</f>
        <v>33.670799999999993</v>
      </c>
    </row>
    <row r="88" spans="3:12" x14ac:dyDescent="0.15"/>
    <row r="89" spans="3:12" x14ac:dyDescent="0.15">
      <c r="C89" s="99" t="s">
        <v>147</v>
      </c>
      <c r="I89" s="116" t="s">
        <v>5</v>
      </c>
      <c r="J89" s="116" t="s">
        <v>6</v>
      </c>
      <c r="K89" s="116" t="s">
        <v>7</v>
      </c>
    </row>
    <row r="90" spans="3:12" x14ac:dyDescent="0.15">
      <c r="C90" s="101" t="str">
        <f>$C$27</f>
        <v>22KV Dist Sub Outage</v>
      </c>
      <c r="I90" s="129">
        <f>('T3 Base'!I45-'T3 Base'!I72)*'T3 Base'!$G11</f>
        <v>1.7512000000000001</v>
      </c>
      <c r="J90" s="129">
        <f>('T3 Base'!J45-'T3 Base'!J72)*'T3 Base'!$G11</f>
        <v>4.7600800000000003</v>
      </c>
      <c r="K90" s="129">
        <f>('T3 Base'!K45-'T3 Base'!K72)*'T3 Base'!$G11</f>
        <v>6.0535799999999993</v>
      </c>
    </row>
    <row r="91" spans="3:12" x14ac:dyDescent="0.15">
      <c r="C91" s="101" t="str">
        <f>$C$28</f>
        <v>HV 22kv ACR Outage</v>
      </c>
      <c r="I91" s="129">
        <f>('T3 Base'!I46-'T3 Base'!I73)*'T3 Base'!$G12</f>
        <v>0.38805000000000001</v>
      </c>
      <c r="J91" s="129">
        <f>('T3 Base'!J46-'T3 Base'!J73)*'T3 Base'!$G12</f>
        <v>1.3133999999999999</v>
      </c>
      <c r="K91" s="129">
        <f>('T3 Base'!K46-'T3 Base'!K73)*'T3 Base'!$G12</f>
        <v>3.7909499999999996</v>
      </c>
    </row>
    <row r="92" spans="3:12" x14ac:dyDescent="0.15">
      <c r="C92" s="101" t="str">
        <f>$C$29</f>
        <v>HV 22KV CB Outage</v>
      </c>
      <c r="I92" s="129">
        <f>('T3 Base'!I47-'T3 Base'!I74)*'T3 Base'!$G13</f>
        <v>0</v>
      </c>
      <c r="J92" s="129">
        <f>('T3 Base'!J47-'T3 Base'!J74)*'T3 Base'!$G13</f>
        <v>0</v>
      </c>
      <c r="K92" s="129">
        <f>('T3 Base'!K47-'T3 Base'!K74)*'T3 Base'!$G13</f>
        <v>0</v>
      </c>
    </row>
    <row r="93" spans="3:12" x14ac:dyDescent="0.15">
      <c r="C93" s="122" t="str">
        <f>$C$30</f>
        <v>HV 22KV Line Outage</v>
      </c>
      <c r="D93" s="123"/>
      <c r="E93" s="122"/>
      <c r="F93" s="122"/>
      <c r="G93" s="122"/>
      <c r="H93" s="124"/>
      <c r="I93" s="129">
        <f>('T3 Base'!I48-'T3 Base'!I75)*'T3 Base'!$G14</f>
        <v>1.8805499999999997</v>
      </c>
      <c r="J93" s="129">
        <f>('T3 Base'!J48-'T3 Base'!J75)*'T3 Base'!$G14</f>
        <v>12.208649999999999</v>
      </c>
      <c r="K93" s="129">
        <f>('T3 Base'!K48-'T3 Base'!K75)*'T3 Base'!$G14</f>
        <v>16.835399999999996</v>
      </c>
    </row>
    <row r="94" spans="3:12" x14ac:dyDescent="0.15"/>
    <row r="95" spans="3:12" x14ac:dyDescent="0.15">
      <c r="C95" s="99" t="s">
        <v>146</v>
      </c>
      <c r="I95" s="116" t="s">
        <v>5</v>
      </c>
      <c r="J95" s="116" t="s">
        <v>6</v>
      </c>
      <c r="K95" s="116" t="s">
        <v>7</v>
      </c>
      <c r="L95" s="116" t="s">
        <v>8</v>
      </c>
    </row>
    <row r="96" spans="3:12" x14ac:dyDescent="0.15">
      <c r="C96" s="101" t="str">
        <f>$C$27</f>
        <v>22KV Dist Sub Outage</v>
      </c>
      <c r="I96" s="129">
        <f>'T3 Base'!I78+'T3 Base'!I72</f>
        <v>70.488</v>
      </c>
      <c r="J96" s="129">
        <f>'T3 Base'!J78+'T3 Base'!J72</f>
        <v>191.5992</v>
      </c>
      <c r="K96" s="129">
        <f>'T3 Base'!K78+'T3 Base'!K72</f>
        <v>243.66419999999999</v>
      </c>
      <c r="L96" s="129">
        <f>SUM(I96:K96)</f>
        <v>505.75139999999999</v>
      </c>
    </row>
    <row r="97" spans="3:12" x14ac:dyDescent="0.15">
      <c r="C97" s="101" t="str">
        <f>$C$28</f>
        <v>HV 22kv ACR Outage</v>
      </c>
      <c r="I97" s="129">
        <f>'T3 Base'!I79+'T3 Base'!I73</f>
        <v>1.69455</v>
      </c>
      <c r="J97" s="129">
        <f>'T3 Base'!J79+'T3 Base'!J73</f>
        <v>5.7354000000000012</v>
      </c>
      <c r="K97" s="129">
        <f>'T3 Base'!K79+'T3 Base'!K73</f>
        <v>16.554449999999999</v>
      </c>
      <c r="L97" s="129">
        <f>SUM(I97:K97)</f>
        <v>23.984400000000001</v>
      </c>
    </row>
    <row r="98" spans="3:12" x14ac:dyDescent="0.15">
      <c r="C98" s="101" t="str">
        <f>$C$29</f>
        <v>HV 22KV CB Outage</v>
      </c>
      <c r="I98" s="129">
        <f>'T3 Base'!I80+'T3 Base'!I74+'T3 Base'!I92+'T3 Base'!I90+'T3 Base'!I91+'T3 Base'!I93</f>
        <v>9.4914999999999985</v>
      </c>
      <c r="J98" s="129">
        <f>'T3 Base'!J80+'T3 Base'!J74+'T3 Base'!J92+'T3 Base'!J90+'T3 Base'!J91+'T3 Base'!J93</f>
        <v>24.87623</v>
      </c>
      <c r="K98" s="129">
        <f>'T3 Base'!K80+'T3 Base'!K74+'T3 Base'!K92+'T3 Base'!K90+'T3 Base'!K91+'T3 Base'!K93</f>
        <v>29.205329999999993</v>
      </c>
      <c r="L98" s="129">
        <f>SUM(I98:K98)</f>
        <v>63.573059999999984</v>
      </c>
    </row>
    <row r="99" spans="3:12" x14ac:dyDescent="0.15">
      <c r="C99" s="122" t="str">
        <f>$C$30</f>
        <v>HV 22KV Line Outage</v>
      </c>
      <c r="D99" s="123"/>
      <c r="E99" s="122"/>
      <c r="F99" s="122"/>
      <c r="G99" s="122"/>
      <c r="H99" s="124"/>
      <c r="I99" s="129">
        <f>'T3 Base'!I81+'T3 Base'!I75</f>
        <v>6.9583499999999985</v>
      </c>
      <c r="J99" s="129">
        <f>'T3 Base'!J81+'T3 Base'!J75</f>
        <v>45.174049999999987</v>
      </c>
      <c r="K99" s="129">
        <f>'T3 Base'!K81+'T3 Base'!K75</f>
        <v>62.29379999999999</v>
      </c>
      <c r="L99" s="129">
        <f>SUM(I99:K99)</f>
        <v>114.42619999999997</v>
      </c>
    </row>
    <row r="100" spans="3:12" x14ac:dyDescent="0.15"/>
    <row r="101" spans="3:12" x14ac:dyDescent="0.15">
      <c r="C101" s="99" t="s">
        <v>145</v>
      </c>
      <c r="I101" s="116" t="s">
        <v>5</v>
      </c>
      <c r="J101" s="116" t="s">
        <v>6</v>
      </c>
      <c r="K101" s="116" t="s">
        <v>7</v>
      </c>
      <c r="L101" s="116" t="s">
        <v>8</v>
      </c>
    </row>
    <row r="102" spans="3:12" x14ac:dyDescent="0.15">
      <c r="C102" s="101" t="str">
        <f>$C$27</f>
        <v>22KV Dist Sub Outage</v>
      </c>
      <c r="D102" s="125"/>
      <c r="I102" s="129">
        <f>'T3 Base'!I96*'T3 Base'!I57</f>
        <v>348999.8652</v>
      </c>
      <c r="J102" s="129">
        <f>'T3 Base'!J96*'T3 Base'!J57</f>
        <v>472446.62099999998</v>
      </c>
      <c r="K102" s="129">
        <f>'T3 Base'!K96*'T3 Base'!K57</f>
        <v>420646.59180000005</v>
      </c>
      <c r="L102" s="129">
        <f>SUM(I102:K102)</f>
        <v>1242093.078</v>
      </c>
    </row>
    <row r="103" spans="3:12" x14ac:dyDescent="0.15">
      <c r="C103" s="101" t="str">
        <f>$C$28</f>
        <v>HV 22kv ACR Outage</v>
      </c>
      <c r="D103" s="125"/>
      <c r="I103" s="129">
        <f>'T3 Base'!I97*'T3 Base'!I58</f>
        <v>381413.74590000004</v>
      </c>
      <c r="J103" s="129">
        <f>'T3 Base'!J97*'T3 Base'!J58</f>
        <v>750535.87785000005</v>
      </c>
      <c r="K103" s="129">
        <f>'T3 Base'!K97*'T3 Base'!K58</f>
        <v>1824312.6428999999</v>
      </c>
      <c r="L103" s="129">
        <f>SUM(I103:K103)</f>
        <v>2956262.2666499997</v>
      </c>
    </row>
    <row r="104" spans="3:12" x14ac:dyDescent="0.15">
      <c r="C104" s="101" t="str">
        <f>$C$29</f>
        <v>HV 22KV CB Outage</v>
      </c>
      <c r="D104" s="125"/>
      <c r="I104" s="129">
        <f>'T3 Base'!I98*'T3 Base'!I59</f>
        <v>1779718.5531794869</v>
      </c>
      <c r="J104" s="129">
        <f>'T3 Base'!J98*'T3 Base'!J59</f>
        <v>5030124.0219429787</v>
      </c>
      <c r="K104" s="129">
        <f>'T3 Base'!K98*'T3 Base'!K59</f>
        <v>4863451.6511349985</v>
      </c>
      <c r="L104" s="129">
        <f>SUM(I104:K104)</f>
        <v>11673294.226257464</v>
      </c>
    </row>
    <row r="105" spans="3:12" x14ac:dyDescent="0.15">
      <c r="C105" s="122" t="str">
        <f>$C$30</f>
        <v>HV 22KV Line Outage</v>
      </c>
      <c r="D105" s="127"/>
      <c r="E105" s="122"/>
      <c r="F105" s="122"/>
      <c r="G105" s="122"/>
      <c r="H105" s="124"/>
      <c r="I105" s="129">
        <f>'T3 Base'!I99*'T3 Base'!I60</f>
        <v>179613.67954999997</v>
      </c>
      <c r="J105" s="129">
        <f>'T3 Base'!J99*'T3 Base'!J60</f>
        <v>938061.34869999974</v>
      </c>
      <c r="K105" s="129">
        <f>'T3 Base'!K99*'T3 Base'!K60</f>
        <v>686380.81134999997</v>
      </c>
      <c r="L105" s="129">
        <f>SUM(I105:K105)</f>
        <v>1804055.8395999996</v>
      </c>
    </row>
    <row r="106" spans="3:12" x14ac:dyDescent="0.15"/>
    <row r="107" spans="3:12" x14ac:dyDescent="0.15">
      <c r="C107" s="99" t="s">
        <v>129</v>
      </c>
      <c r="I107" s="116" t="s">
        <v>5</v>
      </c>
      <c r="J107" s="116" t="s">
        <v>6</v>
      </c>
      <c r="K107" s="116" t="s">
        <v>7</v>
      </c>
      <c r="L107" s="116" t="s">
        <v>8</v>
      </c>
    </row>
    <row r="108" spans="3:12" x14ac:dyDescent="0.15">
      <c r="C108" s="101" t="str">
        <f>$C$27</f>
        <v>22KV Dist Sub Outage</v>
      </c>
      <c r="I108" s="131">
        <f>ROUND(('T3 Base'!I102*('T3 Base'!$G$18/('T3 Base'!$G$19*365*24*60))),3)</f>
        <v>7.702</v>
      </c>
      <c r="J108" s="131">
        <f>ROUND(('T3 Base'!J102*('T3 Base'!$G$18/('T3 Base'!$G$19*365*24*60))),3)</f>
        <v>10.426</v>
      </c>
      <c r="K108" s="131">
        <f>ROUND(('T3 Base'!K102*('T3 Base'!$G$18/('T3 Base'!$G$19*365*24*60))),3)</f>
        <v>9.2829999999999995</v>
      </c>
      <c r="L108" s="131">
        <f>ROUND(('T3 Base'!L102*('T3 Base'!$G$18/('T3 Base'!$G$19*365*24*60))),3)</f>
        <v>27.411000000000001</v>
      </c>
    </row>
    <row r="109" spans="3:12" x14ac:dyDescent="0.15">
      <c r="C109" s="101" t="str">
        <f>$C$28</f>
        <v>HV 22kv ACR Outage</v>
      </c>
      <c r="I109" s="131">
        <f>ROUND(('T3 Base'!I103*('T3 Base'!$G$18/('T3 Base'!$G$19*365*24*60))),3)</f>
        <v>8.4169999999999998</v>
      </c>
      <c r="J109" s="131">
        <f>ROUND(('T3 Base'!J103*('T3 Base'!$G$18/('T3 Base'!$G$19*365*24*60))),3)</f>
        <v>16.562999999999999</v>
      </c>
      <c r="K109" s="131">
        <f>ROUND(('T3 Base'!K103*('T3 Base'!$G$18/('T3 Base'!$G$19*365*24*60))),3)</f>
        <v>40.26</v>
      </c>
      <c r="L109" s="131">
        <f>ROUND(('T3 Base'!L103*('T3 Base'!$G$18/('T3 Base'!$G$19*365*24*60))),3)</f>
        <v>65.241</v>
      </c>
    </row>
    <row r="110" spans="3:12" x14ac:dyDescent="0.15">
      <c r="C110" s="101" t="str">
        <f>$C$29</f>
        <v>HV 22KV CB Outage</v>
      </c>
      <c r="I110" s="131">
        <f>ROUND(('T3 Base'!I104*('T3 Base'!$G$18/('T3 Base'!$G$19*365*24*60))),3)</f>
        <v>39.276000000000003</v>
      </c>
      <c r="J110" s="131">
        <f>ROUND(('T3 Base'!J104*('T3 Base'!$G$18/('T3 Base'!$G$19*365*24*60))),3)</f>
        <v>111.009</v>
      </c>
      <c r="K110" s="131">
        <f>ROUND(('T3 Base'!K104*('T3 Base'!$G$18/('T3 Base'!$G$19*365*24*60))),3)</f>
        <v>107.33</v>
      </c>
      <c r="L110" s="131">
        <f>ROUND(('T3 Base'!L104*('T3 Base'!$G$18/('T3 Base'!$G$19*365*24*60))),3)</f>
        <v>257.61500000000001</v>
      </c>
    </row>
    <row r="111" spans="3:12" x14ac:dyDescent="0.15">
      <c r="C111" s="122" t="str">
        <f>$C$30</f>
        <v>HV 22KV Line Outage</v>
      </c>
      <c r="D111" s="123"/>
      <c r="E111" s="122"/>
      <c r="F111" s="122"/>
      <c r="G111" s="122"/>
      <c r="H111" s="124"/>
      <c r="I111" s="131">
        <f>ROUND(('T3 Base'!I105*('T3 Base'!$G$18/('T3 Base'!$G$19*365*24*60))),3)</f>
        <v>3.964</v>
      </c>
      <c r="J111" s="131">
        <f>ROUND(('T3 Base'!J105*('T3 Base'!$G$18/('T3 Base'!$G$19*365*24*60))),3)</f>
        <v>20.702000000000002</v>
      </c>
      <c r="K111" s="131">
        <f>ROUND(('T3 Base'!K105*('T3 Base'!$G$18/('T3 Base'!$G$19*365*24*60))),3)</f>
        <v>15.148</v>
      </c>
      <c r="L111" s="131">
        <f>ROUND(('T3 Base'!L105*('T3 Base'!$G$18/('T3 Base'!$G$19*365*24*60))),3)</f>
        <v>39.813000000000002</v>
      </c>
    </row>
    <row r="112" spans="3:12" x14ac:dyDescent="0.15">
      <c r="C112" s="99" t="s">
        <v>128</v>
      </c>
      <c r="D112" s="132"/>
      <c r="E112" s="99"/>
      <c r="F112" s="99"/>
      <c r="G112" s="99"/>
      <c r="H112" s="133"/>
      <c r="I112" s="134">
        <f>SUM(I108:I111)</f>
        <v>59.359000000000002</v>
      </c>
      <c r="J112" s="134">
        <f>SUM(J108:J111)</f>
        <v>158.69999999999999</v>
      </c>
      <c r="K112" s="134">
        <f>SUM(K108:K111)</f>
        <v>172.02099999999999</v>
      </c>
      <c r="L112" s="134">
        <f>SUM(L108:L111)</f>
        <v>390.08</v>
      </c>
    </row>
    <row r="113" spans="1:12" x14ac:dyDescent="0.15"/>
    <row r="114" spans="1:12" x14ac:dyDescent="0.15">
      <c r="A114" s="103" t="s">
        <v>144</v>
      </c>
      <c r="B114" s="103"/>
      <c r="C114" s="103"/>
      <c r="D114" s="104"/>
      <c r="E114" s="105"/>
      <c r="F114" s="105"/>
      <c r="G114" s="105"/>
      <c r="H114" s="95"/>
      <c r="I114" s="105"/>
      <c r="J114" s="105"/>
      <c r="K114" s="105"/>
      <c r="L114" s="105"/>
    </row>
    <row r="115" spans="1:12" x14ac:dyDescent="0.15"/>
    <row r="116" spans="1:12" hidden="1" x14ac:dyDescent="0.15"/>
    <row r="117" spans="1:12" hidden="1" x14ac:dyDescent="0.15"/>
    <row r="118" spans="1:12" hidden="1" x14ac:dyDescent="0.15"/>
    <row r="119" spans="1:12" hidden="1" x14ac:dyDescent="0.15"/>
    <row r="120" spans="1:12" hidden="1" x14ac:dyDescent="0.15"/>
    <row r="121" spans="1:12" hidden="1" x14ac:dyDescent="0.15"/>
    <row r="122" spans="1:12" hidden="1" x14ac:dyDescent="0.15"/>
    <row r="123" spans="1:12" hidden="1" x14ac:dyDescent="0.15"/>
    <row r="124" spans="1:12" hidden="1" x14ac:dyDescent="0.15"/>
    <row r="125" spans="1:12" hidden="1" x14ac:dyDescent="0.15"/>
    <row r="126" spans="1:12" hidden="1" x14ac:dyDescent="0.15"/>
    <row r="127" spans="1:12" hidden="1" x14ac:dyDescent="0.15"/>
    <row r="128" spans="1:12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  <row r="167" hidden="1" x14ac:dyDescent="0.15"/>
    <row r="168" hidden="1" x14ac:dyDescent="0.15"/>
    <row r="169" hidden="1" x14ac:dyDescent="0.15"/>
    <row r="170" hidden="1" x14ac:dyDescent="0.15"/>
    <row r="171" hidden="1" x14ac:dyDescent="0.15"/>
    <row r="172" hidden="1" x14ac:dyDescent="0.15"/>
    <row r="173" hidden="1" x14ac:dyDescent="0.15"/>
    <row r="174" hidden="1" x14ac:dyDescent="0.15"/>
    <row r="175" hidden="1" x14ac:dyDescent="0.15"/>
    <row r="176" hidden="1" x14ac:dyDescent="0.15"/>
    <row r="177" hidden="1" x14ac:dyDescent="0.15"/>
    <row r="178" hidden="1" x14ac:dyDescent="0.15"/>
    <row r="179" hidden="1" x14ac:dyDescent="0.15"/>
  </sheetData>
  <sheetProtection formatCells="0" formatColumns="0" formatRows="0" autoFilter="0"/>
  <mergeCells count="2">
    <mergeCell ref="C42:L42"/>
    <mergeCell ref="C69:L69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 summaryRight="0"/>
    <pageSetUpPr autoPageBreaks="0" fitToPage="1"/>
  </sheetPr>
  <dimension ref="A1:M181"/>
  <sheetViews>
    <sheetView showGridLines="0" zoomScaleNormal="100" zoomScaleSheetLayoutView="85" workbookViewId="0"/>
  </sheetViews>
  <sheetFormatPr defaultColWidth="0" defaultRowHeight="11.25" zeroHeight="1" outlineLevelRow="1" x14ac:dyDescent="0.15"/>
  <cols>
    <col min="1" max="2" width="2.375" style="98" customWidth="1"/>
    <col min="3" max="3" width="2.375" style="99" customWidth="1"/>
    <col min="4" max="4" width="2.375" style="100" customWidth="1"/>
    <col min="5" max="5" width="20.5" style="101" customWidth="1"/>
    <col min="6" max="6" width="5.875" style="101" customWidth="1"/>
    <col min="7" max="7" width="9.25" style="101" bestFit="1" customWidth="1"/>
    <col min="8" max="8" width="10" style="94" customWidth="1"/>
    <col min="9" max="12" width="10.25" style="101" customWidth="1"/>
    <col min="13" max="13" width="2.375" style="102" customWidth="1"/>
    <col min="14" max="16384" width="7.75" style="102" hidden="1"/>
  </cols>
  <sheetData>
    <row r="1" spans="1:12" x14ac:dyDescent="0.15"/>
    <row r="2" spans="1:12" x14ac:dyDescent="0.15">
      <c r="A2" s="103" t="s">
        <v>171</v>
      </c>
      <c r="B2" s="103"/>
      <c r="C2" s="103"/>
      <c r="D2" s="104"/>
      <c r="E2" s="105"/>
      <c r="F2" s="105"/>
      <c r="G2" s="105"/>
      <c r="H2" s="95"/>
      <c r="I2" s="105"/>
      <c r="J2" s="105"/>
      <c r="K2" s="105"/>
      <c r="L2" s="105"/>
    </row>
    <row r="3" spans="1:12" collapsed="1" x14ac:dyDescent="0.15">
      <c r="D3" s="106"/>
    </row>
    <row r="4" spans="1:12" hidden="1" outlineLevel="1" x14ac:dyDescent="0.15">
      <c r="C4" s="107" t="s">
        <v>170</v>
      </c>
      <c r="D4" s="106"/>
      <c r="H4" s="101"/>
      <c r="I4" s="96"/>
      <c r="J4" s="96"/>
      <c r="K4" s="96"/>
      <c r="L4" s="96"/>
    </row>
    <row r="5" spans="1:12" hidden="1" outlineLevel="1" x14ac:dyDescent="0.15">
      <c r="C5" s="101" t="s">
        <v>1</v>
      </c>
      <c r="D5" s="106"/>
      <c r="G5" s="108">
        <v>0.18</v>
      </c>
      <c r="H5" s="96" t="s">
        <v>165</v>
      </c>
      <c r="I5" s="96"/>
      <c r="J5" s="96"/>
      <c r="K5" s="96"/>
      <c r="L5" s="96"/>
    </row>
    <row r="6" spans="1:12" hidden="1" outlineLevel="1" x14ac:dyDescent="0.15">
      <c r="C6" s="101" t="s">
        <v>2</v>
      </c>
      <c r="D6" s="106"/>
      <c r="G6" s="108">
        <v>0.2</v>
      </c>
      <c r="H6" s="96" t="s">
        <v>165</v>
      </c>
      <c r="I6" s="96"/>
      <c r="J6" s="96"/>
      <c r="K6" s="96"/>
      <c r="L6" s="96"/>
    </row>
    <row r="7" spans="1:12" hidden="1" outlineLevel="1" x14ac:dyDescent="0.15">
      <c r="C7" s="101" t="s">
        <v>3</v>
      </c>
      <c r="D7" s="106"/>
      <c r="G7" s="108">
        <v>0.3</v>
      </c>
      <c r="H7" s="96" t="s">
        <v>165</v>
      </c>
      <c r="I7" s="96"/>
      <c r="J7" s="96"/>
      <c r="K7" s="96"/>
      <c r="L7" s="96"/>
    </row>
    <row r="8" spans="1:12" hidden="1" outlineLevel="1" x14ac:dyDescent="0.15">
      <c r="C8" s="101" t="s">
        <v>4</v>
      </c>
      <c r="D8" s="106"/>
      <c r="G8" s="108">
        <v>0.3</v>
      </c>
      <c r="H8" s="96" t="s">
        <v>165</v>
      </c>
      <c r="I8" s="96"/>
      <c r="J8" s="96"/>
      <c r="K8" s="96"/>
      <c r="L8" s="96"/>
    </row>
    <row r="9" spans="1:12" hidden="1" outlineLevel="1" x14ac:dyDescent="0.15">
      <c r="C9" s="101"/>
      <c r="D9" s="106"/>
      <c r="H9" s="96"/>
      <c r="I9" s="96"/>
      <c r="J9" s="96"/>
      <c r="K9" s="96"/>
      <c r="L9" s="96"/>
    </row>
    <row r="10" spans="1:12" hidden="1" outlineLevel="1" x14ac:dyDescent="0.15">
      <c r="C10" s="107" t="s">
        <v>169</v>
      </c>
      <c r="D10" s="106"/>
      <c r="H10" s="96"/>
      <c r="I10" s="96"/>
      <c r="J10" s="96"/>
      <c r="K10" s="96"/>
      <c r="L10" s="96"/>
    </row>
    <row r="11" spans="1:12" hidden="1" outlineLevel="1" x14ac:dyDescent="0.15">
      <c r="C11" s="101" t="s">
        <v>1</v>
      </c>
      <c r="D11" s="106"/>
      <c r="G11" s="108">
        <v>0.02</v>
      </c>
      <c r="H11" s="96" t="s">
        <v>165</v>
      </c>
      <c r="I11" s="96"/>
      <c r="J11" s="96"/>
      <c r="K11" s="96"/>
      <c r="L11" s="96"/>
    </row>
    <row r="12" spans="1:12" hidden="1" outlineLevel="1" x14ac:dyDescent="0.15">
      <c r="C12" s="101" t="s">
        <v>2</v>
      </c>
      <c r="D12" s="106"/>
      <c r="G12" s="108">
        <v>0</v>
      </c>
      <c r="H12" s="96" t="s">
        <v>165</v>
      </c>
      <c r="I12" s="96"/>
      <c r="J12" s="96"/>
      <c r="K12" s="96"/>
      <c r="L12" s="96"/>
    </row>
    <row r="13" spans="1:12" hidden="1" outlineLevel="1" x14ac:dyDescent="0.15">
      <c r="C13" s="101" t="s">
        <v>3</v>
      </c>
      <c r="D13" s="106"/>
      <c r="G13" s="108">
        <v>0</v>
      </c>
      <c r="H13" s="96" t="s">
        <v>165</v>
      </c>
      <c r="I13" s="96"/>
      <c r="J13" s="96"/>
      <c r="K13" s="96"/>
      <c r="L13" s="96"/>
    </row>
    <row r="14" spans="1:12" hidden="1" outlineLevel="1" x14ac:dyDescent="0.15">
      <c r="C14" s="101" t="s">
        <v>4</v>
      </c>
      <c r="D14" s="106"/>
      <c r="G14" s="108">
        <v>0.15</v>
      </c>
      <c r="H14" s="96" t="s">
        <v>165</v>
      </c>
      <c r="I14" s="96"/>
      <c r="J14" s="96"/>
      <c r="K14" s="96"/>
      <c r="L14" s="96"/>
    </row>
    <row r="15" spans="1:12" hidden="1" outlineLevel="1" x14ac:dyDescent="0.15">
      <c r="C15" s="101"/>
      <c r="D15" s="106"/>
    </row>
    <row r="16" spans="1:12" hidden="1" outlineLevel="1" x14ac:dyDescent="0.15">
      <c r="C16" s="101" t="s">
        <v>174</v>
      </c>
      <c r="D16" s="106"/>
      <c r="G16" s="108">
        <v>0.5</v>
      </c>
      <c r="H16" s="96" t="s">
        <v>165</v>
      </c>
    </row>
    <row r="17" spans="1:12" hidden="1" outlineLevel="1" x14ac:dyDescent="0.15">
      <c r="C17" s="101"/>
      <c r="D17" s="106"/>
    </row>
    <row r="18" spans="1:12" hidden="1" outlineLevel="1" x14ac:dyDescent="0.15">
      <c r="C18" s="101" t="s">
        <v>168</v>
      </c>
      <c r="D18" s="109"/>
      <c r="G18" s="110">
        <v>5</v>
      </c>
      <c r="H18" s="96" t="s">
        <v>167</v>
      </c>
    </row>
    <row r="19" spans="1:12" hidden="1" outlineLevel="1" x14ac:dyDescent="0.15">
      <c r="C19" s="101" t="s">
        <v>166</v>
      </c>
      <c r="D19" s="109"/>
      <c r="G19" s="111">
        <v>0.995</v>
      </c>
      <c r="H19" s="96" t="s">
        <v>165</v>
      </c>
    </row>
    <row r="20" spans="1:12" hidden="1" outlineLevel="1" x14ac:dyDescent="0.15">
      <c r="C20" s="101" t="s">
        <v>17</v>
      </c>
      <c r="D20" s="109"/>
      <c r="G20" s="139">
        <f>'2021-2026 Unserved Energy'!$C$5</f>
        <v>9415128.2345357668</v>
      </c>
      <c r="H20" s="96" t="s">
        <v>157</v>
      </c>
    </row>
    <row r="21" spans="1:12" hidden="1" outlineLevel="1" x14ac:dyDescent="0.15">
      <c r="C21" s="101" t="s">
        <v>164</v>
      </c>
      <c r="D21" s="109"/>
      <c r="G21" s="139">
        <f>'2021-2026 Unserved Energy'!$C$6</f>
        <v>811694</v>
      </c>
      <c r="H21" s="96" t="s">
        <v>163</v>
      </c>
    </row>
    <row r="22" spans="1:12" ht="14.25" hidden="1" customHeight="1" outlineLevel="1" x14ac:dyDescent="0.15">
      <c r="C22" s="101"/>
      <c r="D22" s="109"/>
    </row>
    <row r="23" spans="1:12" hidden="1" outlineLevel="1" x14ac:dyDescent="0.15">
      <c r="C23" s="101" t="s">
        <v>162</v>
      </c>
      <c r="G23" s="112" t="s">
        <v>161</v>
      </c>
      <c r="H23" s="96" t="s">
        <v>157</v>
      </c>
    </row>
    <row r="24" spans="1:12" hidden="1" outlineLevel="1" x14ac:dyDescent="0.15">
      <c r="C24" s="101" t="s">
        <v>160</v>
      </c>
      <c r="G24" s="112" t="s">
        <v>159</v>
      </c>
      <c r="H24" s="96" t="s">
        <v>157</v>
      </c>
    </row>
    <row r="25" spans="1:12" hidden="1" outlineLevel="1" x14ac:dyDescent="0.15">
      <c r="D25" s="109"/>
    </row>
    <row r="26" spans="1:12" hidden="1" outlineLevel="1" x14ac:dyDescent="0.15">
      <c r="A26" s="113"/>
      <c r="B26" s="113" t="s">
        <v>158</v>
      </c>
      <c r="C26" s="113"/>
      <c r="D26" s="114"/>
      <c r="E26" s="113"/>
      <c r="F26" s="115"/>
      <c r="G26" s="115"/>
      <c r="H26" s="97"/>
      <c r="I26" s="115"/>
      <c r="J26" s="115"/>
      <c r="K26" s="115"/>
      <c r="L26" s="115"/>
    </row>
    <row r="27" spans="1:12" ht="13.15" hidden="1" customHeight="1" outlineLevel="1" x14ac:dyDescent="0.15">
      <c r="D27" s="106"/>
    </row>
    <row r="28" spans="1:12" ht="13.15" hidden="1" customHeight="1" outlineLevel="1" x14ac:dyDescent="0.15">
      <c r="D28" s="106"/>
      <c r="E28" s="109"/>
      <c r="I28" s="116" t="s">
        <v>5</v>
      </c>
      <c r="J28" s="116" t="s">
        <v>6</v>
      </c>
      <c r="K28" s="116" t="s">
        <v>7</v>
      </c>
    </row>
    <row r="29" spans="1:12" ht="13.15" hidden="1" customHeight="1" outlineLevel="1" x14ac:dyDescent="0.15">
      <c r="A29" s="101"/>
      <c r="B29" s="101"/>
      <c r="C29" s="117" t="s">
        <v>1</v>
      </c>
      <c r="D29" s="118"/>
      <c r="E29" s="117"/>
      <c r="H29" s="96" t="s">
        <v>157</v>
      </c>
      <c r="I29" s="142">
        <f>'T1 Base'!I27</f>
        <v>62</v>
      </c>
      <c r="J29" s="142">
        <f>'T1 Base'!J27</f>
        <v>660</v>
      </c>
      <c r="K29" s="142">
        <f>'T1 Base'!K27</f>
        <v>2016</v>
      </c>
    </row>
    <row r="30" spans="1:12" ht="13.15" hidden="1" customHeight="1" outlineLevel="1" x14ac:dyDescent="0.15">
      <c r="C30" s="117" t="s">
        <v>2</v>
      </c>
      <c r="D30" s="118"/>
      <c r="E30" s="117"/>
      <c r="H30" s="96" t="s">
        <v>157</v>
      </c>
      <c r="I30" s="142">
        <f>'T1 Base'!I28</f>
        <v>0</v>
      </c>
      <c r="J30" s="142">
        <f>'T1 Base'!J28</f>
        <v>25</v>
      </c>
      <c r="K30" s="142">
        <f>'T1 Base'!K28</f>
        <v>150</v>
      </c>
    </row>
    <row r="31" spans="1:12" ht="13.15" hidden="1" customHeight="1" outlineLevel="1" x14ac:dyDescent="0.15">
      <c r="C31" s="117" t="s">
        <v>3</v>
      </c>
      <c r="D31" s="118"/>
      <c r="E31" s="117"/>
      <c r="H31" s="96" t="s">
        <v>157</v>
      </c>
      <c r="I31" s="142">
        <f>'T1 Base'!I29</f>
        <v>16</v>
      </c>
      <c r="J31" s="142">
        <f>'T1 Base'!J29</f>
        <v>38</v>
      </c>
      <c r="K31" s="142">
        <f>'T1 Base'!K29</f>
        <v>108</v>
      </c>
    </row>
    <row r="32" spans="1:12" ht="13.15" hidden="1" customHeight="1" outlineLevel="1" x14ac:dyDescent="0.15">
      <c r="C32" s="117" t="s">
        <v>4</v>
      </c>
      <c r="D32" s="118"/>
      <c r="E32" s="117"/>
      <c r="H32" s="96" t="s">
        <v>157</v>
      </c>
      <c r="I32" s="142">
        <f>'T1 Base'!I30</f>
        <v>11</v>
      </c>
      <c r="J32" s="142">
        <f>'T1 Base'!J30</f>
        <v>224</v>
      </c>
      <c r="K32" s="142">
        <f>'T1 Base'!K30</f>
        <v>1035</v>
      </c>
    </row>
    <row r="33" spans="1:12" hidden="1" outlineLevel="1" x14ac:dyDescent="0.15">
      <c r="D33" s="109"/>
    </row>
    <row r="34" spans="1:12" hidden="1" outlineLevel="1" x14ac:dyDescent="0.15">
      <c r="A34" s="113"/>
      <c r="B34" s="113" t="s">
        <v>156</v>
      </c>
      <c r="C34" s="113"/>
      <c r="D34" s="114"/>
      <c r="E34" s="113"/>
      <c r="F34" s="115"/>
      <c r="G34" s="115"/>
      <c r="H34" s="97"/>
      <c r="I34" s="115"/>
      <c r="J34" s="115"/>
      <c r="K34" s="115"/>
      <c r="L34" s="115"/>
    </row>
    <row r="35" spans="1:12" ht="13.15" hidden="1" customHeight="1" outlineLevel="1" x14ac:dyDescent="0.15">
      <c r="D35" s="109"/>
    </row>
    <row r="36" spans="1:12" ht="13.15" hidden="1" customHeight="1" outlineLevel="1" x14ac:dyDescent="0.15">
      <c r="A36" s="101"/>
      <c r="B36" s="101"/>
      <c r="C36" s="101"/>
      <c r="E36" s="109"/>
      <c r="H36" s="96"/>
      <c r="I36" s="116" t="s">
        <v>5</v>
      </c>
      <c r="J36" s="116" t="s">
        <v>6</v>
      </c>
      <c r="K36" s="116" t="s">
        <v>7</v>
      </c>
    </row>
    <row r="37" spans="1:12" ht="13.15" hidden="1" customHeight="1" outlineLevel="1" x14ac:dyDescent="0.15">
      <c r="C37" s="101" t="str">
        <f>$C$29</f>
        <v>22KV Dist Sub Outage</v>
      </c>
      <c r="D37" s="109"/>
      <c r="H37" s="96" t="s">
        <v>155</v>
      </c>
      <c r="I37" s="143">
        <f>'T1 Base'!I35</f>
        <v>344072</v>
      </c>
      <c r="J37" s="143">
        <f>'T1 Base'!J35</f>
        <v>1206349</v>
      </c>
      <c r="K37" s="143">
        <f>'T1 Base'!K35</f>
        <v>2420031</v>
      </c>
    </row>
    <row r="38" spans="1:12" ht="13.15" hidden="1" customHeight="1" outlineLevel="1" x14ac:dyDescent="0.15">
      <c r="C38" s="101" t="str">
        <f>$C$30</f>
        <v>HV 22kv ACR Outage</v>
      </c>
      <c r="D38" s="109"/>
      <c r="H38" s="96" t="s">
        <v>155</v>
      </c>
      <c r="I38" s="143">
        <f>'T1 Base'!I36</f>
        <v>0</v>
      </c>
      <c r="J38" s="143">
        <f>'T1 Base'!J36</f>
        <v>2641685</v>
      </c>
      <c r="K38" s="143">
        <f>'T1 Base'!K36</f>
        <v>20379440</v>
      </c>
    </row>
    <row r="39" spans="1:12" ht="13.15" hidden="1" customHeight="1" outlineLevel="1" x14ac:dyDescent="0.15">
      <c r="C39" s="101" t="str">
        <f>$C$31</f>
        <v>HV 22KV CB Outage</v>
      </c>
      <c r="D39" s="109"/>
      <c r="H39" s="96" t="s">
        <v>155</v>
      </c>
      <c r="I39" s="143">
        <f>'T1 Base'!I37</f>
        <v>965148</v>
      </c>
      <c r="J39" s="143">
        <f>'T1 Base'!J37</f>
        <v>5106648</v>
      </c>
      <c r="K39" s="143">
        <f>'T1 Base'!K37</f>
        <v>26872740</v>
      </c>
    </row>
    <row r="40" spans="1:12" ht="13.15" hidden="1" customHeight="1" outlineLevel="1" x14ac:dyDescent="0.15">
      <c r="C40" s="101" t="str">
        <f>$C$32</f>
        <v>HV 22KV Line Outage</v>
      </c>
      <c r="D40" s="109"/>
      <c r="H40" s="96" t="s">
        <v>155</v>
      </c>
      <c r="I40" s="143">
        <f>'T1 Base'!I38</f>
        <v>127044</v>
      </c>
      <c r="J40" s="143">
        <f>'T1 Base'!J38</f>
        <v>2757656</v>
      </c>
      <c r="K40" s="143">
        <f>'T1 Base'!K38</f>
        <v>14136629</v>
      </c>
    </row>
    <row r="41" spans="1:12" hidden="1" outlineLevel="1" x14ac:dyDescent="0.15">
      <c r="D41" s="109"/>
    </row>
    <row r="42" spans="1:12" ht="12.75" customHeight="1" x14ac:dyDescent="0.15">
      <c r="A42" s="103" t="s">
        <v>154</v>
      </c>
      <c r="B42" s="103"/>
      <c r="C42" s="103"/>
      <c r="D42" s="104"/>
      <c r="E42" s="105"/>
      <c r="F42" s="105"/>
      <c r="G42" s="105"/>
      <c r="H42" s="95"/>
      <c r="I42" s="105"/>
      <c r="J42" s="105"/>
      <c r="K42" s="105"/>
      <c r="L42" s="105"/>
    </row>
    <row r="43" spans="1:12" x14ac:dyDescent="0.15"/>
    <row r="44" spans="1:12" x14ac:dyDescent="0.15">
      <c r="C44" s="180" t="str">
        <f>CONCATENATE("Annual Average Performance Before"," ",'T1 Smart ACRs'!G23," - ",'T1 Smart ACRs'!G24)</f>
        <v>Annual Average Performance Before 2011/2012 - 2015/2016</v>
      </c>
      <c r="D44" s="180"/>
      <c r="E44" s="180"/>
      <c r="F44" s="180"/>
      <c r="G44" s="180"/>
      <c r="H44" s="180"/>
      <c r="I44" s="180"/>
      <c r="J44" s="180"/>
      <c r="K44" s="180"/>
      <c r="L44" s="180"/>
    </row>
    <row r="45" spans="1:12" x14ac:dyDescent="0.15"/>
    <row r="46" spans="1:12" x14ac:dyDescent="0.15">
      <c r="C46" s="99" t="s">
        <v>153</v>
      </c>
      <c r="I46" s="116" t="s">
        <v>5</v>
      </c>
      <c r="J46" s="116" t="s">
        <v>6</v>
      </c>
      <c r="K46" s="116" t="s">
        <v>7</v>
      </c>
      <c r="L46" s="116" t="s">
        <v>8</v>
      </c>
    </row>
    <row r="47" spans="1:12" x14ac:dyDescent="0.15">
      <c r="C47" s="101" t="str">
        <f>$C$29</f>
        <v>22KV Dist Sub Outage</v>
      </c>
      <c r="I47" s="121">
        <f>'T1 Smart ACRs'!I29/'T1 Smart ACRs'!$G$18</f>
        <v>12.4</v>
      </c>
      <c r="J47" s="121">
        <f>'T1 Smart ACRs'!J29/'T1 Smart ACRs'!$G$18</f>
        <v>132</v>
      </c>
      <c r="K47" s="121">
        <f>'T1 Smart ACRs'!K29/'T1 Smart ACRs'!$G$18</f>
        <v>403.2</v>
      </c>
      <c r="L47" s="121">
        <f>SUM(I47:K47)</f>
        <v>547.6</v>
      </c>
    </row>
    <row r="48" spans="1:12" x14ac:dyDescent="0.15">
      <c r="C48" s="101" t="str">
        <f>$C$30</f>
        <v>HV 22kv ACR Outage</v>
      </c>
      <c r="I48" s="121">
        <f>'T1 Smart ACRs'!I30/'T1 Smart ACRs'!$G$18</f>
        <v>0</v>
      </c>
      <c r="J48" s="121">
        <f>'T1 Smart ACRs'!J30/'T1 Smart ACRs'!$G$18</f>
        <v>5</v>
      </c>
      <c r="K48" s="121">
        <f>'T1 Smart ACRs'!K30/'T1 Smart ACRs'!$G$18</f>
        <v>30</v>
      </c>
      <c r="L48" s="121">
        <f>SUM(I48:K48)</f>
        <v>35</v>
      </c>
    </row>
    <row r="49" spans="3:12" x14ac:dyDescent="0.15">
      <c r="C49" s="101" t="str">
        <f>$C$31</f>
        <v>HV 22KV CB Outage</v>
      </c>
      <c r="I49" s="121">
        <f>'T1 Smart ACRs'!I31/'T1 Smart ACRs'!$G$18</f>
        <v>3.2</v>
      </c>
      <c r="J49" s="121">
        <f>'T1 Smart ACRs'!J31/'T1 Smart ACRs'!$G$18</f>
        <v>7.6</v>
      </c>
      <c r="K49" s="121">
        <f>'T1 Smart ACRs'!K31/'T1 Smart ACRs'!$G$18</f>
        <v>21.6</v>
      </c>
      <c r="L49" s="121">
        <f>SUM(I49:K49)</f>
        <v>32.400000000000006</v>
      </c>
    </row>
    <row r="50" spans="3:12" x14ac:dyDescent="0.15">
      <c r="C50" s="122" t="str">
        <f>$C$32</f>
        <v>HV 22KV Line Outage</v>
      </c>
      <c r="D50" s="123"/>
      <c r="E50" s="122"/>
      <c r="F50" s="122"/>
      <c r="G50" s="122"/>
      <c r="H50" s="124"/>
      <c r="I50" s="121">
        <f>'T1 Smart ACRs'!I32/'T1 Smart ACRs'!$G$18</f>
        <v>2.2000000000000002</v>
      </c>
      <c r="J50" s="121">
        <f>'T1 Smart ACRs'!J32/'T1 Smart ACRs'!$G$18</f>
        <v>44.8</v>
      </c>
      <c r="K50" s="121">
        <f>'T1 Smart ACRs'!K32/'T1 Smart ACRs'!$G$18</f>
        <v>207</v>
      </c>
      <c r="L50" s="121">
        <f>SUM(I50:K50)</f>
        <v>254</v>
      </c>
    </row>
    <row r="51" spans="3:12" x14ac:dyDescent="0.15"/>
    <row r="52" spans="3:12" x14ac:dyDescent="0.15">
      <c r="C52" s="99" t="s">
        <v>145</v>
      </c>
      <c r="I52" s="116" t="s">
        <v>5</v>
      </c>
      <c r="J52" s="116" t="s">
        <v>6</v>
      </c>
      <c r="K52" s="116" t="s">
        <v>7</v>
      </c>
      <c r="L52" s="116" t="s">
        <v>8</v>
      </c>
    </row>
    <row r="53" spans="3:12" x14ac:dyDescent="0.15">
      <c r="C53" s="101" t="str">
        <f>$C$29</f>
        <v>22KV Dist Sub Outage</v>
      </c>
      <c r="D53" s="125"/>
      <c r="I53" s="126">
        <f>'T1 Smart ACRs'!I37/'T1 Smart ACRs'!$G$18</f>
        <v>68814.399999999994</v>
      </c>
      <c r="J53" s="126">
        <f>'T1 Smart ACRs'!J37/'T1 Smart ACRs'!$G$18</f>
        <v>241269.8</v>
      </c>
      <c r="K53" s="126">
        <f>'T1 Smart ACRs'!K37/'T1 Smart ACRs'!$G$18</f>
        <v>484006.2</v>
      </c>
      <c r="L53" s="121">
        <f>SUM(I53:K53)</f>
        <v>794090.39999999991</v>
      </c>
    </row>
    <row r="54" spans="3:12" x14ac:dyDescent="0.15">
      <c r="C54" s="101" t="str">
        <f>$C$30</f>
        <v>HV 22kv ACR Outage</v>
      </c>
      <c r="D54" s="125"/>
      <c r="I54" s="126">
        <f>'T1 Smart ACRs'!I38/'T1 Smart ACRs'!$G$18</f>
        <v>0</v>
      </c>
      <c r="J54" s="126">
        <f>'T1 Smart ACRs'!J38/'T1 Smart ACRs'!$G$18</f>
        <v>528337</v>
      </c>
      <c r="K54" s="126">
        <f>'T1 Smart ACRs'!K38/'T1 Smart ACRs'!$G$18</f>
        <v>4075888</v>
      </c>
      <c r="L54" s="121">
        <f>SUM(I54:K54)</f>
        <v>4604225</v>
      </c>
    </row>
    <row r="55" spans="3:12" x14ac:dyDescent="0.15">
      <c r="C55" s="101" t="str">
        <f>$C$31</f>
        <v>HV 22KV CB Outage</v>
      </c>
      <c r="D55" s="125"/>
      <c r="I55" s="126">
        <f>'T1 Smart ACRs'!I39/'T1 Smart ACRs'!$G$18</f>
        <v>193029.6</v>
      </c>
      <c r="J55" s="126">
        <f>'T1 Smart ACRs'!J39/'T1 Smart ACRs'!$G$18</f>
        <v>1021329.6</v>
      </c>
      <c r="K55" s="126">
        <f>'T1 Smart ACRs'!K39/'T1 Smart ACRs'!$G$18</f>
        <v>5374548</v>
      </c>
      <c r="L55" s="121">
        <f>SUM(I55:K55)</f>
        <v>6588907.2000000002</v>
      </c>
    </row>
    <row r="56" spans="3:12" x14ac:dyDescent="0.15">
      <c r="C56" s="122" t="str">
        <f>$C$32</f>
        <v>HV 22KV Line Outage</v>
      </c>
      <c r="D56" s="127"/>
      <c r="E56" s="122"/>
      <c r="F56" s="122"/>
      <c r="G56" s="122"/>
      <c r="H56" s="124"/>
      <c r="I56" s="126">
        <f>'T1 Smart ACRs'!I40/'T1 Smart ACRs'!$G$18</f>
        <v>25408.799999999999</v>
      </c>
      <c r="J56" s="126">
        <f>'T1 Smart ACRs'!J40/'T1 Smart ACRs'!$G$18</f>
        <v>551531.19999999995</v>
      </c>
      <c r="K56" s="126">
        <f>'T1 Smart ACRs'!K40/'T1 Smart ACRs'!$G$18</f>
        <v>2827325.8</v>
      </c>
      <c r="L56" s="121">
        <f>SUM(I56:K56)</f>
        <v>3404265.8</v>
      </c>
    </row>
    <row r="57" spans="3:12" x14ac:dyDescent="0.15"/>
    <row r="58" spans="3:12" x14ac:dyDescent="0.15">
      <c r="C58" s="128" t="s">
        <v>152</v>
      </c>
      <c r="I58" s="116" t="s">
        <v>5</v>
      </c>
      <c r="J58" s="116" t="s">
        <v>6</v>
      </c>
      <c r="K58" s="116" t="s">
        <v>7</v>
      </c>
      <c r="L58" s="116" t="s">
        <v>8</v>
      </c>
    </row>
    <row r="59" spans="3:12" x14ac:dyDescent="0.15">
      <c r="C59" s="101" t="str">
        <f>$C$29</f>
        <v>22KV Dist Sub Outage</v>
      </c>
      <c r="I59" s="129">
        <f>IF(ISERROR('T1 Smart ACRs'!I53/'T1 Smart ACRs'!I47),0,'T1 Smart ACRs'!I53/'T1 Smart ACRs'!I47)</f>
        <v>5549.5483870967737</v>
      </c>
      <c r="J59" s="129">
        <f>IF(ISERROR('T1 Smart ACRs'!J53/'T1 Smart ACRs'!J47),0,'T1 Smart ACRs'!J53/'T1 Smart ACRs'!J47)</f>
        <v>1827.8015151515151</v>
      </c>
      <c r="K59" s="129">
        <f>IF(ISERROR('T1 Smart ACRs'!K53/'T1 Smart ACRs'!K47),0,'T1 Smart ACRs'!K53/'T1 Smart ACRs'!K47)</f>
        <v>1200.4122023809525</v>
      </c>
      <c r="L59" s="130"/>
    </row>
    <row r="60" spans="3:12" x14ac:dyDescent="0.15">
      <c r="C60" s="101" t="str">
        <f>$C$30</f>
        <v>HV 22kv ACR Outage</v>
      </c>
      <c r="I60" s="129">
        <f>IF(ISERROR('T1 Smart ACRs'!I54/'T1 Smart ACRs'!I48),0,'T1 Smart ACRs'!I54/'T1 Smart ACRs'!I48)</f>
        <v>0</v>
      </c>
      <c r="J60" s="129">
        <f>IF(ISERROR('T1 Smart ACRs'!J54/'T1 Smart ACRs'!J48),0,'T1 Smart ACRs'!J54/'T1 Smart ACRs'!J48)</f>
        <v>105667.4</v>
      </c>
      <c r="K60" s="129">
        <f>IF(ISERROR('T1 Smart ACRs'!K54/'T1 Smart ACRs'!K48),0,'T1 Smart ACRs'!K54/'T1 Smart ACRs'!K48)</f>
        <v>135862.93333333332</v>
      </c>
      <c r="L60" s="130"/>
    </row>
    <row r="61" spans="3:12" x14ac:dyDescent="0.15">
      <c r="C61" s="101" t="str">
        <f>$C$31</f>
        <v>HV 22KV CB Outage</v>
      </c>
      <c r="I61" s="129">
        <f>IF(ISERROR('T1 Smart ACRs'!I55/'T1 Smart ACRs'!I49),0,'T1 Smart ACRs'!I55/'T1 Smart ACRs'!I49)</f>
        <v>60321.75</v>
      </c>
      <c r="J61" s="129">
        <f>IF(ISERROR('T1 Smart ACRs'!J55/'T1 Smart ACRs'!J49),0,'T1 Smart ACRs'!J55/'T1 Smart ACRs'!J49)</f>
        <v>134385.47368421053</v>
      </c>
      <c r="K61" s="129">
        <f>IF(ISERROR('T1 Smart ACRs'!K55/'T1 Smart ACRs'!K49),0,'T1 Smart ACRs'!K55/'T1 Smart ACRs'!K49)</f>
        <v>248821.66666666666</v>
      </c>
      <c r="L61" s="130"/>
    </row>
    <row r="62" spans="3:12" x14ac:dyDescent="0.15">
      <c r="C62" s="122" t="str">
        <f>$C$32</f>
        <v>HV 22KV Line Outage</v>
      </c>
      <c r="D62" s="123"/>
      <c r="E62" s="122"/>
      <c r="F62" s="122"/>
      <c r="G62" s="122"/>
      <c r="H62" s="124"/>
      <c r="I62" s="129">
        <f>IF(ISERROR('T1 Smart ACRs'!I56/'T1 Smart ACRs'!I50),0,'T1 Smart ACRs'!I56/'T1 Smart ACRs'!I50)</f>
        <v>11549.454545454544</v>
      </c>
      <c r="J62" s="129">
        <f>IF(ISERROR('T1 Smart ACRs'!J56/'T1 Smart ACRs'!J50),0,'T1 Smart ACRs'!J56/'T1 Smart ACRs'!J50)</f>
        <v>12310.964285714286</v>
      </c>
      <c r="K62" s="129">
        <f>IF(ISERROR('T1 Smart ACRs'!K56/'T1 Smart ACRs'!K50),0,'T1 Smart ACRs'!K56/'T1 Smart ACRs'!K50)</f>
        <v>13658.578743961352</v>
      </c>
      <c r="L62" s="130"/>
    </row>
    <row r="63" spans="3:12" x14ac:dyDescent="0.15"/>
    <row r="64" spans="3:12" x14ac:dyDescent="0.15">
      <c r="C64" s="99" t="s">
        <v>129</v>
      </c>
      <c r="I64" s="116" t="s">
        <v>5</v>
      </c>
      <c r="J64" s="116" t="s">
        <v>6</v>
      </c>
      <c r="K64" s="116" t="s">
        <v>7</v>
      </c>
      <c r="L64" s="116" t="s">
        <v>8</v>
      </c>
    </row>
    <row r="65" spans="3:12" x14ac:dyDescent="0.15">
      <c r="C65" s="101" t="str">
        <f>$C$29</f>
        <v>22KV Dist Sub Outage</v>
      </c>
      <c r="I65" s="131">
        <f>ROUND(('T1 Smart ACRs'!I53*('T1 Smart ACRs'!$G$20/('T1 Smart ACRs'!$G$21*365*24*60))),3)</f>
        <v>1.5189999999999999</v>
      </c>
      <c r="J65" s="131">
        <f>ROUND(('T1 Smart ACRs'!J53*('T1 Smart ACRs'!$G$20/('T1 Smart ACRs'!$G$21*365*24*60))),3)</f>
        <v>5.3250000000000002</v>
      </c>
      <c r="K65" s="131">
        <f>ROUND(('T1 Smart ACRs'!K53*('T1 Smart ACRs'!$G$20/('T1 Smart ACRs'!$G$21*365*24*60))),3)</f>
        <v>10.680999999999999</v>
      </c>
      <c r="L65" s="131">
        <f>ROUND(('T1 Smart ACRs'!L53*('T1 Smart ACRs'!$G$20/('T1 Smart ACRs'!$G$21*365*24*60))),3)</f>
        <v>17.524999999999999</v>
      </c>
    </row>
    <row r="66" spans="3:12" x14ac:dyDescent="0.15">
      <c r="C66" s="101" t="str">
        <f>$C$30</f>
        <v>HV 22kv ACR Outage</v>
      </c>
      <c r="I66" s="131">
        <f>ROUND(('T1 Smart ACRs'!I54*('T1 Smart ACRs'!$G$20/('T1 Smart ACRs'!$G$21*365*24*60))),3)</f>
        <v>0</v>
      </c>
      <c r="J66" s="131">
        <f>ROUND(('T1 Smart ACRs'!J54*('T1 Smart ACRs'!$G$20/('T1 Smart ACRs'!$G$21*365*24*60))),3)</f>
        <v>11.66</v>
      </c>
      <c r="K66" s="131">
        <f>ROUND(('T1 Smart ACRs'!K54*('T1 Smart ACRs'!$G$20/('T1 Smart ACRs'!$G$21*365*24*60))),3)</f>
        <v>89.95</v>
      </c>
      <c r="L66" s="131">
        <f>ROUND(('T1 Smart ACRs'!L54*('T1 Smart ACRs'!$G$20/('T1 Smart ACRs'!$G$21*365*24*60))),3)</f>
        <v>101.61</v>
      </c>
    </row>
    <row r="67" spans="3:12" x14ac:dyDescent="0.15">
      <c r="C67" s="101" t="str">
        <f>$C$31</f>
        <v>HV 22KV CB Outage</v>
      </c>
      <c r="I67" s="131">
        <f>ROUND(('T1 Smart ACRs'!I55*('T1 Smart ACRs'!$G$20/('T1 Smart ACRs'!$G$21*365*24*60))),3)</f>
        <v>4.26</v>
      </c>
      <c r="J67" s="131">
        <f>ROUND(('T1 Smart ACRs'!J55*('T1 Smart ACRs'!$G$20/('T1 Smart ACRs'!$G$21*365*24*60))),3)</f>
        <v>22.54</v>
      </c>
      <c r="K67" s="131">
        <f>ROUND(('T1 Smart ACRs'!K55*('T1 Smart ACRs'!$G$20/('T1 Smart ACRs'!$G$21*365*24*60))),3)</f>
        <v>118.61</v>
      </c>
      <c r="L67" s="131">
        <f>ROUND(('T1 Smart ACRs'!L55*('T1 Smart ACRs'!$G$20/('T1 Smart ACRs'!$G$21*365*24*60))),3)</f>
        <v>145.40899999999999</v>
      </c>
    </row>
    <row r="68" spans="3:12" x14ac:dyDescent="0.15">
      <c r="C68" s="122" t="str">
        <f>$C$32</f>
        <v>HV 22KV Line Outage</v>
      </c>
      <c r="D68" s="123"/>
      <c r="E68" s="122"/>
      <c r="F68" s="122"/>
      <c r="G68" s="122"/>
      <c r="H68" s="124"/>
      <c r="I68" s="131">
        <f>ROUND(('T1 Smart ACRs'!I56*('T1 Smart ACRs'!$G$20/('T1 Smart ACRs'!$G$21*365*24*60))),3)</f>
        <v>0.56100000000000005</v>
      </c>
      <c r="J68" s="131">
        <f>ROUND(('T1 Smart ACRs'!J56*('T1 Smart ACRs'!$G$20/('T1 Smart ACRs'!$G$21*365*24*60))),3)</f>
        <v>12.172000000000001</v>
      </c>
      <c r="K68" s="131">
        <f>ROUND(('T1 Smart ACRs'!K56*('T1 Smart ACRs'!$G$20/('T1 Smart ACRs'!$G$21*365*24*60))),3)</f>
        <v>62.396000000000001</v>
      </c>
      <c r="L68" s="131">
        <f>ROUND(('T1 Smart ACRs'!L56*('T1 Smart ACRs'!$G$20/('T1 Smart ACRs'!$G$21*365*24*60))),3)</f>
        <v>75.128</v>
      </c>
    </row>
    <row r="69" spans="3:12" x14ac:dyDescent="0.15">
      <c r="C69" s="99" t="s">
        <v>128</v>
      </c>
      <c r="D69" s="132"/>
      <c r="E69" s="99"/>
      <c r="F69" s="99"/>
      <c r="G69" s="99"/>
      <c r="H69" s="133"/>
      <c r="I69" s="134">
        <f>SUM(I65:I68)</f>
        <v>6.34</v>
      </c>
      <c r="J69" s="134">
        <f>SUM(J65:J68)</f>
        <v>51.697000000000003</v>
      </c>
      <c r="K69" s="134">
        <f>SUM(K65:K68)</f>
        <v>281.637</v>
      </c>
      <c r="L69" s="134">
        <f>SUM(L65:L68)</f>
        <v>339.67199999999997</v>
      </c>
    </row>
    <row r="70" spans="3:12" x14ac:dyDescent="0.15"/>
    <row r="71" spans="3:12" x14ac:dyDescent="0.15">
      <c r="C71" s="181" t="s">
        <v>151</v>
      </c>
      <c r="D71" s="181"/>
      <c r="E71" s="181"/>
      <c r="F71" s="181"/>
      <c r="G71" s="181"/>
      <c r="H71" s="181"/>
      <c r="I71" s="181"/>
      <c r="J71" s="181"/>
      <c r="K71" s="181"/>
      <c r="L71" s="181"/>
    </row>
    <row r="72" spans="3:12" x14ac:dyDescent="0.15"/>
    <row r="73" spans="3:12" x14ac:dyDescent="0.15">
      <c r="C73" s="99" t="s">
        <v>150</v>
      </c>
      <c r="I73" s="116" t="s">
        <v>5</v>
      </c>
      <c r="J73" s="116" t="s">
        <v>6</v>
      </c>
      <c r="K73" s="116" t="s">
        <v>7</v>
      </c>
    </row>
    <row r="74" spans="3:12" x14ac:dyDescent="0.15">
      <c r="C74" s="101" t="str">
        <f>$C$29</f>
        <v>22KV Dist Sub Outage</v>
      </c>
      <c r="I74" s="135">
        <f>'T1 Smart ACRs'!I47*(1-'T1 Smart ACRs'!$G$19)</f>
        <v>6.2000000000000055E-2</v>
      </c>
      <c r="J74" s="135">
        <f>'T1 Smart ACRs'!J47*(1-'T1 Smart ACRs'!$G$19)</f>
        <v>0.66000000000000059</v>
      </c>
      <c r="K74" s="135">
        <f>'T1 Smart ACRs'!K47*(1-'T1 Smart ACRs'!$G$19)</f>
        <v>2.0160000000000018</v>
      </c>
    </row>
    <row r="75" spans="3:12" x14ac:dyDescent="0.15">
      <c r="C75" s="101" t="str">
        <f>$C$30</f>
        <v>HV 22kv ACR Outage</v>
      </c>
      <c r="I75" s="135">
        <f>'T1 Smart ACRs'!I48*(1-'T1 Smart ACRs'!$G$19)</f>
        <v>0</v>
      </c>
      <c r="J75" s="135">
        <f>'T1 Smart ACRs'!J48*(1-'T1 Smart ACRs'!$G$19)</f>
        <v>2.5000000000000022E-2</v>
      </c>
      <c r="K75" s="135">
        <f>'T1 Smart ACRs'!K48*(1-'T1 Smart ACRs'!$G$19)</f>
        <v>0.15000000000000013</v>
      </c>
    </row>
    <row r="76" spans="3:12" x14ac:dyDescent="0.15">
      <c r="C76" s="101" t="str">
        <f>$C$31</f>
        <v>HV 22KV CB Outage</v>
      </c>
      <c r="I76" s="135">
        <f>'T1 Smart ACRs'!I49*(1-'T1 Smart ACRs'!$G$19)</f>
        <v>1.6000000000000014E-2</v>
      </c>
      <c r="J76" s="135">
        <f>'T1 Smart ACRs'!J49*(1-'T1 Smart ACRs'!$G$19)</f>
        <v>3.8000000000000034E-2</v>
      </c>
      <c r="K76" s="135">
        <f>'T1 Smart ACRs'!K49*(1-'T1 Smart ACRs'!$G$19)</f>
        <v>0.10800000000000011</v>
      </c>
    </row>
    <row r="77" spans="3:12" x14ac:dyDescent="0.15">
      <c r="C77" s="122" t="str">
        <f>$C$32</f>
        <v>HV 22KV Line Outage</v>
      </c>
      <c r="D77" s="123"/>
      <c r="E77" s="122"/>
      <c r="F77" s="122"/>
      <c r="G77" s="122"/>
      <c r="H77" s="124"/>
      <c r="I77" s="135">
        <f>'T1 Smart ACRs'!I50*(1-'T1 Smart ACRs'!$G$19)</f>
        <v>1.1000000000000012E-2</v>
      </c>
      <c r="J77" s="135">
        <f>'T1 Smart ACRs'!J50*(1-'T1 Smart ACRs'!$G$19)</f>
        <v>0.22400000000000017</v>
      </c>
      <c r="K77" s="135">
        <f>'T1 Smart ACRs'!K50*(1-'T1 Smart ACRs'!$G$19)</f>
        <v>1.035000000000001</v>
      </c>
    </row>
    <row r="78" spans="3:12" x14ac:dyDescent="0.15"/>
    <row r="79" spans="3:12" ht="11.45" x14ac:dyDescent="0.25">
      <c r="C79" s="99" t="s">
        <v>149</v>
      </c>
      <c r="I79" s="116" t="s">
        <v>5</v>
      </c>
      <c r="J79" s="116" t="s">
        <v>6</v>
      </c>
      <c r="K79" s="116" t="s">
        <v>7</v>
      </c>
    </row>
    <row r="80" spans="3:12" ht="11.45" x14ac:dyDescent="0.25">
      <c r="C80" s="101" t="str">
        <f>$C$29</f>
        <v>22KV Dist Sub Outage</v>
      </c>
      <c r="I80" s="129">
        <f>('T1 Smart ACRs'!I47-'T1 Smart ACRs'!I74)*(1-'T1 Smart ACRs'!$G5-'T1 Smart ACRs'!$G11)</f>
        <v>9.8704000000000018</v>
      </c>
      <c r="J80" s="129">
        <f>('T1 Smart ACRs'!J47-'T1 Smart ACRs'!J74)*(1-'T1 Smart ACRs'!$G5-'T1 Smart ACRs'!$G11)</f>
        <v>105.072</v>
      </c>
      <c r="K80" s="129">
        <f>('T1 Smart ACRs'!K47-'T1 Smart ACRs'!K74)*(1-'T1 Smart ACRs'!$G5-'T1 Smart ACRs'!$G11)</f>
        <v>320.94720000000001</v>
      </c>
    </row>
    <row r="81" spans="3:11" ht="11.45" x14ac:dyDescent="0.25">
      <c r="C81" s="101" t="str">
        <f>$C$30</f>
        <v>HV 22kv ACR Outage</v>
      </c>
      <c r="I81" s="129">
        <f>('T1 Smart ACRs'!I48-'T1 Smart ACRs'!I75)*(1-'T1 Smart ACRs'!$G6-'T1 Smart ACRs'!$G12)</f>
        <v>0</v>
      </c>
      <c r="J81" s="129">
        <f>('T1 Smart ACRs'!J48-'T1 Smart ACRs'!J75)*(1-'T1 Smart ACRs'!$G6-'T1 Smart ACRs'!$G12)</f>
        <v>3.98</v>
      </c>
      <c r="K81" s="129">
        <f>('T1 Smart ACRs'!K48-'T1 Smart ACRs'!K75)*(1-'T1 Smart ACRs'!$G6-'T1 Smart ACRs'!$G12)</f>
        <v>23.880000000000003</v>
      </c>
    </row>
    <row r="82" spans="3:11" ht="11.45" x14ac:dyDescent="0.25">
      <c r="C82" s="101" t="str">
        <f>$C$31</f>
        <v>HV 22KV CB Outage</v>
      </c>
      <c r="I82" s="129">
        <f>('T1 Smart ACRs'!I49-'T1 Smart ACRs'!I76)*(1-'T1 Smart ACRs'!$G7-'T1 Smart ACRs'!$G13)</f>
        <v>2.2288000000000001</v>
      </c>
      <c r="J82" s="129">
        <f>('T1 Smart ACRs'!J49-'T1 Smart ACRs'!J76)*(1-'T1 Smart ACRs'!$G7-'T1 Smart ACRs'!$G13)</f>
        <v>5.2933999999999992</v>
      </c>
      <c r="K82" s="129">
        <f>('T1 Smart ACRs'!K49-'T1 Smart ACRs'!K76)*(1-'T1 Smart ACRs'!$G7-'T1 Smart ACRs'!$G13)</f>
        <v>15.0444</v>
      </c>
    </row>
    <row r="83" spans="3:11" ht="11.45" x14ac:dyDescent="0.25">
      <c r="C83" s="122" t="str">
        <f>$C$32</f>
        <v>HV 22KV Line Outage</v>
      </c>
      <c r="D83" s="123"/>
      <c r="E83" s="122"/>
      <c r="F83" s="122"/>
      <c r="G83" s="122"/>
      <c r="H83" s="124"/>
      <c r="I83" s="129">
        <f>('T1 Smart ACRs'!I50-'T1 Smart ACRs'!I77)*(1-'T1 Smart ACRs'!$G8-'T1 Smart ACRs'!$G14)</f>
        <v>1.2039499999999999</v>
      </c>
      <c r="J83" s="129">
        <f>('T1 Smart ACRs'!J50-'T1 Smart ACRs'!J77)*(1-'T1 Smart ACRs'!$G8-'T1 Smart ACRs'!$G14)</f>
        <v>24.516799999999996</v>
      </c>
      <c r="K83" s="129">
        <f>('T1 Smart ACRs'!K50-'T1 Smart ACRs'!K77)*(1-'T1 Smart ACRs'!$G8-'T1 Smart ACRs'!$G14)</f>
        <v>113.28074999999998</v>
      </c>
    </row>
    <row r="84" spans="3:11" ht="11.45" x14ac:dyDescent="0.25"/>
    <row r="85" spans="3:11" ht="11.45" x14ac:dyDescent="0.25">
      <c r="C85" s="99" t="s">
        <v>148</v>
      </c>
      <c r="I85" s="116" t="s">
        <v>5</v>
      </c>
      <c r="J85" s="116" t="s">
        <v>6</v>
      </c>
      <c r="K85" s="116" t="s">
        <v>7</v>
      </c>
    </row>
    <row r="86" spans="3:11" ht="11.45" x14ac:dyDescent="0.25">
      <c r="C86" s="101" t="str">
        <f>$C$29</f>
        <v>22KV Dist Sub Outage</v>
      </c>
      <c r="I86" s="129">
        <f>('T1 Smart ACRs'!I47-'T1 Smart ACRs'!I74)*'T1 Smart ACRs'!$G5</f>
        <v>2.2208399999999999</v>
      </c>
      <c r="J86" s="129">
        <f>('T1 Smart ACRs'!J47-'T1 Smart ACRs'!J74)*'T1 Smart ACRs'!$G5</f>
        <v>23.641200000000001</v>
      </c>
      <c r="K86" s="129">
        <f>('T1 Smart ACRs'!K47-'T1 Smart ACRs'!K74)*'T1 Smart ACRs'!$G5</f>
        <v>72.213119999999989</v>
      </c>
    </row>
    <row r="87" spans="3:11" ht="11.45" x14ac:dyDescent="0.25">
      <c r="C87" s="101" t="str">
        <f>$C$30</f>
        <v>HV 22kv ACR Outage</v>
      </c>
      <c r="I87" s="129">
        <f>('T1 Smart ACRs'!I48-'T1 Smart ACRs'!I75)*'T1 Smart ACRs'!$G6</f>
        <v>0</v>
      </c>
      <c r="J87" s="129">
        <f>('T1 Smart ACRs'!J48-'T1 Smart ACRs'!J75)*'T1 Smart ACRs'!$G6</f>
        <v>0.995</v>
      </c>
      <c r="K87" s="129">
        <f>('T1 Smart ACRs'!K48-'T1 Smart ACRs'!K75)*'T1 Smart ACRs'!$G6</f>
        <v>5.9700000000000006</v>
      </c>
    </row>
    <row r="88" spans="3:11" ht="11.45" x14ac:dyDescent="0.25">
      <c r="C88" s="101" t="str">
        <f>$C$31</f>
        <v>HV 22KV CB Outage</v>
      </c>
      <c r="I88" s="129">
        <f>('T1 Smart ACRs'!I49-'T1 Smart ACRs'!I76)*'T1 Smart ACRs'!$G7</f>
        <v>0.95520000000000005</v>
      </c>
      <c r="J88" s="129">
        <f>('T1 Smart ACRs'!J49-'T1 Smart ACRs'!J76)*'T1 Smart ACRs'!$G7</f>
        <v>2.2685999999999997</v>
      </c>
      <c r="K88" s="129">
        <f>('T1 Smart ACRs'!K49-'T1 Smart ACRs'!K76)*'T1 Smart ACRs'!$G7</f>
        <v>6.4476000000000004</v>
      </c>
    </row>
    <row r="89" spans="3:11" ht="11.45" x14ac:dyDescent="0.25">
      <c r="C89" s="122" t="str">
        <f>$C$32</f>
        <v>HV 22KV Line Outage</v>
      </c>
      <c r="D89" s="123"/>
      <c r="E89" s="122"/>
      <c r="F89" s="122"/>
      <c r="G89" s="122"/>
      <c r="H89" s="124"/>
      <c r="I89" s="129">
        <f>('T1 Smart ACRs'!I50-'T1 Smart ACRs'!I77)*'T1 Smart ACRs'!$G8</f>
        <v>0.65669999999999995</v>
      </c>
      <c r="J89" s="129">
        <f>('T1 Smart ACRs'!J50-'T1 Smart ACRs'!J77)*'T1 Smart ACRs'!$G8</f>
        <v>13.3728</v>
      </c>
      <c r="K89" s="129">
        <f>('T1 Smart ACRs'!K50-'T1 Smart ACRs'!K77)*'T1 Smart ACRs'!$G8</f>
        <v>61.789499999999997</v>
      </c>
    </row>
    <row r="90" spans="3:11" ht="11.45" x14ac:dyDescent="0.25"/>
    <row r="91" spans="3:11" ht="11.45" x14ac:dyDescent="0.25">
      <c r="C91" s="99" t="s">
        <v>147</v>
      </c>
      <c r="I91" s="116" t="s">
        <v>5</v>
      </c>
      <c r="J91" s="116" t="s">
        <v>6</v>
      </c>
      <c r="K91" s="116" t="s">
        <v>7</v>
      </c>
    </row>
    <row r="92" spans="3:11" ht="11.45" x14ac:dyDescent="0.25">
      <c r="C92" s="101" t="str">
        <f>$C$29</f>
        <v>22KV Dist Sub Outage</v>
      </c>
      <c r="I92" s="129">
        <f>('T1 Smart ACRs'!I47-'T1 Smart ACRs'!I74)*'T1 Smart ACRs'!$G11</f>
        <v>0.24676000000000003</v>
      </c>
      <c r="J92" s="129">
        <f>('T1 Smart ACRs'!J47-'T1 Smart ACRs'!J74)*'T1 Smart ACRs'!$G11</f>
        <v>2.6268000000000002</v>
      </c>
      <c r="K92" s="129">
        <f>('T1 Smart ACRs'!K47-'T1 Smart ACRs'!K74)*'T1 Smart ACRs'!$G11</f>
        <v>8.0236799999999988</v>
      </c>
    </row>
    <row r="93" spans="3:11" ht="11.45" x14ac:dyDescent="0.25">
      <c r="C93" s="101" t="str">
        <f>$C$30</f>
        <v>HV 22kv ACR Outage</v>
      </c>
      <c r="I93" s="129">
        <f>('T1 Smart ACRs'!I48-'T1 Smart ACRs'!I75)*'T1 Smart ACRs'!$G12</f>
        <v>0</v>
      </c>
      <c r="J93" s="129">
        <f>('T1 Smart ACRs'!J48-'T1 Smart ACRs'!J75)*'T1 Smart ACRs'!$G12</f>
        <v>0</v>
      </c>
      <c r="K93" s="129">
        <f>('T1 Smart ACRs'!K48-'T1 Smart ACRs'!K75)*'T1 Smart ACRs'!$G12</f>
        <v>0</v>
      </c>
    </row>
    <row r="94" spans="3:11" ht="11.45" x14ac:dyDescent="0.25">
      <c r="C94" s="101" t="str">
        <f>$C$31</f>
        <v>HV 22KV CB Outage</v>
      </c>
      <c r="I94" s="129">
        <f>('T1 Smart ACRs'!I49-'T1 Smart ACRs'!I76)*'T1 Smart ACRs'!$G13</f>
        <v>0</v>
      </c>
      <c r="J94" s="129">
        <f>('T1 Smart ACRs'!J49-'T1 Smart ACRs'!J76)*'T1 Smart ACRs'!$G13</f>
        <v>0</v>
      </c>
      <c r="K94" s="129">
        <f>('T1 Smart ACRs'!K49-'T1 Smart ACRs'!K76)*'T1 Smart ACRs'!$G13</f>
        <v>0</v>
      </c>
    </row>
    <row r="95" spans="3:11" ht="11.45" x14ac:dyDescent="0.25">
      <c r="C95" s="122" t="str">
        <f>$C$32</f>
        <v>HV 22KV Line Outage</v>
      </c>
      <c r="D95" s="123"/>
      <c r="E95" s="122"/>
      <c r="F95" s="122"/>
      <c r="G95" s="122"/>
      <c r="H95" s="124"/>
      <c r="I95" s="129">
        <f>('T1 Smart ACRs'!I50-'T1 Smart ACRs'!I77)*'T1 Smart ACRs'!$G14</f>
        <v>0.32834999999999998</v>
      </c>
      <c r="J95" s="129">
        <f>('T1 Smart ACRs'!J50-'T1 Smart ACRs'!J77)*'T1 Smart ACRs'!$G14</f>
        <v>6.6863999999999999</v>
      </c>
      <c r="K95" s="129">
        <f>('T1 Smart ACRs'!K50-'T1 Smart ACRs'!K77)*'T1 Smart ACRs'!$G14</f>
        <v>30.894749999999998</v>
      </c>
    </row>
    <row r="96" spans="3:11" x14ac:dyDescent="0.15"/>
    <row r="97" spans="3:12" x14ac:dyDescent="0.15">
      <c r="C97" s="99" t="s">
        <v>146</v>
      </c>
      <c r="I97" s="116" t="s">
        <v>5</v>
      </c>
      <c r="J97" s="116" t="s">
        <v>6</v>
      </c>
      <c r="K97" s="116" t="s">
        <v>7</v>
      </c>
      <c r="L97" s="116" t="s">
        <v>8</v>
      </c>
    </row>
    <row r="98" spans="3:12" x14ac:dyDescent="0.15">
      <c r="C98" s="101" t="str">
        <f>$C$29</f>
        <v>22KV Dist Sub Outage</v>
      </c>
      <c r="I98" s="129">
        <f>'T1 Smart ACRs'!I80+'T1 Smart ACRs'!I74</f>
        <v>9.9324000000000012</v>
      </c>
      <c r="J98" s="129">
        <f>'T1 Smart ACRs'!J80+'T1 Smart ACRs'!J74</f>
        <v>105.732</v>
      </c>
      <c r="K98" s="129">
        <f>'T1 Smart ACRs'!K80+'T1 Smart ACRs'!K74</f>
        <v>322.96320000000003</v>
      </c>
      <c r="L98" s="129">
        <f>SUM(I98:K98)</f>
        <v>438.62760000000003</v>
      </c>
    </row>
    <row r="99" spans="3:12" x14ac:dyDescent="0.15">
      <c r="C99" s="101" t="str">
        <f>$C$30</f>
        <v>HV 22kv ACR Outage</v>
      </c>
      <c r="I99" s="129">
        <f>'T1 Smart ACRs'!I81+'T1 Smart ACRs'!I75+($G$16*(I92+I95))</f>
        <v>0.28755500000000001</v>
      </c>
      <c r="J99" s="129">
        <f>'T1 Smart ACRs'!J81+'T1 Smart ACRs'!J75+($G$16*(J92+J95))</f>
        <v>8.6616</v>
      </c>
      <c r="K99" s="129">
        <f>'T1 Smart ACRs'!K81+'T1 Smart ACRs'!K75+($G$16*(K92+K95))</f>
        <v>43.489215000000002</v>
      </c>
      <c r="L99" s="129">
        <f>SUM(I99:K99)</f>
        <v>52.438369999999999</v>
      </c>
    </row>
    <row r="100" spans="3:12" x14ac:dyDescent="0.15">
      <c r="C100" s="101" t="str">
        <f>$C$31</f>
        <v>HV 22KV CB Outage</v>
      </c>
      <c r="I100" s="129">
        <f>'T1 Smart ACRs'!I82+'T1 Smart ACRs'!I76+($G$16*(I92+I95))</f>
        <v>2.5323549999999999</v>
      </c>
      <c r="J100" s="129">
        <f>'T1 Smart ACRs'!J82+'T1 Smart ACRs'!J76+($G$16*(J92+J95))</f>
        <v>9.9879999999999995</v>
      </c>
      <c r="K100" s="129">
        <f>'T1 Smart ACRs'!K82+'T1 Smart ACRs'!K76+($G$16*(K92+K95))</f>
        <v>34.611615</v>
      </c>
      <c r="L100" s="129">
        <f>SUM(I100:K100)</f>
        <v>47.131969999999995</v>
      </c>
    </row>
    <row r="101" spans="3:12" x14ac:dyDescent="0.15">
      <c r="C101" s="122" t="str">
        <f>$C$32</f>
        <v>HV 22KV Line Outage</v>
      </c>
      <c r="D101" s="123"/>
      <c r="E101" s="122"/>
      <c r="F101" s="122"/>
      <c r="G101" s="122"/>
      <c r="H101" s="124"/>
      <c r="I101" s="129">
        <f>'T1 Smart ACRs'!I83+'T1 Smart ACRs'!I77</f>
        <v>1.21495</v>
      </c>
      <c r="J101" s="129">
        <f>'T1 Smart ACRs'!J83+'T1 Smart ACRs'!J77</f>
        <v>24.740799999999997</v>
      </c>
      <c r="K101" s="129">
        <f>'T1 Smart ACRs'!K83+'T1 Smart ACRs'!K77</f>
        <v>114.31574999999998</v>
      </c>
      <c r="L101" s="129">
        <f>SUM(I101:K101)</f>
        <v>140.27149999999997</v>
      </c>
    </row>
    <row r="102" spans="3:12" x14ac:dyDescent="0.15"/>
    <row r="103" spans="3:12" x14ac:dyDescent="0.15">
      <c r="C103" s="99" t="s">
        <v>145</v>
      </c>
      <c r="I103" s="116" t="s">
        <v>5</v>
      </c>
      <c r="J103" s="116" t="s">
        <v>6</v>
      </c>
      <c r="K103" s="116" t="s">
        <v>7</v>
      </c>
      <c r="L103" s="116" t="s">
        <v>8</v>
      </c>
    </row>
    <row r="104" spans="3:12" x14ac:dyDescent="0.15">
      <c r="C104" s="101" t="str">
        <f>$C$29</f>
        <v>22KV Dist Sub Outage</v>
      </c>
      <c r="D104" s="125"/>
      <c r="I104" s="129">
        <f>'T1 Smart ACRs'!I98*'T1 Smart ACRs'!I59</f>
        <v>55120.3344</v>
      </c>
      <c r="J104" s="129">
        <f>'T1 Smart ACRs'!J98*'T1 Smart ACRs'!J59</f>
        <v>193257.10980000001</v>
      </c>
      <c r="K104" s="129">
        <f>'T1 Smart ACRs'!K98*'T1 Smart ACRs'!K59</f>
        <v>387688.96620000008</v>
      </c>
      <c r="L104" s="129">
        <f>SUM(I104:K104)</f>
        <v>636066.41040000005</v>
      </c>
    </row>
    <row r="105" spans="3:12" x14ac:dyDescent="0.15">
      <c r="C105" s="101" t="str">
        <f>$C$30</f>
        <v>HV 22kv ACR Outage</v>
      </c>
      <c r="D105" s="125"/>
      <c r="I105" s="129">
        <f>'T1 Smart ACRs'!I99*'T1 Smart ACRs'!I60</f>
        <v>0</v>
      </c>
      <c r="J105" s="129">
        <f>'T1 Smart ACRs'!J99*'T1 Smart ACRs'!J60</f>
        <v>915248.75183999992</v>
      </c>
      <c r="K105" s="129">
        <f>'T1 Smart ACRs'!K99*'T1 Smart ACRs'!K60</f>
        <v>5908572.3182639992</v>
      </c>
      <c r="L105" s="129">
        <f>SUM(I105:K105)</f>
        <v>6823821.0701039992</v>
      </c>
    </row>
    <row r="106" spans="3:12" x14ac:dyDescent="0.15">
      <c r="C106" s="101" t="str">
        <f>$C$31</f>
        <v>HV 22KV CB Outage</v>
      </c>
      <c r="D106" s="125"/>
      <c r="I106" s="129">
        <f>'T1 Smart ACRs'!I100*'T1 Smart ACRs'!I61</f>
        <v>152756.08522124999</v>
      </c>
      <c r="J106" s="129">
        <f>'T1 Smart ACRs'!J100*'T1 Smart ACRs'!J61</f>
        <v>1342242.1111578948</v>
      </c>
      <c r="K106" s="129">
        <f>'T1 Smart ACRs'!K100*'T1 Smart ACRs'!K61</f>
        <v>8612119.7303250004</v>
      </c>
      <c r="L106" s="129">
        <f>SUM(I106:K106)</f>
        <v>10107117.926704146</v>
      </c>
    </row>
    <row r="107" spans="3:12" x14ac:dyDescent="0.15">
      <c r="C107" s="122" t="str">
        <f>$C$32</f>
        <v>HV 22KV Line Outage</v>
      </c>
      <c r="D107" s="127"/>
      <c r="E107" s="122"/>
      <c r="F107" s="122"/>
      <c r="G107" s="122"/>
      <c r="H107" s="124"/>
      <c r="I107" s="129">
        <f>'T1 Smart ACRs'!I101*'T1 Smart ACRs'!I62</f>
        <v>14032.009799999998</v>
      </c>
      <c r="J107" s="129">
        <f>'T1 Smart ACRs'!J101*'T1 Smart ACRs'!J62</f>
        <v>304583.10519999999</v>
      </c>
      <c r="K107" s="129">
        <f>'T1 Smart ACRs'!K101*'T1 Smart ACRs'!K62</f>
        <v>1561390.6730499996</v>
      </c>
      <c r="L107" s="129">
        <f>SUM(I107:K107)</f>
        <v>1880005.7880499996</v>
      </c>
    </row>
    <row r="108" spans="3:12" x14ac:dyDescent="0.15"/>
    <row r="109" spans="3:12" x14ac:dyDescent="0.15">
      <c r="C109" s="99" t="s">
        <v>129</v>
      </c>
      <c r="I109" s="116" t="s">
        <v>5</v>
      </c>
      <c r="J109" s="116" t="s">
        <v>6</v>
      </c>
      <c r="K109" s="116" t="s">
        <v>7</v>
      </c>
      <c r="L109" s="116" t="s">
        <v>8</v>
      </c>
    </row>
    <row r="110" spans="3:12" x14ac:dyDescent="0.15">
      <c r="C110" s="101" t="str">
        <f>$C$29</f>
        <v>22KV Dist Sub Outage</v>
      </c>
      <c r="I110" s="131">
        <f>ROUND(('T1 Smart ACRs'!I104*('T1 Smart ACRs'!$G$20/('T1 Smart ACRs'!$G$21*365*24*60))),3)</f>
        <v>1.216</v>
      </c>
      <c r="J110" s="131">
        <f>ROUND(('T1 Smart ACRs'!J104*('T1 Smart ACRs'!$G$20/('T1 Smart ACRs'!$G$21*365*24*60))),3)</f>
        <v>4.2649999999999997</v>
      </c>
      <c r="K110" s="131">
        <f>ROUND(('T1 Smart ACRs'!K104*('T1 Smart ACRs'!$G$20/('T1 Smart ACRs'!$G$21*365*24*60))),3)</f>
        <v>8.5559999999999992</v>
      </c>
      <c r="L110" s="131">
        <f>ROUND(('T1 Smart ACRs'!L104*('T1 Smart ACRs'!$G$20/('T1 Smart ACRs'!$G$21*365*24*60))),3)</f>
        <v>14.037000000000001</v>
      </c>
    </row>
    <row r="111" spans="3:12" x14ac:dyDescent="0.15">
      <c r="C111" s="101" t="str">
        <f>$C$30</f>
        <v>HV 22kv ACR Outage</v>
      </c>
      <c r="I111" s="131">
        <f>ROUND(('T1 Smart ACRs'!I105*('T1 Smart ACRs'!$G$20/('T1 Smart ACRs'!$G$21*365*24*60))),3)</f>
        <v>0</v>
      </c>
      <c r="J111" s="131">
        <f>ROUND(('T1 Smart ACRs'!J105*('T1 Smart ACRs'!$G$20/('T1 Smart ACRs'!$G$21*365*24*60))),3)</f>
        <v>20.198</v>
      </c>
      <c r="K111" s="131">
        <f>ROUND(('T1 Smart ACRs'!K105*('T1 Smart ACRs'!$G$20/('T1 Smart ACRs'!$G$21*365*24*60))),3)</f>
        <v>130.39500000000001</v>
      </c>
      <c r="L111" s="131">
        <f>ROUND(('T1 Smart ACRs'!L105*('T1 Smart ACRs'!$G$20/('T1 Smart ACRs'!$G$21*365*24*60))),3)</f>
        <v>150.59299999999999</v>
      </c>
    </row>
    <row r="112" spans="3:12" x14ac:dyDescent="0.15">
      <c r="C112" s="101" t="str">
        <f>$C$31</f>
        <v>HV 22KV CB Outage</v>
      </c>
      <c r="I112" s="131">
        <f>ROUND(('T1 Smart ACRs'!I106*('T1 Smart ACRs'!$G$20/('T1 Smart ACRs'!$G$21*365*24*60))),3)</f>
        <v>3.371</v>
      </c>
      <c r="J112" s="131">
        <f>ROUND(('T1 Smart ACRs'!J106*('T1 Smart ACRs'!$G$20/('T1 Smart ACRs'!$G$21*365*24*60))),3)</f>
        <v>29.622</v>
      </c>
      <c r="K112" s="131">
        <f>ROUND(('T1 Smart ACRs'!K106*('T1 Smart ACRs'!$G$20/('T1 Smart ACRs'!$G$21*365*24*60))),3)</f>
        <v>190.059</v>
      </c>
      <c r="L112" s="131">
        <f>ROUND(('T1 Smart ACRs'!L106*('T1 Smart ACRs'!$G$20/('T1 Smart ACRs'!$G$21*365*24*60))),3)</f>
        <v>223.05199999999999</v>
      </c>
    </row>
    <row r="113" spans="1:12" x14ac:dyDescent="0.15">
      <c r="C113" s="122" t="str">
        <f>$C$32</f>
        <v>HV 22KV Line Outage</v>
      </c>
      <c r="D113" s="123"/>
      <c r="E113" s="122"/>
      <c r="F113" s="122"/>
      <c r="G113" s="122"/>
      <c r="H113" s="124"/>
      <c r="I113" s="131">
        <f>ROUND(('T1 Smart ACRs'!I107*('T1 Smart ACRs'!$G$20/('T1 Smart ACRs'!$G$21*365*24*60))),3)</f>
        <v>0.31</v>
      </c>
      <c r="J113" s="131">
        <f>ROUND(('T1 Smart ACRs'!J107*('T1 Smart ACRs'!$G$20/('T1 Smart ACRs'!$G$21*365*24*60))),3)</f>
        <v>6.7220000000000004</v>
      </c>
      <c r="K113" s="131">
        <f>ROUND(('T1 Smart ACRs'!K107*('T1 Smart ACRs'!$G$20/('T1 Smart ACRs'!$G$21*365*24*60))),3)</f>
        <v>34.457999999999998</v>
      </c>
      <c r="L113" s="131">
        <f>ROUND(('T1 Smart ACRs'!L107*('T1 Smart ACRs'!$G$20/('T1 Smart ACRs'!$G$21*365*24*60))),3)</f>
        <v>41.488999999999997</v>
      </c>
    </row>
    <row r="114" spans="1:12" x14ac:dyDescent="0.15">
      <c r="C114" s="99" t="s">
        <v>128</v>
      </c>
      <c r="D114" s="132"/>
      <c r="E114" s="99"/>
      <c r="F114" s="99"/>
      <c r="G114" s="99"/>
      <c r="H114" s="133"/>
      <c r="I114" s="134">
        <f>SUM(I110:I113)</f>
        <v>4.8969999999999994</v>
      </c>
      <c r="J114" s="134">
        <f>SUM(J110:J113)</f>
        <v>60.807000000000002</v>
      </c>
      <c r="K114" s="134">
        <f>SUM(K110:K113)</f>
        <v>363.46799999999996</v>
      </c>
      <c r="L114" s="134">
        <f>SUM(L110:L113)</f>
        <v>429.17099999999999</v>
      </c>
    </row>
    <row r="115" spans="1:12" x14ac:dyDescent="0.15"/>
    <row r="116" spans="1:12" x14ac:dyDescent="0.15">
      <c r="A116" s="103" t="s">
        <v>144</v>
      </c>
      <c r="B116" s="103"/>
      <c r="C116" s="103"/>
      <c r="D116" s="104"/>
      <c r="E116" s="105"/>
      <c r="F116" s="105"/>
      <c r="G116" s="105"/>
      <c r="H116" s="95"/>
      <c r="I116" s="105"/>
      <c r="J116" s="105"/>
      <c r="K116" s="105"/>
      <c r="L116" s="105"/>
    </row>
    <row r="117" spans="1:12" x14ac:dyDescent="0.15"/>
    <row r="118" spans="1:12" hidden="1" x14ac:dyDescent="0.15"/>
    <row r="119" spans="1:12" hidden="1" x14ac:dyDescent="0.15"/>
    <row r="120" spans="1:12" hidden="1" x14ac:dyDescent="0.15"/>
    <row r="121" spans="1:12" hidden="1" x14ac:dyDescent="0.15"/>
    <row r="122" spans="1:12" hidden="1" x14ac:dyDescent="0.15"/>
    <row r="123" spans="1:12" hidden="1" x14ac:dyDescent="0.15"/>
    <row r="124" spans="1:12" hidden="1" x14ac:dyDescent="0.15"/>
    <row r="125" spans="1:12" hidden="1" x14ac:dyDescent="0.15"/>
    <row r="126" spans="1:12" hidden="1" x14ac:dyDescent="0.15"/>
    <row r="127" spans="1:12" hidden="1" x14ac:dyDescent="0.15"/>
    <row r="128" spans="1:12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  <row r="167" hidden="1" x14ac:dyDescent="0.15"/>
    <row r="168" hidden="1" x14ac:dyDescent="0.15"/>
    <row r="169" hidden="1" x14ac:dyDescent="0.15"/>
    <row r="170" hidden="1" x14ac:dyDescent="0.15"/>
    <row r="171" hidden="1" x14ac:dyDescent="0.15"/>
    <row r="172" hidden="1" x14ac:dyDescent="0.15"/>
    <row r="173" hidden="1" x14ac:dyDescent="0.15"/>
    <row r="174" hidden="1" x14ac:dyDescent="0.15"/>
    <row r="175" hidden="1" x14ac:dyDescent="0.15"/>
    <row r="176" hidden="1" x14ac:dyDescent="0.15"/>
    <row r="177" hidden="1" x14ac:dyDescent="0.15"/>
    <row r="178" hidden="1" x14ac:dyDescent="0.15"/>
    <row r="179" hidden="1" x14ac:dyDescent="0.15"/>
    <row r="180" hidden="1" x14ac:dyDescent="0.15"/>
    <row r="181" hidden="1" x14ac:dyDescent="0.15"/>
  </sheetData>
  <sheetProtection formatCells="0" formatColumns="0" formatRows="0" autoFilter="0"/>
  <mergeCells count="2">
    <mergeCell ref="C44:L44"/>
    <mergeCell ref="C71:L7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 summaryRight="0"/>
    <pageSetUpPr autoPageBreaks="0" fitToPage="1"/>
  </sheetPr>
  <dimension ref="A1:M181"/>
  <sheetViews>
    <sheetView showGridLines="0" zoomScaleNormal="100" zoomScaleSheetLayoutView="85" workbookViewId="0">
      <selection activeCell="G24" sqref="G24"/>
    </sheetView>
  </sheetViews>
  <sheetFormatPr defaultColWidth="0" defaultRowHeight="11.25" zeroHeight="1" outlineLevelRow="1" x14ac:dyDescent="0.15"/>
  <cols>
    <col min="1" max="2" width="2.375" style="98" customWidth="1"/>
    <col min="3" max="3" width="2.375" style="99" customWidth="1"/>
    <col min="4" max="4" width="2.375" style="100" customWidth="1"/>
    <col min="5" max="5" width="20.5" style="101" customWidth="1"/>
    <col min="6" max="6" width="5.875" style="101" customWidth="1"/>
    <col min="7" max="7" width="9.25" style="101" bestFit="1" customWidth="1"/>
    <col min="8" max="8" width="10" style="94" customWidth="1"/>
    <col min="9" max="12" width="10.25" style="101" customWidth="1"/>
    <col min="13" max="13" width="2.375" style="102" customWidth="1"/>
    <col min="14" max="16384" width="7.75" style="102" hidden="1"/>
  </cols>
  <sheetData>
    <row r="1" spans="1:12" x14ac:dyDescent="0.15"/>
    <row r="2" spans="1:12" x14ac:dyDescent="0.15">
      <c r="A2" s="103" t="s">
        <v>171</v>
      </c>
      <c r="B2" s="103"/>
      <c r="C2" s="103"/>
      <c r="D2" s="104"/>
      <c r="E2" s="105"/>
      <c r="F2" s="105"/>
      <c r="G2" s="105"/>
      <c r="H2" s="95"/>
      <c r="I2" s="105"/>
      <c r="J2" s="105"/>
      <c r="K2" s="105"/>
      <c r="L2" s="105"/>
    </row>
    <row r="3" spans="1:12" collapsed="1" x14ac:dyDescent="0.15">
      <c r="D3" s="106"/>
    </row>
    <row r="4" spans="1:12" hidden="1" outlineLevel="1" x14ac:dyDescent="0.15">
      <c r="C4" s="107" t="s">
        <v>170</v>
      </c>
      <c r="D4" s="106"/>
      <c r="H4" s="101"/>
      <c r="I4" s="96"/>
      <c r="J4" s="96"/>
      <c r="K4" s="96"/>
      <c r="L4" s="96"/>
    </row>
    <row r="5" spans="1:12" hidden="1" outlineLevel="1" x14ac:dyDescent="0.15">
      <c r="C5" s="101" t="s">
        <v>1</v>
      </c>
      <c r="D5" s="106"/>
      <c r="G5" s="108">
        <v>0.18</v>
      </c>
      <c r="H5" s="96" t="s">
        <v>165</v>
      </c>
      <c r="I5" s="96"/>
      <c r="J5" s="96"/>
      <c r="K5" s="96"/>
      <c r="L5" s="96"/>
    </row>
    <row r="6" spans="1:12" hidden="1" outlineLevel="1" x14ac:dyDescent="0.15">
      <c r="C6" s="101" t="s">
        <v>2</v>
      </c>
      <c r="D6" s="106"/>
      <c r="G6" s="108">
        <v>0.2</v>
      </c>
      <c r="H6" s="96" t="s">
        <v>165</v>
      </c>
      <c r="I6" s="96"/>
      <c r="J6" s="96"/>
      <c r="K6" s="96"/>
      <c r="L6" s="96"/>
    </row>
    <row r="7" spans="1:12" hidden="1" outlineLevel="1" x14ac:dyDescent="0.15">
      <c r="C7" s="101" t="s">
        <v>3</v>
      </c>
      <c r="D7" s="106"/>
      <c r="G7" s="108">
        <v>0.3</v>
      </c>
      <c r="H7" s="96" t="s">
        <v>165</v>
      </c>
      <c r="I7" s="96"/>
      <c r="J7" s="96"/>
      <c r="K7" s="96"/>
      <c r="L7" s="96"/>
    </row>
    <row r="8" spans="1:12" hidden="1" outlineLevel="1" x14ac:dyDescent="0.15">
      <c r="C8" s="101" t="s">
        <v>4</v>
      </c>
      <c r="D8" s="106"/>
      <c r="G8" s="108">
        <v>0.3</v>
      </c>
      <c r="H8" s="96" t="s">
        <v>165</v>
      </c>
      <c r="I8" s="96"/>
      <c r="J8" s="96"/>
      <c r="K8" s="96"/>
      <c r="L8" s="96"/>
    </row>
    <row r="9" spans="1:12" hidden="1" outlineLevel="1" x14ac:dyDescent="0.15">
      <c r="C9" s="101"/>
      <c r="D9" s="106"/>
      <c r="H9" s="96"/>
      <c r="I9" s="96"/>
      <c r="J9" s="96"/>
      <c r="K9" s="96"/>
      <c r="L9" s="96"/>
    </row>
    <row r="10" spans="1:12" hidden="1" outlineLevel="1" x14ac:dyDescent="0.15">
      <c r="C10" s="107" t="s">
        <v>169</v>
      </c>
      <c r="D10" s="106"/>
      <c r="H10" s="96"/>
      <c r="I10" s="96"/>
      <c r="J10" s="96"/>
      <c r="K10" s="96"/>
      <c r="L10" s="96"/>
    </row>
    <row r="11" spans="1:12" hidden="1" outlineLevel="1" x14ac:dyDescent="0.15">
      <c r="C11" s="101" t="s">
        <v>1</v>
      </c>
      <c r="D11" s="106"/>
      <c r="G11" s="108">
        <v>0.02</v>
      </c>
      <c r="H11" s="96" t="s">
        <v>165</v>
      </c>
      <c r="I11" s="96"/>
      <c r="J11" s="96"/>
      <c r="K11" s="96"/>
      <c r="L11" s="96"/>
    </row>
    <row r="12" spans="1:12" hidden="1" outlineLevel="1" x14ac:dyDescent="0.15">
      <c r="C12" s="101" t="s">
        <v>2</v>
      </c>
      <c r="D12" s="106"/>
      <c r="G12" s="108">
        <v>0</v>
      </c>
      <c r="H12" s="96" t="s">
        <v>165</v>
      </c>
      <c r="I12" s="96"/>
      <c r="J12" s="96"/>
      <c r="K12" s="96"/>
      <c r="L12" s="96"/>
    </row>
    <row r="13" spans="1:12" hidden="1" outlineLevel="1" x14ac:dyDescent="0.15">
      <c r="C13" s="101" t="s">
        <v>3</v>
      </c>
      <c r="D13" s="106"/>
      <c r="G13" s="108">
        <v>0</v>
      </c>
      <c r="H13" s="96" t="s">
        <v>165</v>
      </c>
      <c r="I13" s="96"/>
      <c r="J13" s="96"/>
      <c r="K13" s="96"/>
      <c r="L13" s="96"/>
    </row>
    <row r="14" spans="1:12" hidden="1" outlineLevel="1" x14ac:dyDescent="0.15">
      <c r="C14" s="101" t="s">
        <v>4</v>
      </c>
      <c r="D14" s="106"/>
      <c r="G14" s="108">
        <v>0.15</v>
      </c>
      <c r="H14" s="96" t="s">
        <v>165</v>
      </c>
      <c r="I14" s="96"/>
      <c r="J14" s="96"/>
      <c r="K14" s="96"/>
      <c r="L14" s="96"/>
    </row>
    <row r="15" spans="1:12" hidden="1" outlineLevel="1" x14ac:dyDescent="0.15">
      <c r="C15" s="101"/>
      <c r="D15" s="106"/>
    </row>
    <row r="16" spans="1:12" hidden="1" outlineLevel="1" x14ac:dyDescent="0.15">
      <c r="C16" s="101" t="s">
        <v>174</v>
      </c>
      <c r="D16" s="106"/>
      <c r="G16" s="108">
        <v>0.5</v>
      </c>
      <c r="H16" s="96" t="s">
        <v>165</v>
      </c>
    </row>
    <row r="17" spans="1:12" hidden="1" outlineLevel="1" x14ac:dyDescent="0.15">
      <c r="C17" s="101"/>
      <c r="D17" s="106"/>
    </row>
    <row r="18" spans="1:12" hidden="1" outlineLevel="1" x14ac:dyDescent="0.15">
      <c r="C18" s="101" t="s">
        <v>168</v>
      </c>
      <c r="D18" s="109"/>
      <c r="G18" s="110">
        <v>5</v>
      </c>
      <c r="H18" s="96" t="s">
        <v>167</v>
      </c>
    </row>
    <row r="19" spans="1:12" hidden="1" outlineLevel="1" x14ac:dyDescent="0.15">
      <c r="C19" s="101" t="s">
        <v>166</v>
      </c>
      <c r="D19" s="109"/>
      <c r="G19" s="111">
        <v>0.995</v>
      </c>
      <c r="H19" s="96" t="s">
        <v>165</v>
      </c>
    </row>
    <row r="20" spans="1:12" hidden="1" outlineLevel="1" x14ac:dyDescent="0.15">
      <c r="C20" s="101" t="s">
        <v>17</v>
      </c>
      <c r="D20" s="109"/>
      <c r="G20" s="139">
        <f>'2021-2026 Unserved Energy'!$C$5</f>
        <v>9415128.2345357668</v>
      </c>
      <c r="H20" s="96" t="s">
        <v>157</v>
      </c>
    </row>
    <row r="21" spans="1:12" hidden="1" outlineLevel="1" x14ac:dyDescent="0.15">
      <c r="C21" s="101" t="s">
        <v>164</v>
      </c>
      <c r="D21" s="109"/>
      <c r="G21" s="139">
        <f>'2021-2026 Unserved Energy'!$C$6</f>
        <v>811694</v>
      </c>
      <c r="H21" s="96" t="s">
        <v>163</v>
      </c>
    </row>
    <row r="22" spans="1:12" ht="14.25" hidden="1" customHeight="1" outlineLevel="1" x14ac:dyDescent="0.15">
      <c r="C22" s="101"/>
      <c r="D22" s="109"/>
    </row>
    <row r="23" spans="1:12" hidden="1" outlineLevel="1" x14ac:dyDescent="0.15">
      <c r="C23" s="101" t="s">
        <v>162</v>
      </c>
      <c r="G23" s="112" t="s">
        <v>161</v>
      </c>
      <c r="H23" s="96" t="s">
        <v>157</v>
      </c>
    </row>
    <row r="24" spans="1:12" hidden="1" outlineLevel="1" x14ac:dyDescent="0.15">
      <c r="C24" s="101" t="s">
        <v>160</v>
      </c>
      <c r="G24" s="112" t="s">
        <v>159</v>
      </c>
      <c r="H24" s="96" t="s">
        <v>157</v>
      </c>
    </row>
    <row r="25" spans="1:12" hidden="1" outlineLevel="1" x14ac:dyDescent="0.15">
      <c r="D25" s="109"/>
    </row>
    <row r="26" spans="1:12" hidden="1" outlineLevel="1" x14ac:dyDescent="0.15">
      <c r="A26" s="113"/>
      <c r="B26" s="113" t="s">
        <v>158</v>
      </c>
      <c r="C26" s="113"/>
      <c r="D26" s="114"/>
      <c r="E26" s="113"/>
      <c r="F26" s="115"/>
      <c r="G26" s="115"/>
      <c r="H26" s="97"/>
      <c r="I26" s="115"/>
      <c r="J26" s="115"/>
      <c r="K26" s="115"/>
      <c r="L26" s="115"/>
    </row>
    <row r="27" spans="1:12" ht="13.15" hidden="1" customHeight="1" outlineLevel="1" x14ac:dyDescent="0.15">
      <c r="D27" s="106"/>
    </row>
    <row r="28" spans="1:12" ht="13.15" hidden="1" customHeight="1" outlineLevel="1" x14ac:dyDescent="0.15">
      <c r="D28" s="106"/>
      <c r="E28" s="109"/>
      <c r="I28" s="116" t="s">
        <v>5</v>
      </c>
      <c r="J28" s="116" t="s">
        <v>6</v>
      </c>
      <c r="K28" s="116" t="s">
        <v>7</v>
      </c>
    </row>
    <row r="29" spans="1:12" ht="13.15" hidden="1" customHeight="1" outlineLevel="1" x14ac:dyDescent="0.15">
      <c r="A29" s="101"/>
      <c r="B29" s="101"/>
      <c r="C29" s="117" t="s">
        <v>1</v>
      </c>
      <c r="D29" s="118"/>
      <c r="E29" s="117"/>
      <c r="H29" s="96" t="s">
        <v>157</v>
      </c>
      <c r="I29" s="142">
        <f>'T2 Base'!I27</f>
        <v>357</v>
      </c>
      <c r="J29" s="142">
        <f>'T2 Base'!J27</f>
        <v>840</v>
      </c>
      <c r="K29" s="142">
        <f>'T2 Base'!K27</f>
        <v>3108</v>
      </c>
    </row>
    <row r="30" spans="1:12" ht="13.15" hidden="1" customHeight="1" outlineLevel="1" x14ac:dyDescent="0.15">
      <c r="C30" s="117" t="s">
        <v>2</v>
      </c>
      <c r="D30" s="118"/>
      <c r="E30" s="117"/>
      <c r="H30" s="96" t="s">
        <v>157</v>
      </c>
      <c r="I30" s="142">
        <f>'T2 Base'!I28</f>
        <v>3</v>
      </c>
      <c r="J30" s="142">
        <f>'T2 Base'!J28</f>
        <v>35</v>
      </c>
      <c r="K30" s="142">
        <f>'T2 Base'!K28</f>
        <v>340</v>
      </c>
    </row>
    <row r="31" spans="1:12" ht="13.15" hidden="1" customHeight="1" outlineLevel="1" x14ac:dyDescent="0.15">
      <c r="C31" s="117" t="s">
        <v>3</v>
      </c>
      <c r="D31" s="118"/>
      <c r="E31" s="117"/>
      <c r="H31" s="96" t="s">
        <v>157</v>
      </c>
      <c r="I31" s="142">
        <f>'T2 Base'!I29</f>
        <v>39</v>
      </c>
      <c r="J31" s="142">
        <f>'T2 Base'!J29</f>
        <v>63</v>
      </c>
      <c r="K31" s="142">
        <f>'T2 Base'!K29</f>
        <v>103</v>
      </c>
    </row>
    <row r="32" spans="1:12" ht="13.15" hidden="1" customHeight="1" outlineLevel="1" x14ac:dyDescent="0.15">
      <c r="C32" s="117" t="s">
        <v>4</v>
      </c>
      <c r="D32" s="118"/>
      <c r="E32" s="117"/>
      <c r="H32" s="96" t="s">
        <v>157</v>
      </c>
      <c r="I32" s="142">
        <f>'T2 Base'!I30</f>
        <v>36</v>
      </c>
      <c r="J32" s="142">
        <f>'T2 Base'!J30</f>
        <v>230</v>
      </c>
      <c r="K32" s="142">
        <f>'T2 Base'!K30</f>
        <v>1245</v>
      </c>
    </row>
    <row r="33" spans="1:12" hidden="1" outlineLevel="1" x14ac:dyDescent="0.15">
      <c r="D33" s="109"/>
    </row>
    <row r="34" spans="1:12" hidden="1" outlineLevel="1" x14ac:dyDescent="0.15">
      <c r="A34" s="113"/>
      <c r="B34" s="113" t="s">
        <v>156</v>
      </c>
      <c r="C34" s="113"/>
      <c r="D34" s="114"/>
      <c r="E34" s="113"/>
      <c r="F34" s="115"/>
      <c r="G34" s="115"/>
      <c r="H34" s="97"/>
      <c r="I34" s="115"/>
      <c r="J34" s="115"/>
      <c r="K34" s="115"/>
      <c r="L34" s="115"/>
    </row>
    <row r="35" spans="1:12" ht="13.15" hidden="1" customHeight="1" outlineLevel="1" x14ac:dyDescent="0.15">
      <c r="D35" s="109"/>
    </row>
    <row r="36" spans="1:12" ht="13.15" hidden="1" customHeight="1" outlineLevel="1" x14ac:dyDescent="0.15">
      <c r="A36" s="101"/>
      <c r="B36" s="101"/>
      <c r="C36" s="101"/>
      <c r="E36" s="109"/>
      <c r="H36" s="96"/>
      <c r="I36" s="116" t="s">
        <v>5</v>
      </c>
      <c r="J36" s="116" t="s">
        <v>6</v>
      </c>
      <c r="K36" s="116" t="s">
        <v>7</v>
      </c>
    </row>
    <row r="37" spans="1:12" ht="13.15" hidden="1" customHeight="1" outlineLevel="1" x14ac:dyDescent="0.15">
      <c r="C37" s="101" t="str">
        <f>$C$29</f>
        <v>22KV Dist Sub Outage</v>
      </c>
      <c r="D37" s="109"/>
      <c r="H37" s="96" t="s">
        <v>155</v>
      </c>
      <c r="I37" s="143">
        <f>'T2 Base'!I35</f>
        <v>1677369</v>
      </c>
      <c r="J37" s="143">
        <f>'T2 Base'!J35</f>
        <v>2262081</v>
      </c>
      <c r="K37" s="143">
        <f>'T2 Base'!K35</f>
        <v>3641610</v>
      </c>
    </row>
    <row r="38" spans="1:12" ht="13.15" hidden="1" customHeight="1" outlineLevel="1" x14ac:dyDescent="0.15">
      <c r="C38" s="101" t="str">
        <f>$C$30</f>
        <v>HV 22kv ACR Outage</v>
      </c>
      <c r="D38" s="109"/>
      <c r="H38" s="96" t="s">
        <v>155</v>
      </c>
      <c r="I38" s="143">
        <f>'T2 Base'!I36</f>
        <v>553260</v>
      </c>
      <c r="J38" s="143">
        <f>'T2 Base'!J36</f>
        <v>5592923</v>
      </c>
      <c r="K38" s="143">
        <f>'T2 Base'!K36</f>
        <v>38672971</v>
      </c>
    </row>
    <row r="39" spans="1:12" ht="13.15" hidden="1" customHeight="1" outlineLevel="1" x14ac:dyDescent="0.15">
      <c r="C39" s="101" t="str">
        <f>$C$31</f>
        <v>HV 22KV CB Outage</v>
      </c>
      <c r="D39" s="109"/>
      <c r="H39" s="96" t="s">
        <v>155</v>
      </c>
      <c r="I39" s="143">
        <f>'T2 Base'!I37</f>
        <v>7673630</v>
      </c>
      <c r="J39" s="143">
        <f>'T2 Base'!J37</f>
        <v>13891079</v>
      </c>
      <c r="K39" s="143">
        <f>'T2 Base'!K37</f>
        <v>25970033</v>
      </c>
    </row>
    <row r="40" spans="1:12" ht="13.15" hidden="1" customHeight="1" outlineLevel="1" x14ac:dyDescent="0.15">
      <c r="C40" s="101" t="str">
        <f>$C$32</f>
        <v>HV 22KV Line Outage</v>
      </c>
      <c r="D40" s="109"/>
      <c r="H40" s="96" t="s">
        <v>155</v>
      </c>
      <c r="I40" s="143">
        <f>'T2 Base'!I38</f>
        <v>1443360</v>
      </c>
      <c r="J40" s="143">
        <f>'T2 Base'!J38</f>
        <v>2897894</v>
      </c>
      <c r="K40" s="143">
        <f>'T2 Base'!K38</f>
        <v>19260807</v>
      </c>
    </row>
    <row r="41" spans="1:12" hidden="1" outlineLevel="1" x14ac:dyDescent="0.15">
      <c r="D41" s="109"/>
    </row>
    <row r="42" spans="1:12" ht="12.75" customHeight="1" x14ac:dyDescent="0.15">
      <c r="A42" s="103" t="s">
        <v>154</v>
      </c>
      <c r="B42" s="103"/>
      <c r="C42" s="103"/>
      <c r="D42" s="104"/>
      <c r="E42" s="105"/>
      <c r="F42" s="105"/>
      <c r="G42" s="105"/>
      <c r="H42" s="95"/>
      <c r="I42" s="105"/>
      <c r="J42" s="105"/>
      <c r="K42" s="105"/>
      <c r="L42" s="105"/>
    </row>
    <row r="43" spans="1:12" x14ac:dyDescent="0.15"/>
    <row r="44" spans="1:12" x14ac:dyDescent="0.15">
      <c r="C44" s="180" t="str">
        <f>CONCATENATE("Annual Average Performance Before"," ",'T2 Smart ACRs'!G23," - ",'T2 Smart ACRs'!G24)</f>
        <v>Annual Average Performance Before 2011/2012 - 2015/2016</v>
      </c>
      <c r="D44" s="180"/>
      <c r="E44" s="180"/>
      <c r="F44" s="180"/>
      <c r="G44" s="180"/>
      <c r="H44" s="180"/>
      <c r="I44" s="180"/>
      <c r="J44" s="180"/>
      <c r="K44" s="180"/>
      <c r="L44" s="180"/>
    </row>
    <row r="45" spans="1:12" x14ac:dyDescent="0.15"/>
    <row r="46" spans="1:12" x14ac:dyDescent="0.15">
      <c r="C46" s="99" t="s">
        <v>153</v>
      </c>
      <c r="I46" s="116" t="s">
        <v>5</v>
      </c>
      <c r="J46" s="116" t="s">
        <v>6</v>
      </c>
      <c r="K46" s="116" t="s">
        <v>7</v>
      </c>
      <c r="L46" s="116" t="s">
        <v>8</v>
      </c>
    </row>
    <row r="47" spans="1:12" x14ac:dyDescent="0.15">
      <c r="C47" s="101" t="str">
        <f>$C$29</f>
        <v>22KV Dist Sub Outage</v>
      </c>
      <c r="I47" s="121">
        <f>'T2 Smart ACRs'!I29/'T2 Smart ACRs'!$G$18</f>
        <v>71.400000000000006</v>
      </c>
      <c r="J47" s="121">
        <f>'T2 Smart ACRs'!J29/'T2 Smart ACRs'!$G$18</f>
        <v>168</v>
      </c>
      <c r="K47" s="121">
        <f>'T2 Smart ACRs'!K29/'T2 Smart ACRs'!$G$18</f>
        <v>621.6</v>
      </c>
      <c r="L47" s="121">
        <f>SUM(I47:K47)</f>
        <v>861</v>
      </c>
    </row>
    <row r="48" spans="1:12" x14ac:dyDescent="0.15">
      <c r="C48" s="101" t="str">
        <f>$C$30</f>
        <v>HV 22kv ACR Outage</v>
      </c>
      <c r="I48" s="121">
        <f>'T2 Smart ACRs'!I30/'T2 Smart ACRs'!$G$18</f>
        <v>0.6</v>
      </c>
      <c r="J48" s="121">
        <f>'T2 Smart ACRs'!J30/'T2 Smart ACRs'!$G$18</f>
        <v>7</v>
      </c>
      <c r="K48" s="121">
        <f>'T2 Smart ACRs'!K30/'T2 Smart ACRs'!$G$18</f>
        <v>68</v>
      </c>
      <c r="L48" s="121">
        <f>SUM(I48:K48)</f>
        <v>75.599999999999994</v>
      </c>
    </row>
    <row r="49" spans="3:12" x14ac:dyDescent="0.15">
      <c r="C49" s="101" t="str">
        <f>$C$31</f>
        <v>HV 22KV CB Outage</v>
      </c>
      <c r="I49" s="121">
        <f>'T2 Smart ACRs'!I31/'T2 Smart ACRs'!$G$18</f>
        <v>7.8</v>
      </c>
      <c r="J49" s="121">
        <f>'T2 Smart ACRs'!J31/'T2 Smart ACRs'!$G$18</f>
        <v>12.6</v>
      </c>
      <c r="K49" s="121">
        <f>'T2 Smart ACRs'!K31/'T2 Smart ACRs'!$G$18</f>
        <v>20.6</v>
      </c>
      <c r="L49" s="121">
        <f>SUM(I49:K49)</f>
        <v>41</v>
      </c>
    </row>
    <row r="50" spans="3:12" x14ac:dyDescent="0.15">
      <c r="C50" s="122" t="str">
        <f>$C$32</f>
        <v>HV 22KV Line Outage</v>
      </c>
      <c r="D50" s="123"/>
      <c r="E50" s="122"/>
      <c r="F50" s="122"/>
      <c r="G50" s="122"/>
      <c r="H50" s="124"/>
      <c r="I50" s="121">
        <f>'T2 Smart ACRs'!I32/'T2 Smart ACRs'!$G$18</f>
        <v>7.2</v>
      </c>
      <c r="J50" s="121">
        <f>'T2 Smart ACRs'!J32/'T2 Smart ACRs'!$G$18</f>
        <v>46</v>
      </c>
      <c r="K50" s="121">
        <f>'T2 Smart ACRs'!K32/'T2 Smart ACRs'!$G$18</f>
        <v>249</v>
      </c>
      <c r="L50" s="121">
        <f>SUM(I50:K50)</f>
        <v>302.2</v>
      </c>
    </row>
    <row r="51" spans="3:12" x14ac:dyDescent="0.15"/>
    <row r="52" spans="3:12" x14ac:dyDescent="0.15">
      <c r="C52" s="99" t="s">
        <v>145</v>
      </c>
      <c r="I52" s="116" t="s">
        <v>5</v>
      </c>
      <c r="J52" s="116" t="s">
        <v>6</v>
      </c>
      <c r="K52" s="116" t="s">
        <v>7</v>
      </c>
      <c r="L52" s="116" t="s">
        <v>8</v>
      </c>
    </row>
    <row r="53" spans="3:12" x14ac:dyDescent="0.15">
      <c r="C53" s="101" t="str">
        <f>$C$29</f>
        <v>22KV Dist Sub Outage</v>
      </c>
      <c r="D53" s="125"/>
      <c r="I53" s="126">
        <f>'T2 Smart ACRs'!I37/'T2 Smart ACRs'!$G$18</f>
        <v>335473.8</v>
      </c>
      <c r="J53" s="126">
        <f>'T2 Smart ACRs'!J37/'T2 Smart ACRs'!$G$18</f>
        <v>452416.2</v>
      </c>
      <c r="K53" s="126">
        <f>'T2 Smart ACRs'!K37/'T2 Smart ACRs'!$G$18</f>
        <v>728322</v>
      </c>
      <c r="L53" s="121">
        <f>SUM(I53:K53)</f>
        <v>1516212</v>
      </c>
    </row>
    <row r="54" spans="3:12" x14ac:dyDescent="0.15">
      <c r="C54" s="101" t="str">
        <f>$C$30</f>
        <v>HV 22kv ACR Outage</v>
      </c>
      <c r="D54" s="125"/>
      <c r="I54" s="126">
        <f>'T2 Smart ACRs'!I38/'T2 Smart ACRs'!$G$18</f>
        <v>110652</v>
      </c>
      <c r="J54" s="126">
        <f>'T2 Smart ACRs'!J38/'T2 Smart ACRs'!$G$18</f>
        <v>1118584.6000000001</v>
      </c>
      <c r="K54" s="126">
        <f>'T2 Smart ACRs'!K38/'T2 Smart ACRs'!$G$18</f>
        <v>7734594.2000000002</v>
      </c>
      <c r="L54" s="121">
        <f>SUM(I54:K54)</f>
        <v>8963830.8000000007</v>
      </c>
    </row>
    <row r="55" spans="3:12" x14ac:dyDescent="0.15">
      <c r="C55" s="101" t="str">
        <f>$C$31</f>
        <v>HV 22KV CB Outage</v>
      </c>
      <c r="D55" s="125"/>
      <c r="I55" s="126">
        <f>'T2 Smart ACRs'!I39/'T2 Smart ACRs'!$G$18</f>
        <v>1534726</v>
      </c>
      <c r="J55" s="126">
        <f>'T2 Smart ACRs'!J39/'T2 Smart ACRs'!$G$18</f>
        <v>2778215.8</v>
      </c>
      <c r="K55" s="126">
        <f>'T2 Smart ACRs'!K39/'T2 Smart ACRs'!$G$18</f>
        <v>5194006.5999999996</v>
      </c>
      <c r="L55" s="121">
        <f>SUM(I55:K55)</f>
        <v>9506948.3999999985</v>
      </c>
    </row>
    <row r="56" spans="3:12" x14ac:dyDescent="0.15">
      <c r="C56" s="122" t="str">
        <f>$C$32</f>
        <v>HV 22KV Line Outage</v>
      </c>
      <c r="D56" s="127"/>
      <c r="E56" s="122"/>
      <c r="F56" s="122"/>
      <c r="G56" s="122"/>
      <c r="H56" s="124"/>
      <c r="I56" s="126">
        <f>'T2 Smart ACRs'!I40/'T2 Smart ACRs'!$G$18</f>
        <v>288672</v>
      </c>
      <c r="J56" s="126">
        <f>'T2 Smart ACRs'!J40/'T2 Smart ACRs'!$G$18</f>
        <v>579578.80000000005</v>
      </c>
      <c r="K56" s="126">
        <f>'T2 Smart ACRs'!K40/'T2 Smart ACRs'!$G$18</f>
        <v>3852161.4</v>
      </c>
      <c r="L56" s="121">
        <f>SUM(I56:K56)</f>
        <v>4720412.2</v>
      </c>
    </row>
    <row r="57" spans="3:12" x14ac:dyDescent="0.15"/>
    <row r="58" spans="3:12" x14ac:dyDescent="0.15">
      <c r="C58" s="128" t="s">
        <v>152</v>
      </c>
      <c r="I58" s="116" t="s">
        <v>5</v>
      </c>
      <c r="J58" s="116" t="s">
        <v>6</v>
      </c>
      <c r="K58" s="116" t="s">
        <v>7</v>
      </c>
      <c r="L58" s="116" t="s">
        <v>8</v>
      </c>
    </row>
    <row r="59" spans="3:12" x14ac:dyDescent="0.15">
      <c r="C59" s="101" t="str">
        <f>$C$29</f>
        <v>22KV Dist Sub Outage</v>
      </c>
      <c r="I59" s="129">
        <f>IF(ISERROR('T2 Smart ACRs'!I53/'T2 Smart ACRs'!I47),0,'T2 Smart ACRs'!I53/'T2 Smart ACRs'!I47)</f>
        <v>4698.5126050420158</v>
      </c>
      <c r="J59" s="129">
        <f>IF(ISERROR('T2 Smart ACRs'!J53/'T2 Smart ACRs'!J47),0,'T2 Smart ACRs'!J53/'T2 Smart ACRs'!J47)</f>
        <v>2692.9535714285716</v>
      </c>
      <c r="K59" s="129">
        <f>IF(ISERROR('T2 Smart ACRs'!K53/'T2 Smart ACRs'!K47),0,'T2 Smart ACRs'!K53/'T2 Smart ACRs'!K47)</f>
        <v>1171.6891891891892</v>
      </c>
      <c r="L59" s="130"/>
    </row>
    <row r="60" spans="3:12" x14ac:dyDescent="0.15">
      <c r="C60" s="101" t="str">
        <f>$C$30</f>
        <v>HV 22kv ACR Outage</v>
      </c>
      <c r="I60" s="129">
        <f>IF(ISERROR('T2 Smart ACRs'!I54/'T2 Smart ACRs'!I48),0,'T2 Smart ACRs'!I54/'T2 Smart ACRs'!I48)</f>
        <v>184420</v>
      </c>
      <c r="J60" s="129">
        <f>IF(ISERROR('T2 Smart ACRs'!J54/'T2 Smart ACRs'!J48),0,'T2 Smart ACRs'!J54/'T2 Smart ACRs'!J48)</f>
        <v>159797.80000000002</v>
      </c>
      <c r="K60" s="129">
        <f>IF(ISERROR('T2 Smart ACRs'!K54/'T2 Smart ACRs'!K48),0,'T2 Smart ACRs'!K54/'T2 Smart ACRs'!K48)</f>
        <v>113744.03235294118</v>
      </c>
      <c r="L60" s="130"/>
    </row>
    <row r="61" spans="3:12" x14ac:dyDescent="0.15">
      <c r="C61" s="101" t="str">
        <f>$C$31</f>
        <v>HV 22KV CB Outage</v>
      </c>
      <c r="I61" s="129">
        <f>IF(ISERROR('T2 Smart ACRs'!I55/'T2 Smart ACRs'!I49),0,'T2 Smart ACRs'!I55/'T2 Smart ACRs'!I49)</f>
        <v>196759.74358974359</v>
      </c>
      <c r="J61" s="129">
        <f>IF(ISERROR('T2 Smart ACRs'!J55/'T2 Smart ACRs'!J49),0,'T2 Smart ACRs'!J55/'T2 Smart ACRs'!J49)</f>
        <v>220493.31746031746</v>
      </c>
      <c r="K61" s="129">
        <f>IF(ISERROR('T2 Smart ACRs'!K55/'T2 Smart ACRs'!K49),0,'T2 Smart ACRs'!K55/'T2 Smart ACRs'!K49)</f>
        <v>252136.24271844656</v>
      </c>
      <c r="L61" s="130"/>
    </row>
    <row r="62" spans="3:12" x14ac:dyDescent="0.15">
      <c r="C62" s="122" t="str">
        <f>$C$32</f>
        <v>HV 22KV Line Outage</v>
      </c>
      <c r="D62" s="123"/>
      <c r="E62" s="122"/>
      <c r="F62" s="122"/>
      <c r="G62" s="122"/>
      <c r="H62" s="124"/>
      <c r="I62" s="129">
        <f>IF(ISERROR('T2 Smart ACRs'!I56/'T2 Smart ACRs'!I50),0,'T2 Smart ACRs'!I56/'T2 Smart ACRs'!I50)</f>
        <v>40093.333333333336</v>
      </c>
      <c r="J62" s="129">
        <f>IF(ISERROR('T2 Smart ACRs'!J56/'T2 Smart ACRs'!J50),0,'T2 Smart ACRs'!J56/'T2 Smart ACRs'!J50)</f>
        <v>12599.539130434783</v>
      </c>
      <c r="K62" s="129">
        <f>IF(ISERROR('T2 Smart ACRs'!K56/'T2 Smart ACRs'!K50),0,'T2 Smart ACRs'!K56/'T2 Smart ACRs'!K50)</f>
        <v>15470.527710843373</v>
      </c>
      <c r="L62" s="130"/>
    </row>
    <row r="63" spans="3:12" x14ac:dyDescent="0.15"/>
    <row r="64" spans="3:12" x14ac:dyDescent="0.15">
      <c r="C64" s="99" t="s">
        <v>129</v>
      </c>
      <c r="I64" s="116" t="s">
        <v>5</v>
      </c>
      <c r="J64" s="116" t="s">
        <v>6</v>
      </c>
      <c r="K64" s="116" t="s">
        <v>7</v>
      </c>
      <c r="L64" s="116" t="s">
        <v>8</v>
      </c>
    </row>
    <row r="65" spans="3:12" x14ac:dyDescent="0.15">
      <c r="C65" s="101" t="str">
        <f>$C$29</f>
        <v>22KV Dist Sub Outage</v>
      </c>
      <c r="I65" s="131">
        <f>ROUND(('T2 Smart ACRs'!I53*('T2 Smart ACRs'!$G$20/('T2 Smart ACRs'!$G$21*365*24*60))),3)</f>
        <v>7.4039999999999999</v>
      </c>
      <c r="J65" s="131">
        <f>ROUND(('T2 Smart ACRs'!J53*('T2 Smart ACRs'!$G$20/('T2 Smart ACRs'!$G$21*365*24*60))),3)</f>
        <v>9.984</v>
      </c>
      <c r="K65" s="131">
        <f>ROUND(('T2 Smart ACRs'!K53*('T2 Smart ACRs'!$G$20/('T2 Smart ACRs'!$G$21*365*24*60))),3)</f>
        <v>16.073</v>
      </c>
      <c r="L65" s="131">
        <f>ROUND(('T2 Smart ACRs'!L53*('T2 Smart ACRs'!$G$20/('T2 Smart ACRs'!$G$21*365*24*60))),3)</f>
        <v>33.460999999999999</v>
      </c>
    </row>
    <row r="66" spans="3:12" x14ac:dyDescent="0.15">
      <c r="C66" s="101" t="str">
        <f>$C$30</f>
        <v>HV 22kv ACR Outage</v>
      </c>
      <c r="I66" s="131">
        <f>ROUND(('T2 Smart ACRs'!I54*('T2 Smart ACRs'!$G$20/('T2 Smart ACRs'!$G$21*365*24*60))),3)</f>
        <v>2.4420000000000002</v>
      </c>
      <c r="J66" s="131">
        <f>ROUND(('T2 Smart ACRs'!J54*('T2 Smart ACRs'!$G$20/('T2 Smart ACRs'!$G$21*365*24*60))),3)</f>
        <v>24.686</v>
      </c>
      <c r="K66" s="131">
        <f>ROUND(('T2 Smart ACRs'!K54*('T2 Smart ACRs'!$G$20/('T2 Smart ACRs'!$G$21*365*24*60))),3)</f>
        <v>170.69300000000001</v>
      </c>
      <c r="L66" s="131">
        <f>ROUND(('T2 Smart ACRs'!L54*('T2 Smart ACRs'!$G$20/('T2 Smart ACRs'!$G$21*365*24*60))),3)</f>
        <v>197.821</v>
      </c>
    </row>
    <row r="67" spans="3:12" x14ac:dyDescent="0.15">
      <c r="C67" s="101" t="str">
        <f>$C$31</f>
        <v>HV 22KV CB Outage</v>
      </c>
      <c r="I67" s="131">
        <f>ROUND(('T2 Smart ACRs'!I55*('T2 Smart ACRs'!$G$20/('T2 Smart ACRs'!$G$21*365*24*60))),3)</f>
        <v>33.869999999999997</v>
      </c>
      <c r="J67" s="131">
        <f>ROUND(('T2 Smart ACRs'!J55*('T2 Smart ACRs'!$G$20/('T2 Smart ACRs'!$G$21*365*24*60))),3)</f>
        <v>61.311999999999998</v>
      </c>
      <c r="K67" s="131">
        <f>ROUND(('T2 Smart ACRs'!K55*('T2 Smart ACRs'!$G$20/('T2 Smart ACRs'!$G$21*365*24*60))),3)</f>
        <v>114.625</v>
      </c>
      <c r="L67" s="131">
        <f>ROUND(('T2 Smart ACRs'!L55*('T2 Smart ACRs'!$G$20/('T2 Smart ACRs'!$G$21*365*24*60))),3)</f>
        <v>209.80699999999999</v>
      </c>
    </row>
    <row r="68" spans="3:12" x14ac:dyDescent="0.15">
      <c r="C68" s="122" t="str">
        <f>$C$32</f>
        <v>HV 22KV Line Outage</v>
      </c>
      <c r="D68" s="123"/>
      <c r="E68" s="122"/>
      <c r="F68" s="122"/>
      <c r="G68" s="122"/>
      <c r="H68" s="124"/>
      <c r="I68" s="131">
        <f>ROUND(('T2 Smart ACRs'!I56*('T2 Smart ACRs'!$G$20/('T2 Smart ACRs'!$G$21*365*24*60))),3)</f>
        <v>6.3710000000000004</v>
      </c>
      <c r="J68" s="131">
        <f>ROUND(('T2 Smart ACRs'!J56*('T2 Smart ACRs'!$G$20/('T2 Smart ACRs'!$G$21*365*24*60))),3)</f>
        <v>12.791</v>
      </c>
      <c r="K68" s="131">
        <f>ROUND(('T2 Smart ACRs'!K56*('T2 Smart ACRs'!$G$20/('T2 Smart ACRs'!$G$21*365*24*60))),3)</f>
        <v>85.013000000000005</v>
      </c>
      <c r="L68" s="131">
        <f>ROUND(('T2 Smart ACRs'!L56*('T2 Smart ACRs'!$G$20/('T2 Smart ACRs'!$G$21*365*24*60))),3)</f>
        <v>104.17400000000001</v>
      </c>
    </row>
    <row r="69" spans="3:12" x14ac:dyDescent="0.15">
      <c r="C69" s="99" t="s">
        <v>128</v>
      </c>
      <c r="D69" s="132"/>
      <c r="E69" s="99"/>
      <c r="F69" s="99"/>
      <c r="G69" s="99"/>
      <c r="H69" s="133"/>
      <c r="I69" s="134">
        <f>SUM(I65:I68)</f>
        <v>50.086999999999996</v>
      </c>
      <c r="J69" s="134">
        <f>SUM(J65:J68)</f>
        <v>108.773</v>
      </c>
      <c r="K69" s="134">
        <f>SUM(K65:K68)</f>
        <v>386.404</v>
      </c>
      <c r="L69" s="134">
        <f>SUM(L65:L68)</f>
        <v>545.26299999999992</v>
      </c>
    </row>
    <row r="70" spans="3:12" x14ac:dyDescent="0.15"/>
    <row r="71" spans="3:12" x14ac:dyDescent="0.15">
      <c r="C71" s="181" t="s">
        <v>151</v>
      </c>
      <c r="D71" s="181"/>
      <c r="E71" s="181"/>
      <c r="F71" s="181"/>
      <c r="G71" s="181"/>
      <c r="H71" s="181"/>
      <c r="I71" s="181"/>
      <c r="J71" s="181"/>
      <c r="K71" s="181"/>
      <c r="L71" s="181"/>
    </row>
    <row r="72" spans="3:12" x14ac:dyDescent="0.15"/>
    <row r="73" spans="3:12" x14ac:dyDescent="0.15">
      <c r="C73" s="99" t="s">
        <v>150</v>
      </c>
      <c r="I73" s="116" t="s">
        <v>5</v>
      </c>
      <c r="J73" s="116" t="s">
        <v>6</v>
      </c>
      <c r="K73" s="116" t="s">
        <v>7</v>
      </c>
    </row>
    <row r="74" spans="3:12" x14ac:dyDescent="0.15">
      <c r="C74" s="101" t="str">
        <f>$C$29</f>
        <v>22KV Dist Sub Outage</v>
      </c>
      <c r="I74" s="135">
        <f>'T2 Smart ACRs'!I47*(1-'T2 Smart ACRs'!$G$19)</f>
        <v>0.35700000000000037</v>
      </c>
      <c r="J74" s="135">
        <f>'T2 Smart ACRs'!J47*(1-'T2 Smart ACRs'!$G$19)</f>
        <v>0.84000000000000075</v>
      </c>
      <c r="K74" s="135">
        <f>'T2 Smart ACRs'!K47*(1-'T2 Smart ACRs'!$G$19)</f>
        <v>3.1080000000000028</v>
      </c>
    </row>
    <row r="75" spans="3:12" x14ac:dyDescent="0.15">
      <c r="C75" s="101" t="str">
        <f>$C$30</f>
        <v>HV 22kv ACR Outage</v>
      </c>
      <c r="I75" s="135">
        <f>'T2 Smart ACRs'!I48*(1-'T2 Smart ACRs'!$G$19)</f>
        <v>3.0000000000000027E-3</v>
      </c>
      <c r="J75" s="135">
        <f>'T2 Smart ACRs'!J48*(1-'T2 Smart ACRs'!$G$19)</f>
        <v>3.5000000000000031E-2</v>
      </c>
      <c r="K75" s="135">
        <f>'T2 Smart ACRs'!K48*(1-'T2 Smart ACRs'!$G$19)</f>
        <v>0.3400000000000003</v>
      </c>
    </row>
    <row r="76" spans="3:12" x14ac:dyDescent="0.15">
      <c r="C76" s="101" t="str">
        <f>$C$31</f>
        <v>HV 22KV CB Outage</v>
      </c>
      <c r="I76" s="135">
        <f>'T2 Smart ACRs'!I49*(1-'T2 Smart ACRs'!$G$19)</f>
        <v>3.9000000000000035E-2</v>
      </c>
      <c r="J76" s="135">
        <f>'T2 Smart ACRs'!J49*(1-'T2 Smart ACRs'!$G$19)</f>
        <v>6.3000000000000056E-2</v>
      </c>
      <c r="K76" s="135">
        <f>'T2 Smart ACRs'!K49*(1-'T2 Smart ACRs'!$G$19)</f>
        <v>0.10300000000000011</v>
      </c>
    </row>
    <row r="77" spans="3:12" x14ac:dyDescent="0.15">
      <c r="C77" s="122" t="str">
        <f>$C$32</f>
        <v>HV 22KV Line Outage</v>
      </c>
      <c r="D77" s="123"/>
      <c r="E77" s="122"/>
      <c r="F77" s="122"/>
      <c r="G77" s="122"/>
      <c r="H77" s="124"/>
      <c r="I77" s="135">
        <f>'T2 Smart ACRs'!I50*(1-'T2 Smart ACRs'!$G$19)</f>
        <v>3.6000000000000032E-2</v>
      </c>
      <c r="J77" s="135">
        <f>'T2 Smart ACRs'!J50*(1-'T2 Smart ACRs'!$G$19)</f>
        <v>0.2300000000000002</v>
      </c>
      <c r="K77" s="135">
        <f>'T2 Smart ACRs'!K50*(1-'T2 Smart ACRs'!$G$19)</f>
        <v>1.245000000000001</v>
      </c>
    </row>
    <row r="78" spans="3:12" x14ac:dyDescent="0.15"/>
    <row r="79" spans="3:12" x14ac:dyDescent="0.15">
      <c r="C79" s="99" t="s">
        <v>149</v>
      </c>
      <c r="I79" s="116" t="s">
        <v>5</v>
      </c>
      <c r="J79" s="116" t="s">
        <v>6</v>
      </c>
      <c r="K79" s="116" t="s">
        <v>7</v>
      </c>
    </row>
    <row r="80" spans="3:12" x14ac:dyDescent="0.15">
      <c r="C80" s="101" t="str">
        <f>$C$29</f>
        <v>22KV Dist Sub Outage</v>
      </c>
      <c r="I80" s="129">
        <f>('T2 Smart ACRs'!I47-'T2 Smart ACRs'!I74)*(1-'T2 Smart ACRs'!$G5-'T2 Smart ACRs'!$G11)</f>
        <v>56.834400000000009</v>
      </c>
      <c r="J80" s="129">
        <f>('T2 Smart ACRs'!J47-'T2 Smart ACRs'!J74)*(1-'T2 Smart ACRs'!$G5-'T2 Smart ACRs'!$G11)</f>
        <v>133.72800000000001</v>
      </c>
      <c r="K80" s="129">
        <f>('T2 Smart ACRs'!K47-'T2 Smart ACRs'!K74)*(1-'T2 Smart ACRs'!$G5-'T2 Smart ACRs'!$G11)</f>
        <v>494.79360000000008</v>
      </c>
    </row>
    <row r="81" spans="3:11" x14ac:dyDescent="0.15">
      <c r="C81" s="101" t="str">
        <f>$C$30</f>
        <v>HV 22kv ACR Outage</v>
      </c>
      <c r="I81" s="129">
        <f>('T2 Smart ACRs'!I48-'T2 Smart ACRs'!I75)*(1-'T2 Smart ACRs'!$G6-'T2 Smart ACRs'!$G12)</f>
        <v>0.47760000000000002</v>
      </c>
      <c r="J81" s="129">
        <f>('T2 Smart ACRs'!J48-'T2 Smart ACRs'!J75)*(1-'T2 Smart ACRs'!$G6-'T2 Smart ACRs'!$G12)</f>
        <v>5.5720000000000001</v>
      </c>
      <c r="K81" s="129">
        <f>('T2 Smart ACRs'!K48-'T2 Smart ACRs'!K75)*(1-'T2 Smart ACRs'!$G6-'T2 Smart ACRs'!$G12)</f>
        <v>54.128</v>
      </c>
    </row>
    <row r="82" spans="3:11" x14ac:dyDescent="0.15">
      <c r="C82" s="101" t="str">
        <f>$C$31</f>
        <v>HV 22KV CB Outage</v>
      </c>
      <c r="I82" s="129">
        <f>('T2 Smart ACRs'!I49-'T2 Smart ACRs'!I76)*(1-'T2 Smart ACRs'!$G7-'T2 Smart ACRs'!$G13)</f>
        <v>5.4326999999999996</v>
      </c>
      <c r="J82" s="129">
        <f>('T2 Smart ACRs'!J49-'T2 Smart ACRs'!J76)*(1-'T2 Smart ACRs'!$G7-'T2 Smart ACRs'!$G13)</f>
        <v>8.7758999999999983</v>
      </c>
      <c r="K82" s="129">
        <f>('T2 Smart ACRs'!K49-'T2 Smart ACRs'!K76)*(1-'T2 Smart ACRs'!$G7-'T2 Smart ACRs'!$G13)</f>
        <v>14.347899999999999</v>
      </c>
    </row>
    <row r="83" spans="3:11" x14ac:dyDescent="0.15">
      <c r="C83" s="122" t="str">
        <f>$C$32</f>
        <v>HV 22KV Line Outage</v>
      </c>
      <c r="D83" s="123"/>
      <c r="E83" s="122"/>
      <c r="F83" s="122"/>
      <c r="G83" s="122"/>
      <c r="H83" s="124"/>
      <c r="I83" s="129">
        <f>('T2 Smart ACRs'!I50-'T2 Smart ACRs'!I77)*(1-'T2 Smart ACRs'!$G8-'T2 Smart ACRs'!$G14)</f>
        <v>3.9401999999999995</v>
      </c>
      <c r="J83" s="129">
        <f>('T2 Smart ACRs'!J50-'T2 Smart ACRs'!J77)*(1-'T2 Smart ACRs'!$G8-'T2 Smart ACRs'!$G14)</f>
        <v>25.173499999999997</v>
      </c>
      <c r="K83" s="129">
        <f>('T2 Smart ACRs'!K50-'T2 Smart ACRs'!K77)*(1-'T2 Smart ACRs'!$G8-'T2 Smart ACRs'!$G14)</f>
        <v>136.26524999999998</v>
      </c>
    </row>
    <row r="84" spans="3:11" x14ac:dyDescent="0.15"/>
    <row r="85" spans="3:11" x14ac:dyDescent="0.15">
      <c r="C85" s="99" t="s">
        <v>148</v>
      </c>
      <c r="I85" s="116" t="s">
        <v>5</v>
      </c>
      <c r="J85" s="116" t="s">
        <v>6</v>
      </c>
      <c r="K85" s="116" t="s">
        <v>7</v>
      </c>
    </row>
    <row r="86" spans="3:11" x14ac:dyDescent="0.15">
      <c r="C86" s="101" t="str">
        <f>$C$29</f>
        <v>22KV Dist Sub Outage</v>
      </c>
      <c r="I86" s="129">
        <f>('T2 Smart ACRs'!I47-'T2 Smart ACRs'!I74)*'T2 Smart ACRs'!$G5</f>
        <v>12.787740000000001</v>
      </c>
      <c r="J86" s="129">
        <f>('T2 Smart ACRs'!J47-'T2 Smart ACRs'!J74)*'T2 Smart ACRs'!$G5</f>
        <v>30.088799999999999</v>
      </c>
      <c r="K86" s="129">
        <f>('T2 Smart ACRs'!K47-'T2 Smart ACRs'!K74)*'T2 Smart ACRs'!$G5</f>
        <v>111.32856000000001</v>
      </c>
    </row>
    <row r="87" spans="3:11" x14ac:dyDescent="0.15">
      <c r="C87" s="101" t="str">
        <f>$C$30</f>
        <v>HV 22kv ACR Outage</v>
      </c>
      <c r="I87" s="129">
        <f>('T2 Smart ACRs'!I48-'T2 Smart ACRs'!I75)*'T2 Smart ACRs'!$G6</f>
        <v>0.11940000000000001</v>
      </c>
      <c r="J87" s="129">
        <f>('T2 Smart ACRs'!J48-'T2 Smart ACRs'!J75)*'T2 Smart ACRs'!$G6</f>
        <v>1.393</v>
      </c>
      <c r="K87" s="129">
        <f>('T2 Smart ACRs'!K48-'T2 Smart ACRs'!K75)*'T2 Smart ACRs'!$G6</f>
        <v>13.532</v>
      </c>
    </row>
    <row r="88" spans="3:11" x14ac:dyDescent="0.15">
      <c r="C88" s="101" t="str">
        <f>$C$31</f>
        <v>HV 22KV CB Outage</v>
      </c>
      <c r="I88" s="129">
        <f>('T2 Smart ACRs'!I49-'T2 Smart ACRs'!I76)*'T2 Smart ACRs'!$G7</f>
        <v>2.3283</v>
      </c>
      <c r="J88" s="129">
        <f>('T2 Smart ACRs'!J49-'T2 Smart ACRs'!J76)*'T2 Smart ACRs'!$G7</f>
        <v>3.7610999999999994</v>
      </c>
      <c r="K88" s="129">
        <f>('T2 Smart ACRs'!K49-'T2 Smart ACRs'!K76)*'T2 Smart ACRs'!$G7</f>
        <v>6.1490999999999998</v>
      </c>
    </row>
    <row r="89" spans="3:11" x14ac:dyDescent="0.15">
      <c r="C89" s="122" t="str">
        <f>$C$32</f>
        <v>HV 22KV Line Outage</v>
      </c>
      <c r="D89" s="123"/>
      <c r="E89" s="122"/>
      <c r="F89" s="122"/>
      <c r="G89" s="122"/>
      <c r="H89" s="124"/>
      <c r="I89" s="129">
        <f>('T2 Smart ACRs'!I50-'T2 Smart ACRs'!I77)*'T2 Smart ACRs'!$G8</f>
        <v>2.1492</v>
      </c>
      <c r="J89" s="129">
        <f>('T2 Smart ACRs'!J50-'T2 Smart ACRs'!J77)*'T2 Smart ACRs'!$G8</f>
        <v>13.731</v>
      </c>
      <c r="K89" s="129">
        <f>('T2 Smart ACRs'!K50-'T2 Smart ACRs'!K77)*'T2 Smart ACRs'!$G8</f>
        <v>74.326499999999996</v>
      </c>
    </row>
    <row r="90" spans="3:11" x14ac:dyDescent="0.15"/>
    <row r="91" spans="3:11" x14ac:dyDescent="0.15">
      <c r="C91" s="99" t="s">
        <v>147</v>
      </c>
      <c r="I91" s="116" t="s">
        <v>5</v>
      </c>
      <c r="J91" s="116" t="s">
        <v>6</v>
      </c>
      <c r="K91" s="116" t="s">
        <v>7</v>
      </c>
    </row>
    <row r="92" spans="3:11" x14ac:dyDescent="0.15">
      <c r="C92" s="101" t="str">
        <f>$C$29</f>
        <v>22KV Dist Sub Outage</v>
      </c>
      <c r="I92" s="129">
        <f>('T2 Smart ACRs'!I47-'T2 Smart ACRs'!I74)*'T2 Smart ACRs'!$G11</f>
        <v>1.4208600000000002</v>
      </c>
      <c r="J92" s="129">
        <f>('T2 Smart ACRs'!J47-'T2 Smart ACRs'!J74)*'T2 Smart ACRs'!$G11</f>
        <v>3.3431999999999999</v>
      </c>
      <c r="K92" s="129">
        <f>('T2 Smart ACRs'!K47-'T2 Smart ACRs'!K74)*'T2 Smart ACRs'!$G11</f>
        <v>12.369840000000002</v>
      </c>
    </row>
    <row r="93" spans="3:11" x14ac:dyDescent="0.15">
      <c r="C93" s="101" t="str">
        <f>$C$30</f>
        <v>HV 22kv ACR Outage</v>
      </c>
      <c r="I93" s="129">
        <f>('T2 Smart ACRs'!I48-'T2 Smart ACRs'!I75)*'T2 Smart ACRs'!$G12</f>
        <v>0</v>
      </c>
      <c r="J93" s="129">
        <f>('T2 Smart ACRs'!J48-'T2 Smart ACRs'!J75)*'T2 Smart ACRs'!$G12</f>
        <v>0</v>
      </c>
      <c r="K93" s="129">
        <f>('T2 Smart ACRs'!K48-'T2 Smart ACRs'!K75)*'T2 Smart ACRs'!$G12</f>
        <v>0</v>
      </c>
    </row>
    <row r="94" spans="3:11" x14ac:dyDescent="0.15">
      <c r="C94" s="101" t="str">
        <f>$C$31</f>
        <v>HV 22KV CB Outage</v>
      </c>
      <c r="I94" s="129">
        <f>('T2 Smart ACRs'!I49-'T2 Smart ACRs'!I76)*'T2 Smart ACRs'!$G13</f>
        <v>0</v>
      </c>
      <c r="J94" s="129">
        <f>('T2 Smart ACRs'!J49-'T2 Smart ACRs'!J76)*'T2 Smart ACRs'!$G13</f>
        <v>0</v>
      </c>
      <c r="K94" s="129">
        <f>('T2 Smart ACRs'!K49-'T2 Smart ACRs'!K76)*'T2 Smart ACRs'!$G13</f>
        <v>0</v>
      </c>
    </row>
    <row r="95" spans="3:11" x14ac:dyDescent="0.15">
      <c r="C95" s="122" t="str">
        <f>$C$32</f>
        <v>HV 22KV Line Outage</v>
      </c>
      <c r="D95" s="123"/>
      <c r="E95" s="122"/>
      <c r="F95" s="122"/>
      <c r="G95" s="122"/>
      <c r="H95" s="124"/>
      <c r="I95" s="129">
        <f>('T2 Smart ACRs'!I50-'T2 Smart ACRs'!I77)*'T2 Smart ACRs'!$G14</f>
        <v>1.0746</v>
      </c>
      <c r="J95" s="129">
        <f>('T2 Smart ACRs'!J50-'T2 Smart ACRs'!J77)*'T2 Smart ACRs'!$G14</f>
        <v>6.8654999999999999</v>
      </c>
      <c r="K95" s="129">
        <f>('T2 Smart ACRs'!K50-'T2 Smart ACRs'!K77)*'T2 Smart ACRs'!$G14</f>
        <v>37.163249999999998</v>
      </c>
    </row>
    <row r="96" spans="3:11" x14ac:dyDescent="0.15"/>
    <row r="97" spans="3:12" x14ac:dyDescent="0.15">
      <c r="C97" s="99" t="s">
        <v>146</v>
      </c>
      <c r="I97" s="116" t="s">
        <v>5</v>
      </c>
      <c r="J97" s="116" t="s">
        <v>6</v>
      </c>
      <c r="K97" s="116" t="s">
        <v>7</v>
      </c>
      <c r="L97" s="116" t="s">
        <v>8</v>
      </c>
    </row>
    <row r="98" spans="3:12" x14ac:dyDescent="0.15">
      <c r="C98" s="101" t="str">
        <f>$C$29</f>
        <v>22KV Dist Sub Outage</v>
      </c>
      <c r="I98" s="129">
        <f>'T2 Smart ACRs'!I80+'T2 Smart ACRs'!I74</f>
        <v>57.191400000000009</v>
      </c>
      <c r="J98" s="129">
        <f>'T2 Smart ACRs'!J80+'T2 Smart ACRs'!J74</f>
        <v>134.56800000000001</v>
      </c>
      <c r="K98" s="129">
        <f>'T2 Smart ACRs'!K80+'T2 Smart ACRs'!K74</f>
        <v>497.90160000000009</v>
      </c>
      <c r="L98" s="129">
        <f>SUM(I98:K98)</f>
        <v>689.66100000000006</v>
      </c>
    </row>
    <row r="99" spans="3:12" x14ac:dyDescent="0.15">
      <c r="C99" s="101" t="str">
        <f>$C$30</f>
        <v>HV 22kv ACR Outage</v>
      </c>
      <c r="I99" s="129">
        <f>'T2 Smart ACRs'!I81+'T2 Smart ACRs'!I75+($G$16*(I92+I95))</f>
        <v>1.7283300000000001</v>
      </c>
      <c r="J99" s="129">
        <f>'T2 Smart ACRs'!J81+'T2 Smart ACRs'!J75+($G$16*(J92+J95))</f>
        <v>10.711349999999999</v>
      </c>
      <c r="K99" s="129">
        <f>'T2 Smart ACRs'!K81+'T2 Smart ACRs'!K75+($G$16*(K92+K95))</f>
        <v>79.234544999999997</v>
      </c>
      <c r="L99" s="129">
        <f>SUM(I99:K99)</f>
        <v>91.674224999999993</v>
      </c>
    </row>
    <row r="100" spans="3:12" x14ac:dyDescent="0.15">
      <c r="C100" s="101" t="str">
        <f>$C$31</f>
        <v>HV 22KV CB Outage</v>
      </c>
      <c r="I100" s="129">
        <f>'T2 Smart ACRs'!I82+'T2 Smart ACRs'!I76+($G$16*(I92+I95))</f>
        <v>6.7194299999999991</v>
      </c>
      <c r="J100" s="129">
        <f>'T2 Smart ACRs'!J82+'T2 Smart ACRs'!J76+($G$16*(J92+J95))</f>
        <v>13.943249999999999</v>
      </c>
      <c r="K100" s="129">
        <f>'T2 Smart ACRs'!K82+'T2 Smart ACRs'!K76+($G$16*(K92+K95))</f>
        <v>39.217444999999998</v>
      </c>
      <c r="L100" s="129">
        <f>SUM(I100:K100)</f>
        <v>59.880124999999992</v>
      </c>
    </row>
    <row r="101" spans="3:12" x14ac:dyDescent="0.15">
      <c r="C101" s="122" t="str">
        <f>$C$32</f>
        <v>HV 22KV Line Outage</v>
      </c>
      <c r="D101" s="123"/>
      <c r="E101" s="122"/>
      <c r="F101" s="122"/>
      <c r="G101" s="122"/>
      <c r="H101" s="124"/>
      <c r="I101" s="129">
        <f>'T2 Smart ACRs'!I83+'T2 Smart ACRs'!I77</f>
        <v>3.9761999999999995</v>
      </c>
      <c r="J101" s="129">
        <f>'T2 Smart ACRs'!J83+'T2 Smart ACRs'!J77</f>
        <v>25.403499999999998</v>
      </c>
      <c r="K101" s="129">
        <f>'T2 Smart ACRs'!K83+'T2 Smart ACRs'!K77</f>
        <v>137.51024999999998</v>
      </c>
      <c r="L101" s="129">
        <f>SUM(I101:K101)</f>
        <v>166.88994999999997</v>
      </c>
    </row>
    <row r="102" spans="3:12" x14ac:dyDescent="0.15"/>
    <row r="103" spans="3:12" x14ac:dyDescent="0.15">
      <c r="C103" s="99" t="s">
        <v>145</v>
      </c>
      <c r="I103" s="116" t="s">
        <v>5</v>
      </c>
      <c r="J103" s="116" t="s">
        <v>6</v>
      </c>
      <c r="K103" s="116" t="s">
        <v>7</v>
      </c>
      <c r="L103" s="116" t="s">
        <v>8</v>
      </c>
    </row>
    <row r="104" spans="3:12" x14ac:dyDescent="0.15">
      <c r="C104" s="101" t="str">
        <f>$C$29</f>
        <v>22KV Dist Sub Outage</v>
      </c>
      <c r="D104" s="125"/>
      <c r="I104" s="129">
        <f>'T2 Smart ACRs'!I98*'T2 Smart ACRs'!I59</f>
        <v>268714.51379999996</v>
      </c>
      <c r="J104" s="129">
        <f>'T2 Smart ACRs'!J98*'T2 Smart ACRs'!J59</f>
        <v>362385.37620000006</v>
      </c>
      <c r="K104" s="129">
        <f>'T2 Smart ACRs'!K98*'T2 Smart ACRs'!K59</f>
        <v>583385.92200000014</v>
      </c>
      <c r="L104" s="129">
        <f>SUM(I104:K104)</f>
        <v>1214485.8120000002</v>
      </c>
    </row>
    <row r="105" spans="3:12" x14ac:dyDescent="0.15">
      <c r="C105" s="101" t="str">
        <f>$C$30</f>
        <v>HV 22kv ACR Outage</v>
      </c>
      <c r="D105" s="125"/>
      <c r="I105" s="129">
        <f>'T2 Smart ACRs'!I99*'T2 Smart ACRs'!I60</f>
        <v>318738.61860000005</v>
      </c>
      <c r="J105" s="129">
        <f>'T2 Smart ACRs'!J99*'T2 Smart ACRs'!J60</f>
        <v>1711650.16503</v>
      </c>
      <c r="K105" s="129">
        <f>'T2 Smart ACRs'!K99*'T2 Smart ACRs'!K60</f>
        <v>9012456.6499505732</v>
      </c>
      <c r="L105" s="129">
        <f>SUM(I105:K105)</f>
        <v>11042845.433580574</v>
      </c>
    </row>
    <row r="106" spans="3:12" x14ac:dyDescent="0.15">
      <c r="C106" s="101" t="str">
        <f>$C$31</f>
        <v>HV 22KV CB Outage</v>
      </c>
      <c r="D106" s="125"/>
      <c r="I106" s="129">
        <f>'T2 Smart ACRs'!I100*'T2 Smart ACRs'!I61</f>
        <v>1322113.3238692307</v>
      </c>
      <c r="J106" s="129">
        <f>'T2 Smart ACRs'!J100*'T2 Smart ACRs'!J61</f>
        <v>3074393.4486785713</v>
      </c>
      <c r="K106" s="129">
        <f>'T2 Smart ACRs'!K100*'T2 Smart ACRs'!K61</f>
        <v>9888139.2313173283</v>
      </c>
      <c r="L106" s="129">
        <f>SUM(I106:K106)</f>
        <v>14284646.00386513</v>
      </c>
    </row>
    <row r="107" spans="3:12" x14ac:dyDescent="0.15">
      <c r="C107" s="122" t="str">
        <f>$C$32</f>
        <v>HV 22KV Line Outage</v>
      </c>
      <c r="D107" s="127"/>
      <c r="E107" s="122"/>
      <c r="F107" s="122"/>
      <c r="G107" s="122"/>
      <c r="H107" s="124"/>
      <c r="I107" s="129">
        <f>'T2 Smart ACRs'!I101*'T2 Smart ACRs'!I62</f>
        <v>159419.11199999999</v>
      </c>
      <c r="J107" s="129">
        <f>'T2 Smart ACRs'!J101*'T2 Smart ACRs'!J62</f>
        <v>320072.39230000001</v>
      </c>
      <c r="K107" s="129">
        <f>'T2 Smart ACRs'!K101*'T2 Smart ACRs'!K62</f>
        <v>2127356.1331499997</v>
      </c>
      <c r="L107" s="129">
        <f>SUM(I107:K107)</f>
        <v>2606847.6374499998</v>
      </c>
    </row>
    <row r="108" spans="3:12" x14ac:dyDescent="0.15"/>
    <row r="109" spans="3:12" x14ac:dyDescent="0.15">
      <c r="C109" s="99" t="s">
        <v>129</v>
      </c>
      <c r="I109" s="116" t="s">
        <v>5</v>
      </c>
      <c r="J109" s="116" t="s">
        <v>6</v>
      </c>
      <c r="K109" s="116" t="s">
        <v>7</v>
      </c>
      <c r="L109" s="116" t="s">
        <v>8</v>
      </c>
    </row>
    <row r="110" spans="3:12" x14ac:dyDescent="0.15">
      <c r="C110" s="101" t="str">
        <f>$C$29</f>
        <v>22KV Dist Sub Outage</v>
      </c>
      <c r="I110" s="131">
        <f>ROUND(('T2 Smart ACRs'!I104*('T2 Smart ACRs'!$G$20/('T2 Smart ACRs'!$G$21*365*24*60))),3)</f>
        <v>5.93</v>
      </c>
      <c r="J110" s="131">
        <f>ROUND(('T2 Smart ACRs'!J104*('T2 Smart ACRs'!$G$20/('T2 Smart ACRs'!$G$21*365*24*60))),3)</f>
        <v>7.9969999999999999</v>
      </c>
      <c r="K110" s="131">
        <f>ROUND(('T2 Smart ACRs'!K104*('T2 Smart ACRs'!$G$20/('T2 Smart ACRs'!$G$21*365*24*60))),3)</f>
        <v>12.875</v>
      </c>
      <c r="L110" s="131">
        <f>ROUND(('T2 Smart ACRs'!L104*('T2 Smart ACRs'!$G$20/('T2 Smart ACRs'!$G$21*365*24*60))),3)</f>
        <v>26.802</v>
      </c>
    </row>
    <row r="111" spans="3:12" x14ac:dyDescent="0.15">
      <c r="C111" s="101" t="str">
        <f>$C$30</f>
        <v>HV 22kv ACR Outage</v>
      </c>
      <c r="I111" s="131">
        <f>ROUND(('T2 Smart ACRs'!I105*('T2 Smart ACRs'!$G$20/('T2 Smart ACRs'!$G$21*365*24*60))),3)</f>
        <v>7.0339999999999998</v>
      </c>
      <c r="J111" s="131">
        <f>ROUND(('T2 Smart ACRs'!J105*('T2 Smart ACRs'!$G$20/('T2 Smart ACRs'!$G$21*365*24*60))),3)</f>
        <v>37.774000000000001</v>
      </c>
      <c r="K111" s="131">
        <f>ROUND(('T2 Smart ACRs'!K105*('T2 Smart ACRs'!$G$20/('T2 Smart ACRs'!$G$21*365*24*60))),3)</f>
        <v>198.89400000000001</v>
      </c>
      <c r="L111" s="131">
        <f>ROUND(('T2 Smart ACRs'!L105*('T2 Smart ACRs'!$G$20/('T2 Smart ACRs'!$G$21*365*24*60))),3)</f>
        <v>243.702</v>
      </c>
    </row>
    <row r="112" spans="3:12" x14ac:dyDescent="0.15">
      <c r="C112" s="101" t="str">
        <f>$C$31</f>
        <v>HV 22KV CB Outage</v>
      </c>
      <c r="I112" s="131">
        <f>ROUND(('T2 Smart ACRs'!I106*('T2 Smart ACRs'!$G$20/('T2 Smart ACRs'!$G$21*365*24*60))),3)</f>
        <v>29.177</v>
      </c>
      <c r="J112" s="131">
        <f>ROUND(('T2 Smart ACRs'!J106*('T2 Smart ACRs'!$G$20/('T2 Smart ACRs'!$G$21*365*24*60))),3)</f>
        <v>67.847999999999999</v>
      </c>
      <c r="K112" s="131">
        <f>ROUND(('T2 Smart ACRs'!K106*('T2 Smart ACRs'!$G$20/('T2 Smart ACRs'!$G$21*365*24*60))),3)</f>
        <v>218.21899999999999</v>
      </c>
      <c r="L112" s="131">
        <f>ROUND(('T2 Smart ACRs'!L106*('T2 Smart ACRs'!$G$20/('T2 Smart ACRs'!$G$21*365*24*60))),3)</f>
        <v>315.245</v>
      </c>
    </row>
    <row r="113" spans="1:12" x14ac:dyDescent="0.15">
      <c r="C113" s="122" t="str">
        <f>$C$32</f>
        <v>HV 22KV Line Outage</v>
      </c>
      <c r="D113" s="123"/>
      <c r="E113" s="122"/>
      <c r="F113" s="122"/>
      <c r="G113" s="122"/>
      <c r="H113" s="124"/>
      <c r="I113" s="131">
        <f>ROUND(('T2 Smart ACRs'!I107*('T2 Smart ACRs'!$G$20/('T2 Smart ACRs'!$G$21*365*24*60))),3)</f>
        <v>3.5179999999999998</v>
      </c>
      <c r="J113" s="131">
        <f>ROUND(('T2 Smart ACRs'!J107*('T2 Smart ACRs'!$G$20/('T2 Smart ACRs'!$G$21*365*24*60))),3)</f>
        <v>7.0640000000000001</v>
      </c>
      <c r="K113" s="131">
        <f>ROUND(('T2 Smart ACRs'!K107*('T2 Smart ACRs'!$G$20/('T2 Smart ACRs'!$G$21*365*24*60))),3)</f>
        <v>46.948</v>
      </c>
      <c r="L113" s="131">
        <f>ROUND(('T2 Smart ACRs'!L107*('T2 Smart ACRs'!$G$20/('T2 Smart ACRs'!$G$21*365*24*60))),3)</f>
        <v>57.53</v>
      </c>
    </row>
    <row r="114" spans="1:12" x14ac:dyDescent="0.15">
      <c r="C114" s="99" t="s">
        <v>128</v>
      </c>
      <c r="D114" s="132"/>
      <c r="E114" s="99"/>
      <c r="F114" s="99"/>
      <c r="G114" s="99"/>
      <c r="H114" s="133"/>
      <c r="I114" s="134">
        <f>SUM(I110:I113)</f>
        <v>45.658999999999999</v>
      </c>
      <c r="J114" s="134">
        <f>SUM(J110:J113)</f>
        <v>120.68299999999999</v>
      </c>
      <c r="K114" s="134">
        <f>SUM(K110:K113)</f>
        <v>476.93599999999998</v>
      </c>
      <c r="L114" s="134">
        <f>SUM(L110:L113)</f>
        <v>643.279</v>
      </c>
    </row>
    <row r="115" spans="1:12" x14ac:dyDescent="0.15"/>
    <row r="116" spans="1:12" x14ac:dyDescent="0.15">
      <c r="A116" s="103" t="s">
        <v>144</v>
      </c>
      <c r="B116" s="103"/>
      <c r="C116" s="103"/>
      <c r="D116" s="104"/>
      <c r="E116" s="105"/>
      <c r="F116" s="105"/>
      <c r="G116" s="105"/>
      <c r="H116" s="95"/>
      <c r="I116" s="105"/>
      <c r="J116" s="105"/>
      <c r="K116" s="105"/>
      <c r="L116" s="105"/>
    </row>
    <row r="117" spans="1:12" x14ac:dyDescent="0.15"/>
    <row r="118" spans="1:12" hidden="1" x14ac:dyDescent="0.15"/>
    <row r="119" spans="1:12" hidden="1" x14ac:dyDescent="0.15"/>
    <row r="120" spans="1:12" hidden="1" x14ac:dyDescent="0.15"/>
    <row r="121" spans="1:12" hidden="1" x14ac:dyDescent="0.15"/>
    <row r="122" spans="1:12" hidden="1" x14ac:dyDescent="0.15"/>
    <row r="123" spans="1:12" hidden="1" x14ac:dyDescent="0.15"/>
    <row r="124" spans="1:12" hidden="1" x14ac:dyDescent="0.15"/>
    <row r="125" spans="1:12" hidden="1" x14ac:dyDescent="0.15"/>
    <row r="126" spans="1:12" hidden="1" x14ac:dyDescent="0.15"/>
    <row r="127" spans="1:12" hidden="1" x14ac:dyDescent="0.15"/>
    <row r="128" spans="1:12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  <row r="167" hidden="1" x14ac:dyDescent="0.15"/>
    <row r="168" hidden="1" x14ac:dyDescent="0.15"/>
    <row r="169" hidden="1" x14ac:dyDescent="0.15"/>
    <row r="170" hidden="1" x14ac:dyDescent="0.15"/>
    <row r="171" hidden="1" x14ac:dyDescent="0.15"/>
    <row r="172" hidden="1" x14ac:dyDescent="0.15"/>
    <row r="173" hidden="1" x14ac:dyDescent="0.15"/>
    <row r="174" hidden="1" x14ac:dyDescent="0.15"/>
    <row r="175" hidden="1" x14ac:dyDescent="0.15"/>
    <row r="176" hidden="1" x14ac:dyDescent="0.15"/>
    <row r="177" hidden="1" x14ac:dyDescent="0.15"/>
    <row r="178" hidden="1" x14ac:dyDescent="0.15"/>
    <row r="179" hidden="1" x14ac:dyDescent="0.15"/>
    <row r="180" hidden="1" x14ac:dyDescent="0.15"/>
    <row r="181" hidden="1" x14ac:dyDescent="0.15"/>
  </sheetData>
  <sheetProtection formatCells="0" formatColumns="0" formatRows="0" autoFilter="0"/>
  <mergeCells count="2">
    <mergeCell ref="C44:L44"/>
    <mergeCell ref="C71:L7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Output tables</vt:lpstr>
      <vt:lpstr>2021-2026 Unserved Energy</vt:lpstr>
      <vt:lpstr>Base &amp; REFCL &gt;</vt:lpstr>
      <vt:lpstr>T1 Base</vt:lpstr>
      <vt:lpstr>T2 Base</vt:lpstr>
      <vt:lpstr>T3 Base</vt:lpstr>
      <vt:lpstr>Smart ACRs &gt;</vt:lpstr>
      <vt:lpstr>T1 Smart ACRs</vt:lpstr>
      <vt:lpstr>T2 Smart ACRs</vt:lpstr>
      <vt:lpstr>T3 Smart ACRs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2020-01-21T06:15:06Z</dcterms:created>
  <dcterms:modified xsi:type="dcterms:W3CDTF">2020-01-28T06:52:42Z</dcterms:modified>
</cp:coreProperties>
</file>