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465" windowWidth="24795" windowHeight="10380"/>
  </bookViews>
  <sheets>
    <sheet name="Summary" sheetId="1" r:id="rId1"/>
    <sheet name="Option 1" sheetId="2" r:id="rId2"/>
    <sheet name="Option 2" sheetId="3" r:id="rId3"/>
    <sheet name="Option 3" sheetId="4" r:id="rId4"/>
  </sheets>
  <calcPr calcId="145621"/>
</workbook>
</file>

<file path=xl/calcChain.xml><?xml version="1.0" encoding="utf-8"?>
<calcChain xmlns="http://schemas.openxmlformats.org/spreadsheetml/2006/main">
  <c r="C91" i="4" l="1"/>
  <c r="M14" i="4"/>
  <c r="L14" i="4"/>
  <c r="K14" i="4"/>
  <c r="J14" i="4"/>
  <c r="I14" i="4"/>
  <c r="H14" i="4"/>
  <c r="G14" i="4"/>
  <c r="F14" i="4"/>
  <c r="E14" i="4"/>
  <c r="D14" i="4"/>
  <c r="M10" i="4"/>
  <c r="L10" i="4"/>
  <c r="K10" i="4"/>
  <c r="J10" i="4"/>
  <c r="I10" i="4"/>
  <c r="H10" i="4"/>
  <c r="G10" i="4"/>
  <c r="F10" i="4"/>
  <c r="E10" i="4"/>
  <c r="M12" i="3"/>
  <c r="L12" i="3"/>
  <c r="K12" i="3"/>
  <c r="J12" i="3"/>
  <c r="I12" i="3"/>
  <c r="H12" i="3"/>
  <c r="G12" i="3"/>
  <c r="F12" i="3"/>
  <c r="E12" i="3"/>
  <c r="D12" i="3"/>
  <c r="M9" i="3"/>
  <c r="L9" i="3"/>
  <c r="K9" i="3"/>
  <c r="J9" i="3"/>
  <c r="I9" i="3"/>
  <c r="H9" i="3"/>
  <c r="G9" i="3"/>
  <c r="F9" i="3"/>
  <c r="E9" i="3"/>
  <c r="D9" i="3"/>
  <c r="D51" i="2"/>
  <c r="M9" i="2"/>
  <c r="L9" i="2"/>
  <c r="K9" i="2"/>
  <c r="J9" i="2"/>
  <c r="I9" i="2"/>
  <c r="H9" i="2"/>
  <c r="G9" i="2"/>
  <c r="F9" i="2"/>
  <c r="E9" i="2"/>
  <c r="D9" i="2"/>
  <c r="D13" i="2"/>
  <c r="D12" i="2"/>
  <c r="D11" i="2"/>
  <c r="D14" i="2" s="1"/>
  <c r="E43" i="4" l="1"/>
  <c r="E11" i="2" l="1"/>
  <c r="E52" i="3" l="1"/>
  <c r="F52" i="3"/>
  <c r="G52" i="3"/>
  <c r="F11" i="2"/>
  <c r="C101" i="4" l="1"/>
  <c r="C46" i="4"/>
  <c r="C43" i="4"/>
  <c r="C97" i="4" l="1"/>
  <c r="D101" i="4" s="1"/>
  <c r="C43" i="2"/>
  <c r="J13" i="2" l="1"/>
  <c r="F13" i="2"/>
  <c r="G13" i="2"/>
  <c r="K13" i="2"/>
  <c r="E13" i="2"/>
  <c r="H13" i="2"/>
  <c r="L13" i="2"/>
  <c r="I13" i="2"/>
  <c r="M13" i="2"/>
  <c r="E101" i="4"/>
  <c r="E102" i="4" s="1"/>
  <c r="D50" i="2" l="1"/>
  <c r="E39" i="4" l="1"/>
  <c r="D46" i="4" s="1"/>
  <c r="E46" i="4" s="1"/>
  <c r="C37" i="2"/>
  <c r="E12" i="2" s="1"/>
  <c r="M18" i="2"/>
  <c r="M11" i="2"/>
  <c r="L11" i="2"/>
  <c r="K11" i="2"/>
  <c r="J11" i="2"/>
  <c r="I11" i="2"/>
  <c r="H11" i="2"/>
  <c r="G11" i="2"/>
  <c r="B9" i="1"/>
  <c r="B8" i="1"/>
  <c r="B7" i="1"/>
  <c r="D48" i="2" l="1"/>
  <c r="G12" i="2"/>
  <c r="H12" i="2"/>
  <c r="H14" i="2" s="1"/>
  <c r="M12" i="2"/>
  <c r="M14" i="2" s="1"/>
  <c r="J12" i="2"/>
  <c r="J14" i="2" s="1"/>
  <c r="F12" i="2"/>
  <c r="F14" i="2" s="1"/>
  <c r="K12" i="2"/>
  <c r="K14" i="2" s="1"/>
  <c r="E14" i="2"/>
  <c r="L12" i="2"/>
  <c r="L14" i="2" s="1"/>
  <c r="I12" i="2"/>
  <c r="I14" i="2" s="1"/>
  <c r="C44" i="4"/>
  <c r="C45" i="4" s="1"/>
  <c r="E45" i="4" s="1"/>
  <c r="G14" i="2"/>
  <c r="D49" i="2" l="1"/>
  <c r="D52" i="2" s="1"/>
  <c r="C32" i="3" l="1"/>
  <c r="C33" i="3" s="1"/>
  <c r="C41" i="3"/>
  <c r="C42" i="3" s="1"/>
  <c r="C63" i="4"/>
  <c r="C65" i="4" s="1"/>
  <c r="C7" i="1"/>
  <c r="C44" i="3" l="1"/>
  <c r="D39" i="4"/>
  <c r="D44" i="4" s="1"/>
  <c r="E44" i="4" s="1"/>
  <c r="C39" i="4"/>
  <c r="D43" i="4" s="1"/>
  <c r="C76" i="4"/>
  <c r="E9" i="4"/>
  <c r="D9" i="4"/>
  <c r="E8" i="3" l="1"/>
  <c r="D52" i="3" s="1"/>
  <c r="D8" i="3"/>
  <c r="E47" i="4"/>
  <c r="C58" i="3" l="1"/>
  <c r="D59" i="3" s="1"/>
  <c r="C8" i="1" s="1"/>
  <c r="C52" i="3"/>
  <c r="E8" i="4"/>
  <c r="D8" i="4"/>
  <c r="D10" i="4" s="1"/>
  <c r="C75" i="4"/>
  <c r="C77" i="4" s="1"/>
  <c r="H52" i="3" l="1"/>
  <c r="C83" i="4"/>
  <c r="D84" i="4" l="1"/>
  <c r="C9" i="1" s="1"/>
</calcChain>
</file>

<file path=xl/sharedStrings.xml><?xml version="1.0" encoding="utf-8"?>
<sst xmlns="http://schemas.openxmlformats.org/spreadsheetml/2006/main" count="235" uniqueCount="104">
  <si>
    <t>Year</t>
  </si>
  <si>
    <t>Costs</t>
  </si>
  <si>
    <t>Benefits</t>
  </si>
  <si>
    <t>Reliability</t>
  </si>
  <si>
    <t>Protection device manual reconfig</t>
  </si>
  <si>
    <t>Inputs</t>
  </si>
  <si>
    <t>3G devices attached to SWER ACRs</t>
  </si>
  <si>
    <t>Number of testers required</t>
  </si>
  <si>
    <t>3G devices attached to fuse savers</t>
  </si>
  <si>
    <t>3G switch off profile</t>
  </si>
  <si>
    <t>WACC</t>
  </si>
  <si>
    <t>NPV</t>
  </si>
  <si>
    <t>Impact</t>
  </si>
  <si>
    <t>Cost</t>
  </si>
  <si>
    <t>Benefit</t>
  </si>
  <si>
    <t>-</t>
  </si>
  <si>
    <t>Protection device manual reconfiguration</t>
  </si>
  <si>
    <t>Net benefits</t>
  </si>
  <si>
    <t>Item</t>
  </si>
  <si>
    <t>Device</t>
  </si>
  <si>
    <t>Number</t>
  </si>
  <si>
    <t>Masters</t>
  </si>
  <si>
    <t>Slaves (4 per master on average)</t>
  </si>
  <si>
    <t>Relays</t>
  </si>
  <si>
    <t>Slave</t>
  </si>
  <si>
    <t>Master</t>
  </si>
  <si>
    <t>Modems</t>
  </si>
  <si>
    <t>Total</t>
  </si>
  <si>
    <t>Expenditure forecast</t>
  </si>
  <si>
    <t>Capital expenditure</t>
  </si>
  <si>
    <t>Quantity</t>
  </si>
  <si>
    <t>Unit cost</t>
  </si>
  <si>
    <t>Total  cost</t>
  </si>
  <si>
    <t>Slaves</t>
  </si>
  <si>
    <t xml:space="preserve">Masters </t>
  </si>
  <si>
    <t>Additional Relays</t>
  </si>
  <si>
    <t>Option 1 - Do nothing</t>
  </si>
  <si>
    <t>Option 2 - Move to 4G / 5G</t>
  </si>
  <si>
    <t>Option 3 - Move to another technology</t>
  </si>
  <si>
    <t>Options summary</t>
  </si>
  <si>
    <t>Average hours to undertake manual reconfig (travel and adjust settings)</t>
  </si>
  <si>
    <t>Average cost of tester (p/h)</t>
  </si>
  <si>
    <t>Total Cost</t>
  </si>
  <si>
    <t>Manual reconfiguration costs</t>
  </si>
  <si>
    <t>Reliability costs</t>
  </si>
  <si>
    <t>Total unit cost</t>
  </si>
  <si>
    <t>Unit costs for replacement</t>
  </si>
  <si>
    <t>Total program costs</t>
  </si>
  <si>
    <t>This option maintains current reliability level</t>
  </si>
  <si>
    <t>Description</t>
  </si>
  <si>
    <t>Unit quantities</t>
  </si>
  <si>
    <t>3G replacement - Cost models</t>
  </si>
  <si>
    <t>Unit</t>
  </si>
  <si>
    <t>Capital costs</t>
  </si>
  <si>
    <t>No capital outlay with this options</t>
  </si>
  <si>
    <t>Totals</t>
  </si>
  <si>
    <t>Recommended option</t>
  </si>
  <si>
    <t>Expenditure / benefits profile</t>
  </si>
  <si>
    <t>Visits pa (supress and re-enable)</t>
  </si>
  <si>
    <t>Relay hardware</t>
  </si>
  <si>
    <t>Travel time</t>
  </si>
  <si>
    <t>SCADA</t>
  </si>
  <si>
    <t>Setup time</t>
  </si>
  <si>
    <t>On site time</t>
  </si>
  <si>
    <t>Materials</t>
  </si>
  <si>
    <t>Project management time</t>
  </si>
  <si>
    <t>Unit costs for SCADA replacement</t>
  </si>
  <si>
    <t>Unit costs for AMI replacement</t>
  </si>
  <si>
    <t>AMI</t>
  </si>
  <si>
    <t>Number of 3G SCADA devices deployed</t>
  </si>
  <si>
    <t>Number of 3G AMI access points deployed</t>
  </si>
  <si>
    <t>Total SCADA costs</t>
  </si>
  <si>
    <t>Meter reading costs</t>
  </si>
  <si>
    <t>Meters to be read</t>
  </si>
  <si>
    <t>Cost to read meters (quarterly)</t>
  </si>
  <si>
    <t>Total yearly cost</t>
  </si>
  <si>
    <t>Meter reading</t>
  </si>
  <si>
    <t>Meters</t>
  </si>
  <si>
    <t>Labour to install</t>
  </si>
  <si>
    <t>Contracted rate for relay install</t>
  </si>
  <si>
    <t>Total SCADA cost</t>
  </si>
  <si>
    <t>Replacement of SCADA</t>
  </si>
  <si>
    <t>Replacement of AMI communications</t>
  </si>
  <si>
    <t>Total AMI cost</t>
  </si>
  <si>
    <t>Capital investment</t>
  </si>
  <si>
    <t>Control boxes</t>
  </si>
  <si>
    <t>Cellular backhaul</t>
  </si>
  <si>
    <t>Number of meters</t>
  </si>
  <si>
    <t>Total AMI program costs</t>
  </si>
  <si>
    <t>Indicative costs of changing AMI meter communications to another technology</t>
  </si>
  <si>
    <t>2021/2022</t>
  </si>
  <si>
    <t>2022/2023</t>
  </si>
  <si>
    <t>2023/2024</t>
  </si>
  <si>
    <t>2024/2025</t>
  </si>
  <si>
    <t>2025/2026</t>
  </si>
  <si>
    <t>2026/2027</t>
  </si>
  <si>
    <t>2027/2028</t>
  </si>
  <si>
    <t>2028/2029</t>
  </si>
  <si>
    <t>2029/2030</t>
  </si>
  <si>
    <t>2030/2031</t>
  </si>
  <si>
    <t>Value of unserved energy</t>
  </si>
  <si>
    <t>Setup cost</t>
  </si>
  <si>
    <t>Field cost</t>
  </si>
  <si>
    <t>Total unit costs for AMI replacement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</si>
</sst>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  <numFmt numFmtId="166" formatCode="_-* #,##0.0_-;\-* #,##0.0_-;_-* &quot;-&quot;?_-;_-@_-"/>
    <numFmt numFmtId="167" formatCode="&quot;$&quot;#,##0.00"/>
    <numFmt numFmtId="168" formatCode="&quot;$&quot;#,##0"/>
    <numFmt numFmtId="169" formatCode="&quot;$&quot;#,##0.0"/>
    <numFmt numFmtId="170" formatCode="_-&quot;$&quot;* #,##0_-;\-&quot;$&quot;* #,##0_-;_-&quot;$&quot;* &quot;-&quot;??_-;_-@_-"/>
  </numFmts>
  <fonts count="14" x14ac:knownFonts="1">
    <font>
      <sz val="10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u/>
      <sz val="10"/>
      <color theme="1"/>
      <name val="Verdana"/>
      <family val="2"/>
    </font>
    <font>
      <sz val="10"/>
      <color theme="0"/>
      <name val="Verdana"/>
      <family val="2"/>
    </font>
    <font>
      <b/>
      <sz val="12"/>
      <color theme="0"/>
      <name val="Verdana"/>
      <family val="2"/>
    </font>
    <font>
      <b/>
      <sz val="10"/>
      <color rgb="FFFFFFFF"/>
      <name val="Verdana"/>
      <family val="2"/>
    </font>
    <font>
      <sz val="14"/>
      <color theme="1"/>
      <name val="Verdana"/>
      <family val="2"/>
    </font>
    <font>
      <b/>
      <sz val="10"/>
      <color theme="0"/>
      <name val="Verdana"/>
      <family val="2"/>
    </font>
    <font>
      <sz val="10"/>
      <color rgb="FFFF0000"/>
      <name val="Verdana"/>
      <family val="2"/>
    </font>
    <font>
      <sz val="11"/>
      <color indexed="8"/>
      <name val="Calibri"/>
      <family val="2"/>
      <scheme val="minor"/>
    </font>
    <font>
      <b/>
      <sz val="10"/>
      <color rgb="FFFF0000"/>
      <name val="Verdana"/>
      <family val="2"/>
    </font>
    <font>
      <sz val="10"/>
      <color theme="9"/>
      <name val="Verdana"/>
      <family val="2"/>
    </font>
    <font>
      <sz val="10.5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0F5FA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rgb="FFFFFFFF"/>
      </bottom>
      <diagonal/>
    </border>
    <border>
      <left/>
      <right/>
      <top/>
      <bottom style="medium">
        <color rgb="FF00206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rgb="FF00206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medium">
        <color rgb="FFFFFFFF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44" fontId="1" fillId="0" borderId="0" applyFont="0" applyFill="0" applyBorder="0" applyAlignment="0" applyProtection="0"/>
  </cellStyleXfs>
  <cellXfs count="135">
    <xf numFmtId="0" fontId="0" fillId="0" borderId="0" xfId="0"/>
    <xf numFmtId="165" fontId="0" fillId="0" borderId="0" xfId="1" applyNumberFormat="1" applyFont="1"/>
    <xf numFmtId="0" fontId="2" fillId="0" borderId="0" xfId="0" applyFont="1"/>
    <xf numFmtId="165" fontId="0" fillId="0" borderId="0" xfId="0" applyNumberFormat="1"/>
    <xf numFmtId="164" fontId="0" fillId="0" borderId="0" xfId="0" applyNumberFormat="1"/>
    <xf numFmtId="0" fontId="4" fillId="2" borderId="0" xfId="0" applyFont="1" applyFill="1"/>
    <xf numFmtId="0" fontId="5" fillId="2" borderId="0" xfId="0" applyFont="1" applyFill="1"/>
    <xf numFmtId="0" fontId="0" fillId="0" borderId="0" xfId="0" applyBorder="1"/>
    <xf numFmtId="165" fontId="0" fillId="0" borderId="0" xfId="1" applyNumberFormat="1" applyFont="1" applyBorder="1"/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0" fontId="0" fillId="0" borderId="0" xfId="0" applyFont="1"/>
    <xf numFmtId="0" fontId="0" fillId="0" borderId="0" xfId="0" applyFont="1" applyBorder="1"/>
    <xf numFmtId="10" fontId="0" fillId="0" borderId="0" xfId="0" applyNumberFormat="1" applyFont="1"/>
    <xf numFmtId="165" fontId="0" fillId="0" borderId="0" xfId="0" applyNumberFormat="1" applyFont="1"/>
    <xf numFmtId="0" fontId="0" fillId="0" borderId="0" xfId="0" applyFont="1" applyBorder="1" applyAlignment="1">
      <alignment horizontal="right"/>
    </xf>
    <xf numFmtId="167" fontId="0" fillId="0" borderId="0" xfId="0" applyNumberFormat="1" applyFont="1" applyBorder="1"/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right" vertical="center"/>
    </xf>
    <xf numFmtId="0" fontId="0" fillId="3" borderId="1" xfId="0" applyFont="1" applyFill="1" applyBorder="1" applyAlignment="1">
      <alignment vertical="center"/>
    </xf>
    <xf numFmtId="167" fontId="0" fillId="3" borderId="1" xfId="0" applyNumberFormat="1" applyFont="1" applyFill="1" applyBorder="1" applyAlignment="1">
      <alignment horizontal="right" vertical="center"/>
    </xf>
    <xf numFmtId="0" fontId="2" fillId="3" borderId="2" xfId="0" applyFont="1" applyFill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4" fontId="0" fillId="3" borderId="0" xfId="0" applyNumberFormat="1" applyFont="1" applyFill="1" applyBorder="1" applyAlignment="1">
      <alignment horizontal="right" vertical="center"/>
    </xf>
    <xf numFmtId="0" fontId="2" fillId="3" borderId="3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right" vertical="center" wrapText="1"/>
    </xf>
    <xf numFmtId="0" fontId="0" fillId="3" borderId="1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vertical="center" wrapText="1"/>
    </xf>
    <xf numFmtId="0" fontId="0" fillId="3" borderId="1" xfId="0" applyFont="1" applyFill="1" applyBorder="1" applyAlignment="1">
      <alignment vertical="center" wrapText="1"/>
    </xf>
    <xf numFmtId="0" fontId="0" fillId="3" borderId="1" xfId="0" applyFont="1" applyFill="1" applyBorder="1" applyAlignment="1">
      <alignment horizontal="right" vertical="center" wrapText="1"/>
    </xf>
    <xf numFmtId="167" fontId="0" fillId="3" borderId="1" xfId="0" applyNumberFormat="1" applyFont="1" applyFill="1" applyBorder="1" applyAlignment="1">
      <alignment horizontal="right" vertical="center" wrapText="1"/>
    </xf>
    <xf numFmtId="167" fontId="0" fillId="3" borderId="0" xfId="0" applyNumberFormat="1" applyFont="1" applyFill="1" applyBorder="1" applyAlignment="1">
      <alignment horizontal="right" vertical="center"/>
    </xf>
    <xf numFmtId="3" fontId="0" fillId="3" borderId="1" xfId="0" applyNumberFormat="1" applyFont="1" applyFill="1" applyBorder="1" applyAlignment="1">
      <alignment horizontal="right" vertical="center" wrapText="1"/>
    </xf>
    <xf numFmtId="0" fontId="7" fillId="0" borderId="0" xfId="0" applyFont="1"/>
    <xf numFmtId="0" fontId="8" fillId="2" borderId="0" xfId="0" applyFont="1" applyFill="1"/>
    <xf numFmtId="0" fontId="0" fillId="3" borderId="1" xfId="0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wrapText="1"/>
    </xf>
    <xf numFmtId="0" fontId="5" fillId="4" borderId="0" xfId="0" applyFont="1" applyFill="1"/>
    <xf numFmtId="0" fontId="0" fillId="3" borderId="0" xfId="0" applyFont="1" applyFill="1" applyBorder="1" applyAlignment="1">
      <alignment horizontal="right" vertical="center" wrapText="1"/>
    </xf>
    <xf numFmtId="0" fontId="2" fillId="3" borderId="5" xfId="0" applyFont="1" applyFill="1" applyBorder="1" applyAlignment="1">
      <alignment vertical="center"/>
    </xf>
    <xf numFmtId="0" fontId="2" fillId="3" borderId="5" xfId="0" applyFont="1" applyFill="1" applyBorder="1" applyAlignment="1">
      <alignment horizontal="right" vertical="center" wrapText="1"/>
    </xf>
    <xf numFmtId="0" fontId="0" fillId="3" borderId="0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horizontal="right" vertical="center"/>
    </xf>
    <xf numFmtId="0" fontId="2" fillId="3" borderId="5" xfId="0" applyFont="1" applyFill="1" applyBorder="1" applyAlignment="1">
      <alignment horizontal="right" vertical="center"/>
    </xf>
    <xf numFmtId="0" fontId="0" fillId="5" borderId="0" xfId="0" applyFill="1"/>
    <xf numFmtId="0" fontId="3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8" fontId="0" fillId="0" borderId="0" xfId="0" applyNumberFormat="1"/>
    <xf numFmtId="167" fontId="0" fillId="0" borderId="0" xfId="0" applyNumberFormat="1"/>
    <xf numFmtId="0" fontId="2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vertical="center" wrapText="1"/>
    </xf>
    <xf numFmtId="3" fontId="0" fillId="3" borderId="1" xfId="0" applyNumberFormat="1" applyFont="1" applyFill="1" applyBorder="1" applyAlignment="1">
      <alignment horizontal="right" vertical="center"/>
    </xf>
    <xf numFmtId="6" fontId="0" fillId="3" borderId="0" xfId="0" applyNumberFormat="1" applyFont="1" applyFill="1" applyBorder="1" applyAlignment="1">
      <alignment horizontal="right" vertical="center"/>
    </xf>
    <xf numFmtId="0" fontId="0" fillId="0" borderId="0" xfId="0" applyFont="1" applyFill="1"/>
    <xf numFmtId="0" fontId="2" fillId="0" borderId="0" xfId="0" applyFont="1" applyFill="1" applyBorder="1" applyAlignment="1">
      <alignment vertical="center"/>
    </xf>
    <xf numFmtId="167" fontId="2" fillId="0" borderId="0" xfId="0" applyNumberFormat="1" applyFont="1" applyFill="1" applyBorder="1" applyAlignment="1">
      <alignment horizontal="right" vertical="center"/>
    </xf>
    <xf numFmtId="166" fontId="0" fillId="0" borderId="1" xfId="0" applyNumberFormat="1" applyFont="1" applyFill="1" applyBorder="1" applyAlignment="1">
      <alignment horizontal="right" vertical="center"/>
    </xf>
    <xf numFmtId="0" fontId="0" fillId="0" borderId="0" xfId="0" applyFill="1"/>
    <xf numFmtId="0" fontId="0" fillId="6" borderId="0" xfId="0" applyFont="1" applyFill="1"/>
    <xf numFmtId="3" fontId="0" fillId="3" borderId="0" xfId="0" applyNumberFormat="1" applyFont="1" applyFill="1" applyBorder="1" applyAlignment="1">
      <alignment horizontal="right" vertical="center" wrapText="1"/>
    </xf>
    <xf numFmtId="3" fontId="2" fillId="3" borderId="5" xfId="0" applyNumberFormat="1" applyFont="1" applyFill="1" applyBorder="1" applyAlignment="1">
      <alignment horizontal="right" vertical="center" wrapText="1"/>
    </xf>
    <xf numFmtId="167" fontId="2" fillId="3" borderId="5" xfId="0" applyNumberFormat="1" applyFont="1" applyFill="1" applyBorder="1" applyAlignment="1">
      <alignment horizontal="right" vertical="center" wrapText="1"/>
    </xf>
    <xf numFmtId="167" fontId="0" fillId="0" borderId="0" xfId="0" applyNumberFormat="1" applyFont="1"/>
    <xf numFmtId="168" fontId="0" fillId="0" borderId="0" xfId="0" applyNumberFormat="1" applyFont="1"/>
    <xf numFmtId="168" fontId="2" fillId="3" borderId="5" xfId="0" applyNumberFormat="1" applyFont="1" applyFill="1" applyBorder="1" applyAlignment="1">
      <alignment horizontal="right" vertical="center"/>
    </xf>
    <xf numFmtId="0" fontId="9" fillId="0" borderId="0" xfId="0" applyFont="1"/>
    <xf numFmtId="168" fontId="0" fillId="0" borderId="0" xfId="0" applyNumberFormat="1" applyFont="1" applyFill="1"/>
    <xf numFmtId="168" fontId="2" fillId="3" borderId="2" xfId="0" applyNumberFormat="1" applyFont="1" applyFill="1" applyBorder="1" applyAlignment="1">
      <alignment horizontal="right" vertical="center"/>
    </xf>
    <xf numFmtId="0" fontId="9" fillId="0" borderId="0" xfId="0" applyFont="1" applyBorder="1"/>
    <xf numFmtId="0" fontId="11" fillId="0" borderId="0" xfId="0" applyFont="1"/>
    <xf numFmtId="0" fontId="12" fillId="0" borderId="0" xfId="0" applyFont="1"/>
    <xf numFmtId="3" fontId="0" fillId="0" borderId="0" xfId="0" applyNumberFormat="1" applyFont="1"/>
    <xf numFmtId="1" fontId="0" fillId="0" borderId="0" xfId="0" applyNumberFormat="1" applyFont="1"/>
    <xf numFmtId="3" fontId="0" fillId="0" borderId="0" xfId="0" applyNumberFormat="1"/>
    <xf numFmtId="167" fontId="0" fillId="0" borderId="0" xfId="0" applyNumberFormat="1" applyFont="1" applyFill="1"/>
    <xf numFmtId="0" fontId="12" fillId="0" borderId="0" xfId="0" applyFont="1" applyBorder="1"/>
    <xf numFmtId="1" fontId="0" fillId="0" borderId="0" xfId="0" applyNumberFormat="1"/>
    <xf numFmtId="168" fontId="0" fillId="0" borderId="0" xfId="0" applyNumberFormat="1"/>
    <xf numFmtId="168" fontId="2" fillId="3" borderId="0" xfId="0" applyNumberFormat="1" applyFont="1" applyFill="1" applyBorder="1" applyAlignment="1">
      <alignment horizontal="right" vertical="center"/>
    </xf>
    <xf numFmtId="169" fontId="0" fillId="0" borderId="0" xfId="0" applyNumberFormat="1" applyFont="1"/>
    <xf numFmtId="9" fontId="0" fillId="7" borderId="7" xfId="2" applyNumberFormat="1" applyFont="1" applyFill="1" applyBorder="1"/>
    <xf numFmtId="10" fontId="0" fillId="7" borderId="7" xfId="0" applyNumberFormat="1" applyFont="1" applyFill="1" applyBorder="1"/>
    <xf numFmtId="0" fontId="0" fillId="7" borderId="7" xfId="0" applyFont="1" applyFill="1" applyBorder="1" applyAlignment="1">
      <alignment horizontal="right" vertical="center"/>
    </xf>
    <xf numFmtId="3" fontId="0" fillId="7" borderId="7" xfId="0" applyNumberFormat="1" applyFont="1" applyFill="1" applyBorder="1" applyAlignment="1">
      <alignment horizontal="right" vertical="center"/>
    </xf>
    <xf numFmtId="6" fontId="0" fillId="7" borderId="7" xfId="0" applyNumberFormat="1" applyFont="1" applyFill="1" applyBorder="1" applyAlignment="1">
      <alignment horizontal="right" vertical="center"/>
    </xf>
    <xf numFmtId="0" fontId="0" fillId="0" borderId="9" xfId="0" applyFont="1" applyBorder="1"/>
    <xf numFmtId="170" fontId="0" fillId="3" borderId="0" xfId="4" applyNumberFormat="1" applyFont="1" applyFill="1" applyBorder="1" applyAlignment="1">
      <alignment horizontal="right" vertical="center"/>
    </xf>
    <xf numFmtId="170" fontId="0" fillId="0" borderId="0" xfId="4" applyNumberFormat="1" applyFont="1" applyFill="1" applyBorder="1"/>
    <xf numFmtId="0" fontId="8" fillId="2" borderId="0" xfId="0" applyFont="1" applyFill="1" applyBorder="1" applyAlignment="1">
      <alignment horizontal="right"/>
    </xf>
    <xf numFmtId="170" fontId="0" fillId="7" borderId="7" xfId="4" applyNumberFormat="1" applyFont="1" applyFill="1" applyBorder="1"/>
    <xf numFmtId="0" fontId="2" fillId="0" borderId="0" xfId="0" applyFont="1" applyFill="1" applyBorder="1"/>
    <xf numFmtId="170" fontId="2" fillId="0" borderId="0" xfId="4" applyNumberFormat="1" applyFont="1" applyFill="1" applyBorder="1"/>
    <xf numFmtId="167" fontId="2" fillId="3" borderId="9" xfId="0" applyNumberFormat="1" applyFont="1" applyFill="1" applyBorder="1" applyAlignment="1">
      <alignment horizontal="left" vertical="center"/>
    </xf>
    <xf numFmtId="170" fontId="13" fillId="7" borderId="9" xfId="4" applyNumberFormat="1" applyFont="1" applyFill="1" applyBorder="1" applyAlignment="1">
      <alignment horizontal="left" vertical="center"/>
    </xf>
    <xf numFmtId="167" fontId="2" fillId="3" borderId="6" xfId="0" applyNumberFormat="1" applyFont="1" applyFill="1" applyBorder="1" applyAlignment="1">
      <alignment horizontal="left" vertical="center"/>
    </xf>
    <xf numFmtId="170" fontId="2" fillId="3" borderId="5" xfId="4" applyNumberFormat="1" applyFont="1" applyFill="1" applyBorder="1" applyAlignment="1">
      <alignment horizontal="right" vertical="center"/>
    </xf>
    <xf numFmtId="170" fontId="0" fillId="3" borderId="1" xfId="4" applyNumberFormat="1" applyFont="1" applyFill="1" applyBorder="1" applyAlignment="1">
      <alignment horizontal="right" vertical="center"/>
    </xf>
    <xf numFmtId="168" fontId="2" fillId="3" borderId="8" xfId="0" applyNumberFormat="1" applyFont="1" applyFill="1" applyBorder="1" applyAlignment="1">
      <alignment horizontal="right" vertical="center"/>
    </xf>
    <xf numFmtId="170" fontId="0" fillId="0" borderId="9" xfId="4" applyNumberFormat="1" applyFont="1" applyFill="1" applyBorder="1"/>
    <xf numFmtId="170" fontId="13" fillId="7" borderId="7" xfId="4" applyNumberFormat="1" applyFont="1" applyFill="1" applyBorder="1" applyAlignment="1">
      <alignment horizontal="left" vertical="center"/>
    </xf>
    <xf numFmtId="10" fontId="0" fillId="0" borderId="9" xfId="0" applyNumberFormat="1" applyFont="1" applyBorder="1"/>
    <xf numFmtId="168" fontId="2" fillId="0" borderId="3" xfId="0" applyNumberFormat="1" applyFont="1" applyFill="1" applyBorder="1"/>
    <xf numFmtId="170" fontId="2" fillId="0" borderId="0" xfId="4" applyNumberFormat="1" applyFont="1" applyBorder="1" applyAlignment="1">
      <alignment horizontal="center"/>
    </xf>
    <xf numFmtId="170" fontId="0" fillId="7" borderId="7" xfId="4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right" vertical="center" wrapText="1"/>
    </xf>
    <xf numFmtId="0" fontId="0" fillId="7" borderId="7" xfId="0" applyNumberFormat="1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right" vertical="center"/>
    </xf>
    <xf numFmtId="168" fontId="0" fillId="7" borderId="7" xfId="0" applyNumberFormat="1" applyFont="1" applyFill="1" applyBorder="1" applyAlignment="1">
      <alignment horizontal="right" vertical="center"/>
    </xf>
    <xf numFmtId="167" fontId="0" fillId="7" borderId="7" xfId="0" applyNumberFormat="1" applyFont="1" applyFill="1" applyBorder="1" applyAlignment="1">
      <alignment horizontal="right" vertical="center"/>
    </xf>
    <xf numFmtId="0" fontId="0" fillId="3" borderId="10" xfId="0" applyFont="1" applyFill="1" applyBorder="1" applyAlignment="1">
      <alignment vertical="center"/>
    </xf>
    <xf numFmtId="170" fontId="0" fillId="3" borderId="10" xfId="4" applyNumberFormat="1" applyFont="1" applyFill="1" applyBorder="1" applyAlignment="1">
      <alignment horizontal="right" vertical="center"/>
    </xf>
    <xf numFmtId="170" fontId="0" fillId="7" borderId="7" xfId="4" applyNumberFormat="1" applyFont="1" applyFill="1" applyBorder="1" applyAlignment="1">
      <alignment horizontal="center" vertical="top"/>
    </xf>
    <xf numFmtId="0" fontId="0" fillId="7" borderId="7" xfId="0" applyFont="1" applyFill="1" applyBorder="1" applyAlignment="1">
      <alignment horizontal="right" vertical="center" wrapText="1"/>
    </xf>
    <xf numFmtId="168" fontId="0" fillId="7" borderId="7" xfId="0" applyNumberFormat="1" applyFont="1" applyFill="1" applyBorder="1" applyAlignment="1">
      <alignment horizontal="right" vertical="center" wrapText="1"/>
    </xf>
    <xf numFmtId="0" fontId="0" fillId="3" borderId="8" xfId="0" applyFont="1" applyFill="1" applyBorder="1" applyAlignment="1">
      <alignment vertical="center" wrapText="1"/>
    </xf>
    <xf numFmtId="0" fontId="0" fillId="7" borderId="11" xfId="0" applyFont="1" applyFill="1" applyBorder="1" applyAlignment="1">
      <alignment horizontal="right" vertical="center" wrapText="1"/>
    </xf>
    <xf numFmtId="0" fontId="0" fillId="3" borderId="4" xfId="0" applyFont="1" applyFill="1" applyBorder="1" applyAlignment="1">
      <alignment vertical="center"/>
    </xf>
    <xf numFmtId="168" fontId="0" fillId="7" borderId="12" xfId="0" applyNumberFormat="1" applyFont="1" applyFill="1" applyBorder="1" applyAlignment="1">
      <alignment horizontal="right" vertical="center" wrapText="1"/>
    </xf>
    <xf numFmtId="168" fontId="0" fillId="7" borderId="12" xfId="0" applyNumberFormat="1" applyFont="1" applyFill="1" applyBorder="1" applyAlignment="1">
      <alignment horizontal="right" vertical="center"/>
    </xf>
    <xf numFmtId="170" fontId="0" fillId="3" borderId="1" xfId="4" applyNumberFormat="1" applyFont="1" applyFill="1" applyBorder="1" applyAlignment="1">
      <alignment horizontal="right" vertical="center" wrapText="1"/>
    </xf>
    <xf numFmtId="170" fontId="0" fillId="3" borderId="0" xfId="4" applyNumberFormat="1" applyFont="1" applyFill="1" applyBorder="1" applyAlignment="1">
      <alignment horizontal="right" vertical="center" wrapText="1"/>
    </xf>
    <xf numFmtId="170" fontId="0" fillId="7" borderId="13" xfId="4" applyNumberFormat="1" applyFont="1" applyFill="1" applyBorder="1" applyAlignment="1">
      <alignment horizontal="right" vertical="center" wrapText="1"/>
    </xf>
    <xf numFmtId="170" fontId="2" fillId="3" borderId="5" xfId="4" applyNumberFormat="1" applyFont="1" applyFill="1" applyBorder="1" applyAlignment="1">
      <alignment horizontal="right" vertical="center" wrapText="1"/>
    </xf>
    <xf numFmtId="0" fontId="0" fillId="7" borderId="13" xfId="0" applyNumberFormat="1" applyFont="1" applyFill="1" applyBorder="1" applyAlignment="1">
      <alignment horizontal="right" vertical="center"/>
    </xf>
    <xf numFmtId="170" fontId="0" fillId="7" borderId="13" xfId="4" applyNumberFormat="1" applyFont="1" applyFill="1" applyBorder="1" applyAlignment="1">
      <alignment horizontal="right" vertical="center"/>
    </xf>
    <xf numFmtId="170" fontId="2" fillId="0" borderId="3" xfId="4" applyNumberFormat="1" applyFont="1" applyFill="1" applyBorder="1"/>
    <xf numFmtId="3" fontId="0" fillId="7" borderId="14" xfId="0" applyNumberFormat="1" applyFont="1" applyFill="1" applyBorder="1" applyAlignment="1">
      <alignment horizontal="right" vertical="center"/>
    </xf>
    <xf numFmtId="167" fontId="2" fillId="3" borderId="2" xfId="0" applyNumberFormat="1" applyFont="1" applyFill="1" applyBorder="1" applyAlignment="1">
      <alignment horizontal="right" vertical="center"/>
    </xf>
    <xf numFmtId="167" fontId="0" fillId="7" borderId="13" xfId="0" applyNumberFormat="1" applyFont="1" applyFill="1" applyBorder="1" applyAlignment="1">
      <alignment horizontal="right" vertical="center" wrapText="1"/>
    </xf>
    <xf numFmtId="0" fontId="0" fillId="5" borderId="0" xfId="0" applyFont="1" applyFill="1" applyBorder="1" applyAlignment="1">
      <alignment horizontal="left" vertical="center"/>
    </xf>
    <xf numFmtId="0" fontId="0" fillId="3" borderId="15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right"/>
    </xf>
    <xf numFmtId="168" fontId="2" fillId="5" borderId="0" xfId="0" applyNumberFormat="1" applyFont="1" applyFill="1" applyBorder="1" applyAlignment="1">
      <alignment horizontal="right" vertical="center"/>
    </xf>
    <xf numFmtId="168" fontId="2" fillId="3" borderId="15" xfId="0" applyNumberFormat="1" applyFont="1" applyFill="1" applyBorder="1" applyAlignment="1">
      <alignment horizontal="right" vertical="center"/>
    </xf>
    <xf numFmtId="0" fontId="8" fillId="2" borderId="0" xfId="0" applyFont="1" applyFill="1" applyBorder="1" applyAlignment="1">
      <alignment horizontal="center"/>
    </xf>
  </cellXfs>
  <cellStyles count="5">
    <cellStyle name="Comma" xfId="1" builtinId="3"/>
    <cellStyle name="Currency" xfId="4" builtinId="4"/>
    <cellStyle name="Normal" xfId="0" builtinId="0"/>
    <cellStyle name="Normal 2" xfId="3"/>
    <cellStyle name="Percent" xfId="2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N19"/>
  <sheetViews>
    <sheetView showGridLines="0" tabSelected="1" zoomScale="80" zoomScaleNormal="80" workbookViewId="0">
      <selection activeCell="E8" sqref="E8"/>
    </sheetView>
  </sheetViews>
  <sheetFormatPr defaultColWidth="0" defaultRowHeight="12.75" zeroHeight="1" x14ac:dyDescent="0.2"/>
  <cols>
    <col min="1" max="1" width="4.375" customWidth="1"/>
    <col min="2" max="2" width="43.375" customWidth="1"/>
    <col min="3" max="3" width="20.5" customWidth="1"/>
    <col min="4" max="4" width="4.75" customWidth="1"/>
    <col min="5" max="5" width="36.5" customWidth="1"/>
    <col min="6" max="6" width="9" customWidth="1"/>
    <col min="7" max="7" width="12" bestFit="1" customWidth="1"/>
    <col min="8" max="13" width="9" customWidth="1"/>
    <col min="14" max="14" width="3.875" customWidth="1"/>
    <col min="15" max="16384" width="9" hidden="1"/>
  </cols>
  <sheetData>
    <row r="1" spans="2:13" ht="21.75" customHeight="1" x14ac:dyDescent="0.2"/>
    <row r="2" spans="2:13" ht="49.5" customHeight="1" x14ac:dyDescent="0.2">
      <c r="B2" s="6" t="s">
        <v>51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2:13" x14ac:dyDescent="0.2"/>
    <row r="4" spans="2:13" ht="15" x14ac:dyDescent="0.2">
      <c r="B4" s="37" t="s">
        <v>39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2:13" ht="18" x14ac:dyDescent="0.25">
      <c r="B5" s="33"/>
      <c r="C5" s="70"/>
    </row>
    <row r="6" spans="2:13" x14ac:dyDescent="0.2">
      <c r="B6" s="34" t="s">
        <v>49</v>
      </c>
      <c r="C6" s="131" t="s">
        <v>11</v>
      </c>
    </row>
    <row r="7" spans="2:13" x14ac:dyDescent="0.2">
      <c r="B7" s="41" t="str">
        <f>'Option 1'!B2</f>
        <v>Option 1 - Do nothing</v>
      </c>
      <c r="C7" s="78">
        <f>'Option 1'!D52</f>
        <v>-196746774.09868008</v>
      </c>
      <c r="G7" s="77"/>
    </row>
    <row r="8" spans="2:13" x14ac:dyDescent="0.2">
      <c r="B8" s="129" t="str">
        <f>'Option 2'!B2</f>
        <v>Option 2 - Move to 4G / 5G</v>
      </c>
      <c r="C8" s="132">
        <f>'Option 2'!D59</f>
        <v>-14884875.462205036</v>
      </c>
      <c r="E8" s="44" t="s">
        <v>56</v>
      </c>
      <c r="G8" s="77"/>
    </row>
    <row r="9" spans="2:13" x14ac:dyDescent="0.2">
      <c r="B9" s="130" t="str">
        <f>'Option 3'!B2</f>
        <v>Option 3 - Move to another technology</v>
      </c>
      <c r="C9" s="133">
        <f>'Option 3'!D84</f>
        <v>-16107391.985676318</v>
      </c>
      <c r="G9" s="77"/>
    </row>
    <row r="10" spans="2:13" x14ac:dyDescent="0.2">
      <c r="C10" s="4"/>
    </row>
    <row r="11" spans="2:13" hidden="1" x14ac:dyDescent="0.2"/>
    <row r="12" spans="2:13" hidden="1" x14ac:dyDescent="0.2"/>
    <row r="13" spans="2:13" hidden="1" x14ac:dyDescent="0.2"/>
    <row r="14" spans="2:13" hidden="1" x14ac:dyDescent="0.2">
      <c r="E14" s="73"/>
    </row>
    <row r="15" spans="2:13" hidden="1" x14ac:dyDescent="0.2">
      <c r="E15" s="73"/>
    </row>
    <row r="16" spans="2:13" hidden="1" x14ac:dyDescent="0.2">
      <c r="E16" s="73"/>
    </row>
    <row r="17" spans="2:2" hidden="1" x14ac:dyDescent="0.2"/>
    <row r="18" spans="2:2" hidden="1" x14ac:dyDescent="0.2">
      <c r="B18" s="65"/>
    </row>
    <row r="19" spans="2:2" hidden="1" x14ac:dyDescent="0.2">
      <c r="B19" s="65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5"/>
  <sheetViews>
    <sheetView showGridLines="0" zoomScale="80" zoomScaleNormal="80" workbookViewId="0">
      <selection activeCell="C6" sqref="C6"/>
    </sheetView>
  </sheetViews>
  <sheetFormatPr defaultColWidth="0" defaultRowHeight="12.75" zeroHeight="1" x14ac:dyDescent="0.2"/>
  <cols>
    <col min="1" max="1" width="3.25" customWidth="1"/>
    <col min="2" max="2" width="36.125" customWidth="1"/>
    <col min="3" max="3" width="29.75" bestFit="1" customWidth="1"/>
    <col min="4" max="4" width="16.875" bestFit="1" customWidth="1"/>
    <col min="5" max="5" width="14.375" bestFit="1" customWidth="1"/>
    <col min="6" max="13" width="15.625" bestFit="1" customWidth="1"/>
    <col min="14" max="14" width="4.375" customWidth="1"/>
    <col min="15" max="16384" width="9" hidden="1"/>
  </cols>
  <sheetData>
    <row r="1" spans="2:14" x14ac:dyDescent="0.2"/>
    <row r="2" spans="2:14" ht="15" customHeight="1" x14ac:dyDescent="0.2">
      <c r="B2" s="6" t="s">
        <v>36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2:14" x14ac:dyDescent="0.2"/>
    <row r="4" spans="2:14" s="11" customFormat="1" ht="16.5" customHeight="1" x14ac:dyDescent="0.2">
      <c r="B4" s="37" t="s">
        <v>57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2:14" x14ac:dyDescent="0.2"/>
    <row r="6" spans="2:14" x14ac:dyDescent="0.2">
      <c r="B6" s="11"/>
      <c r="C6" s="11"/>
      <c r="D6" s="134" t="s">
        <v>0</v>
      </c>
      <c r="E6" s="134"/>
      <c r="F6" s="134"/>
      <c r="G6" s="134"/>
      <c r="H6" s="134"/>
      <c r="I6" s="134"/>
      <c r="J6" s="134"/>
      <c r="K6" s="134"/>
      <c r="L6" s="134"/>
      <c r="M6" s="134"/>
      <c r="N6" s="11"/>
    </row>
    <row r="7" spans="2:14" x14ac:dyDescent="0.2">
      <c r="B7" s="11"/>
      <c r="C7" s="9"/>
      <c r="D7" s="88" t="s">
        <v>90</v>
      </c>
      <c r="E7" s="88" t="s">
        <v>91</v>
      </c>
      <c r="F7" s="88" t="s">
        <v>92</v>
      </c>
      <c r="G7" s="88" t="s">
        <v>93</v>
      </c>
      <c r="H7" s="88" t="s">
        <v>94</v>
      </c>
      <c r="I7" s="88" t="s">
        <v>95</v>
      </c>
      <c r="J7" s="88" t="s">
        <v>96</v>
      </c>
      <c r="K7" s="88" t="s">
        <v>97</v>
      </c>
      <c r="L7" s="88" t="s">
        <v>98</v>
      </c>
      <c r="M7" s="88" t="s">
        <v>99</v>
      </c>
      <c r="N7" s="11"/>
    </row>
    <row r="8" spans="2:14" x14ac:dyDescent="0.2">
      <c r="B8" s="10" t="s">
        <v>1</v>
      </c>
      <c r="C8" s="85"/>
      <c r="D8" s="89">
        <v>0</v>
      </c>
      <c r="E8" s="89">
        <v>0</v>
      </c>
      <c r="F8" s="89">
        <v>0</v>
      </c>
      <c r="G8" s="89">
        <v>0</v>
      </c>
      <c r="H8" s="89">
        <v>0</v>
      </c>
      <c r="I8" s="89">
        <v>0</v>
      </c>
      <c r="J8" s="89">
        <v>0</v>
      </c>
      <c r="K8" s="89">
        <v>0</v>
      </c>
      <c r="L8" s="89">
        <v>0</v>
      </c>
      <c r="M8" s="89">
        <v>0</v>
      </c>
      <c r="N8" s="11"/>
    </row>
    <row r="9" spans="2:14" x14ac:dyDescent="0.2">
      <c r="B9" s="10"/>
      <c r="C9" s="9" t="s">
        <v>27</v>
      </c>
      <c r="D9" s="91">
        <f>SUM(D8)</f>
        <v>0</v>
      </c>
      <c r="E9" s="91">
        <f t="shared" ref="E9:M9" si="0">SUM(E8)</f>
        <v>0</v>
      </c>
      <c r="F9" s="91">
        <f t="shared" si="0"/>
        <v>0</v>
      </c>
      <c r="G9" s="91">
        <f t="shared" si="0"/>
        <v>0</v>
      </c>
      <c r="H9" s="91">
        <f t="shared" si="0"/>
        <v>0</v>
      </c>
      <c r="I9" s="91">
        <f t="shared" si="0"/>
        <v>0</v>
      </c>
      <c r="J9" s="91">
        <f t="shared" si="0"/>
        <v>0</v>
      </c>
      <c r="K9" s="91">
        <f t="shared" si="0"/>
        <v>0</v>
      </c>
      <c r="L9" s="91">
        <f t="shared" si="0"/>
        <v>0</v>
      </c>
      <c r="M9" s="91">
        <f t="shared" si="0"/>
        <v>0</v>
      </c>
      <c r="N9" s="11"/>
    </row>
    <row r="10" spans="2:14" ht="24.75" customHeight="1" x14ac:dyDescent="0.2">
      <c r="B10" s="15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1"/>
    </row>
    <row r="11" spans="2:14" x14ac:dyDescent="0.2">
      <c r="B11" s="10" t="s">
        <v>2</v>
      </c>
      <c r="C11" s="12" t="s">
        <v>3</v>
      </c>
      <c r="D11" s="87">
        <f>-$C$27*D18</f>
        <v>0</v>
      </c>
      <c r="E11" s="87">
        <f>-$C$27*E18</f>
        <v>-6199989.2999999998</v>
      </c>
      <c r="F11" s="87">
        <f>-$C$27*F18</f>
        <v>-20666631</v>
      </c>
      <c r="G11" s="87">
        <f t="shared" ref="G11:M11" si="1">-$C$27*G18</f>
        <v>-20666631</v>
      </c>
      <c r="H11" s="87">
        <f t="shared" si="1"/>
        <v>-20666631</v>
      </c>
      <c r="I11" s="87">
        <f t="shared" si="1"/>
        <v>-20666631</v>
      </c>
      <c r="J11" s="87">
        <f t="shared" si="1"/>
        <v>-20666631</v>
      </c>
      <c r="K11" s="87">
        <f t="shared" si="1"/>
        <v>-20666631</v>
      </c>
      <c r="L11" s="87">
        <f t="shared" si="1"/>
        <v>-20666631</v>
      </c>
      <c r="M11" s="87">
        <f t="shared" si="1"/>
        <v>-20666631</v>
      </c>
      <c r="N11" s="11"/>
    </row>
    <row r="12" spans="2:14" x14ac:dyDescent="0.2">
      <c r="B12" s="12"/>
      <c r="C12" s="12" t="s">
        <v>4</v>
      </c>
      <c r="D12" s="87">
        <f>-$C$37*D18*-1</f>
        <v>0</v>
      </c>
      <c r="E12" s="87">
        <f>-$C$37*E18*-1</f>
        <v>-133027.19999999998</v>
      </c>
      <c r="F12" s="87">
        <f>-$C$37*F18*-1</f>
        <v>-443424</v>
      </c>
      <c r="G12" s="87">
        <f t="shared" ref="G12:M12" si="2">-$C$37*G18*-1</f>
        <v>-443424</v>
      </c>
      <c r="H12" s="87">
        <f t="shared" si="2"/>
        <v>-443424</v>
      </c>
      <c r="I12" s="87">
        <f t="shared" si="2"/>
        <v>-443424</v>
      </c>
      <c r="J12" s="87">
        <f t="shared" si="2"/>
        <v>-443424</v>
      </c>
      <c r="K12" s="87">
        <f t="shared" si="2"/>
        <v>-443424</v>
      </c>
      <c r="L12" s="87">
        <f t="shared" si="2"/>
        <v>-443424</v>
      </c>
      <c r="M12" s="87">
        <f t="shared" si="2"/>
        <v>-443424</v>
      </c>
      <c r="N12" s="11"/>
    </row>
    <row r="13" spans="2:14" x14ac:dyDescent="0.2">
      <c r="B13" s="12"/>
      <c r="C13" s="85" t="s">
        <v>76</v>
      </c>
      <c r="D13" s="98">
        <f>-D18*$C$43*-1</f>
        <v>0</v>
      </c>
      <c r="E13" s="98">
        <f>-E18*$C$43*-1</f>
        <v>-2094403.2</v>
      </c>
      <c r="F13" s="98">
        <f>-F18*$C$43*-1</f>
        <v>-6981344</v>
      </c>
      <c r="G13" s="98">
        <f t="shared" ref="G13:M13" si="3">-G18*$C$43*-1</f>
        <v>-6981344</v>
      </c>
      <c r="H13" s="98">
        <f t="shared" si="3"/>
        <v>-6981344</v>
      </c>
      <c r="I13" s="98">
        <f t="shared" si="3"/>
        <v>-6981344</v>
      </c>
      <c r="J13" s="98">
        <f t="shared" si="3"/>
        <v>-6981344</v>
      </c>
      <c r="K13" s="98">
        <f t="shared" si="3"/>
        <v>-6981344</v>
      </c>
      <c r="L13" s="98">
        <f t="shared" si="3"/>
        <v>-6981344</v>
      </c>
      <c r="M13" s="98">
        <f t="shared" si="3"/>
        <v>-6981344</v>
      </c>
      <c r="N13" s="11"/>
    </row>
    <row r="14" spans="2:14" x14ac:dyDescent="0.2">
      <c r="B14" s="11"/>
      <c r="C14" s="90" t="s">
        <v>27</v>
      </c>
      <c r="D14" s="91">
        <f>SUM(D11:D12)</f>
        <v>0</v>
      </c>
      <c r="E14" s="91">
        <f>SUM(E11:E12)</f>
        <v>-6333016.5</v>
      </c>
      <c r="F14" s="91">
        <f t="shared" ref="F14:M14" si="4">SUM(F11:F12)</f>
        <v>-21110055</v>
      </c>
      <c r="G14" s="91">
        <f t="shared" si="4"/>
        <v>-21110055</v>
      </c>
      <c r="H14" s="91">
        <f t="shared" si="4"/>
        <v>-21110055</v>
      </c>
      <c r="I14" s="91">
        <f t="shared" si="4"/>
        <v>-21110055</v>
      </c>
      <c r="J14" s="91">
        <f t="shared" si="4"/>
        <v>-21110055</v>
      </c>
      <c r="K14" s="91">
        <f t="shared" si="4"/>
        <v>-21110055</v>
      </c>
      <c r="L14" s="91">
        <f t="shared" si="4"/>
        <v>-21110055</v>
      </c>
      <c r="M14" s="91">
        <f t="shared" si="4"/>
        <v>-21110055</v>
      </c>
      <c r="N14" s="11"/>
    </row>
    <row r="15" spans="2:14" x14ac:dyDescent="0.2"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</row>
    <row r="16" spans="2:14" x14ac:dyDescent="0.2">
      <c r="B16" s="45" t="s">
        <v>5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</row>
    <row r="17" spans="1:14" x14ac:dyDescent="0.2">
      <c r="B17" s="46" t="s">
        <v>10</v>
      </c>
      <c r="C17" s="81">
        <v>2.75E-2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4" x14ac:dyDescent="0.2">
      <c r="B18" s="46" t="s">
        <v>9</v>
      </c>
      <c r="C18" s="11"/>
      <c r="D18" s="80">
        <v>0</v>
      </c>
      <c r="E18" s="80">
        <v>0.3</v>
      </c>
      <c r="F18" s="80">
        <v>1</v>
      </c>
      <c r="G18" s="80">
        <v>1</v>
      </c>
      <c r="H18" s="80">
        <v>1</v>
      </c>
      <c r="I18" s="80">
        <v>1</v>
      </c>
      <c r="J18" s="80">
        <v>1</v>
      </c>
      <c r="K18" s="80">
        <v>1</v>
      </c>
      <c r="L18" s="80">
        <v>1</v>
      </c>
      <c r="M18" s="80">
        <f>L18</f>
        <v>1</v>
      </c>
      <c r="N18" s="11"/>
    </row>
    <row r="19" spans="1:14" x14ac:dyDescent="0.2"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</row>
    <row r="20" spans="1:14" s="11" customFormat="1" ht="16.5" customHeight="1" x14ac:dyDescent="0.2">
      <c r="B20" s="37" t="s">
        <v>53</v>
      </c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</row>
    <row r="21" spans="1:14" x14ac:dyDescent="0.2">
      <c r="A21" s="11"/>
      <c r="B21" s="11"/>
      <c r="C21" s="13"/>
      <c r="D21" s="11"/>
      <c r="E21" s="11"/>
      <c r="F21" s="11"/>
      <c r="G21" s="11"/>
      <c r="H21" s="11"/>
      <c r="I21" s="11"/>
      <c r="J21" s="11"/>
      <c r="K21" s="11"/>
      <c r="L21" s="11"/>
      <c r="M21" s="11"/>
    </row>
    <row r="22" spans="1:14" ht="14.25" x14ac:dyDescent="0.2">
      <c r="A22" s="11"/>
      <c r="B22" s="85" t="s">
        <v>54</v>
      </c>
      <c r="C22" s="100"/>
      <c r="D22" s="99">
        <v>0</v>
      </c>
      <c r="E22" s="99">
        <v>0</v>
      </c>
      <c r="F22" s="99">
        <v>0</v>
      </c>
      <c r="G22" s="99">
        <v>0</v>
      </c>
      <c r="H22" s="99">
        <v>0</v>
      </c>
      <c r="I22" s="99">
        <v>0</v>
      </c>
      <c r="J22" s="99">
        <v>0</v>
      </c>
      <c r="K22" s="99">
        <v>0</v>
      </c>
      <c r="L22" s="99">
        <v>0</v>
      </c>
      <c r="M22" s="99">
        <v>0</v>
      </c>
    </row>
    <row r="23" spans="1:14" x14ac:dyDescent="0.2">
      <c r="A23" s="11"/>
      <c r="B23" s="11"/>
      <c r="C23" s="13"/>
      <c r="D23" s="11"/>
      <c r="E23" s="11"/>
      <c r="F23" s="11"/>
      <c r="G23" s="11"/>
      <c r="H23" s="11"/>
      <c r="I23" s="11"/>
      <c r="J23" s="11"/>
      <c r="K23" s="11"/>
      <c r="L23" s="11"/>
      <c r="M23" s="11"/>
    </row>
    <row r="24" spans="1:14" s="11" customFormat="1" ht="16.5" customHeight="1" x14ac:dyDescent="0.2">
      <c r="B24" s="37" t="s">
        <v>2</v>
      </c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</row>
    <row r="25" spans="1:14" x14ac:dyDescent="0.2"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</row>
    <row r="26" spans="1:14" x14ac:dyDescent="0.2">
      <c r="B26" s="2" t="s">
        <v>44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</row>
    <row r="27" spans="1:14" ht="14.25" x14ac:dyDescent="0.2">
      <c r="B27" s="92" t="s">
        <v>100</v>
      </c>
      <c r="C27" s="93">
        <v>20666631</v>
      </c>
      <c r="D27" s="65"/>
      <c r="E27" s="65"/>
      <c r="F27" s="11"/>
      <c r="G27" s="11"/>
      <c r="H27" s="11"/>
      <c r="I27" s="11"/>
      <c r="J27" s="11"/>
      <c r="K27" s="11"/>
      <c r="L27" s="11"/>
      <c r="M27" s="11"/>
      <c r="N27" s="11"/>
    </row>
    <row r="28" spans="1:14" x14ac:dyDescent="0.2"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</row>
    <row r="29" spans="1:14" x14ac:dyDescent="0.2">
      <c r="B29" s="2" t="s">
        <v>43</v>
      </c>
      <c r="C29" s="11"/>
      <c r="D29" s="11"/>
      <c r="E29" s="72"/>
      <c r="F29" s="11"/>
      <c r="G29" s="11"/>
      <c r="H29" s="11"/>
      <c r="I29" s="11"/>
      <c r="J29" s="11"/>
      <c r="K29" s="11"/>
      <c r="L29" s="11"/>
      <c r="M29" s="11"/>
      <c r="N29" s="11"/>
    </row>
    <row r="30" spans="1:14" x14ac:dyDescent="0.2">
      <c r="B30" s="34" t="s">
        <v>52</v>
      </c>
      <c r="C30" s="34" t="s">
        <v>30</v>
      </c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</row>
    <row r="31" spans="1:14" ht="13.5" thickBot="1" x14ac:dyDescent="0.25">
      <c r="B31" s="35" t="s">
        <v>6</v>
      </c>
      <c r="C31" s="82">
        <v>315</v>
      </c>
      <c r="D31" s="70"/>
      <c r="E31" s="11"/>
      <c r="F31" s="11"/>
      <c r="G31" s="11"/>
      <c r="H31" s="11"/>
      <c r="I31" s="11"/>
      <c r="J31" s="11"/>
      <c r="K31" s="11"/>
      <c r="L31" s="11"/>
      <c r="M31" s="11"/>
      <c r="N31" s="11"/>
    </row>
    <row r="32" spans="1:14" ht="13.5" thickBot="1" x14ac:dyDescent="0.25">
      <c r="B32" s="35" t="s">
        <v>8</v>
      </c>
      <c r="C32" s="82">
        <v>429</v>
      </c>
      <c r="D32" s="70"/>
      <c r="E32" s="11"/>
      <c r="F32" s="11"/>
      <c r="G32" s="11"/>
      <c r="H32" s="11"/>
      <c r="I32" s="11"/>
      <c r="J32" s="11"/>
      <c r="K32" s="11"/>
      <c r="L32" s="11"/>
      <c r="M32" s="11"/>
      <c r="N32" s="11"/>
    </row>
    <row r="33" spans="1:14" ht="13.5" thickBot="1" x14ac:dyDescent="0.25">
      <c r="B33" s="35" t="s">
        <v>41</v>
      </c>
      <c r="C33" s="82">
        <v>149</v>
      </c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</row>
    <row r="34" spans="1:14" ht="13.5" thickBot="1" x14ac:dyDescent="0.25">
      <c r="B34" s="35" t="s">
        <v>7</v>
      </c>
      <c r="C34" s="82">
        <v>2</v>
      </c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</row>
    <row r="35" spans="1:14" ht="27.75" customHeight="1" thickBot="1" x14ac:dyDescent="0.25">
      <c r="B35" s="36" t="s">
        <v>40</v>
      </c>
      <c r="C35" s="82">
        <v>1</v>
      </c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</row>
    <row r="36" spans="1:14" x14ac:dyDescent="0.2">
      <c r="A36" s="11"/>
      <c r="B36" s="41" t="s">
        <v>58</v>
      </c>
      <c r="C36" s="82">
        <v>2</v>
      </c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</row>
    <row r="37" spans="1:14" ht="13.5" thickBot="1" x14ac:dyDescent="0.25">
      <c r="A37" s="11"/>
      <c r="B37" s="94" t="s">
        <v>42</v>
      </c>
      <c r="C37" s="97">
        <f>-1*(C31+C32)*C33*C34*C35*C36</f>
        <v>-443424</v>
      </c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</row>
    <row r="38" spans="1:14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</row>
    <row r="39" spans="1:14" x14ac:dyDescent="0.2">
      <c r="A39" s="11"/>
      <c r="B39" s="2" t="s">
        <v>72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</row>
    <row r="40" spans="1:14" x14ac:dyDescent="0.2">
      <c r="A40" s="11"/>
      <c r="B40" s="34" t="s">
        <v>52</v>
      </c>
      <c r="C40" s="34" t="s">
        <v>30</v>
      </c>
      <c r="D40" s="11"/>
      <c r="E40" s="65"/>
      <c r="F40" s="11"/>
      <c r="G40" s="11"/>
      <c r="H40" s="11"/>
      <c r="I40" s="11"/>
      <c r="J40" s="11"/>
      <c r="K40" s="11"/>
      <c r="L40" s="11"/>
      <c r="M40" s="11"/>
      <c r="N40" s="11"/>
    </row>
    <row r="41" spans="1:14" ht="13.5" thickBot="1" x14ac:dyDescent="0.25">
      <c r="A41" s="11"/>
      <c r="B41" s="35" t="s">
        <v>73</v>
      </c>
      <c r="C41" s="83">
        <v>872668</v>
      </c>
      <c r="D41" s="70"/>
      <c r="E41" s="11"/>
      <c r="F41" s="11"/>
      <c r="G41" s="11"/>
      <c r="H41" s="11"/>
      <c r="I41" s="11"/>
      <c r="J41" s="11"/>
      <c r="K41" s="11"/>
      <c r="L41" s="11"/>
      <c r="M41" s="11"/>
      <c r="N41" s="11"/>
    </row>
    <row r="42" spans="1:14" x14ac:dyDescent="0.2">
      <c r="A42" s="11"/>
      <c r="B42" s="41" t="s">
        <v>74</v>
      </c>
      <c r="C42" s="84">
        <v>2</v>
      </c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</row>
    <row r="43" spans="1:14" ht="13.5" thickBot="1" x14ac:dyDescent="0.25">
      <c r="A43" s="11"/>
      <c r="B43" s="94" t="s">
        <v>75</v>
      </c>
      <c r="C43" s="97">
        <f>C41*C42*4*-1</f>
        <v>-6981344</v>
      </c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</row>
    <row r="44" spans="1:14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</row>
    <row r="45" spans="1:14" s="11" customFormat="1" ht="15" x14ac:dyDescent="0.2">
      <c r="B45" s="37" t="s">
        <v>55</v>
      </c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</row>
    <row r="46" spans="1:14" x14ac:dyDescent="0.2">
      <c r="A46" s="11"/>
      <c r="B46" s="2"/>
      <c r="C46" s="11"/>
      <c r="D46" s="70"/>
      <c r="E46" s="11"/>
      <c r="F46" s="11"/>
      <c r="G46" s="11"/>
      <c r="H46" s="11"/>
      <c r="I46" s="11"/>
      <c r="J46" s="11"/>
      <c r="K46" s="11"/>
      <c r="L46" s="11"/>
      <c r="M46" s="11"/>
      <c r="N46" s="11"/>
    </row>
    <row r="47" spans="1:14" ht="13.5" thickBot="1" x14ac:dyDescent="0.25">
      <c r="A47" s="11"/>
      <c r="B47" s="17" t="s">
        <v>12</v>
      </c>
      <c r="C47" s="18" t="s">
        <v>13</v>
      </c>
      <c r="D47" s="18" t="s">
        <v>14</v>
      </c>
      <c r="E47" s="11"/>
      <c r="F47" s="11"/>
      <c r="G47" s="11"/>
      <c r="H47" s="11"/>
      <c r="I47" s="11"/>
      <c r="J47" s="11"/>
      <c r="K47" s="11"/>
      <c r="L47" s="11"/>
      <c r="M47" s="11"/>
      <c r="N47" s="11"/>
    </row>
    <row r="48" spans="1:14" ht="13.5" thickBot="1" x14ac:dyDescent="0.25">
      <c r="A48" s="11"/>
      <c r="B48" s="19" t="s">
        <v>3</v>
      </c>
      <c r="C48" s="26" t="s">
        <v>15</v>
      </c>
      <c r="D48" s="96">
        <f>NPV($C$17,D11:M11)</f>
        <v>-144745122.18981257</v>
      </c>
      <c r="E48" s="11"/>
      <c r="F48" s="71"/>
      <c r="G48" s="11"/>
      <c r="H48" s="11"/>
      <c r="I48" s="11"/>
      <c r="J48" s="11"/>
      <c r="K48" s="11"/>
      <c r="L48" s="11"/>
      <c r="M48" s="11"/>
      <c r="N48" s="11"/>
    </row>
    <row r="49" spans="1:14" ht="13.5" thickBot="1" x14ac:dyDescent="0.25">
      <c r="A49" s="11"/>
      <c r="B49" s="19" t="s">
        <v>16</v>
      </c>
      <c r="C49" s="26" t="s">
        <v>15</v>
      </c>
      <c r="D49" s="96">
        <f t="shared" ref="D49:D50" si="5">NPV($C$17,D12:M12)</f>
        <v>-3105656.7014669916</v>
      </c>
      <c r="E49" s="11"/>
      <c r="F49" s="71"/>
      <c r="G49" s="11"/>
      <c r="H49" s="11"/>
      <c r="I49" s="11"/>
      <c r="J49" s="11"/>
      <c r="K49" s="11"/>
      <c r="L49" s="11"/>
      <c r="M49" s="11"/>
      <c r="N49" s="11"/>
    </row>
    <row r="50" spans="1:14" ht="13.5" thickBot="1" x14ac:dyDescent="0.25">
      <c r="A50" s="11"/>
      <c r="B50" s="22" t="s">
        <v>76</v>
      </c>
      <c r="C50" s="42" t="s">
        <v>15</v>
      </c>
      <c r="D50" s="96">
        <f t="shared" si="5"/>
        <v>-48895995.207400523</v>
      </c>
      <c r="E50" s="11"/>
      <c r="F50" s="71"/>
      <c r="G50" s="11"/>
      <c r="H50" s="11"/>
      <c r="I50" s="11"/>
      <c r="J50" s="11"/>
      <c r="K50" s="11"/>
      <c r="L50" s="11"/>
      <c r="M50" s="11"/>
      <c r="N50" s="11"/>
    </row>
    <row r="51" spans="1:14" x14ac:dyDescent="0.2">
      <c r="A51" s="11"/>
      <c r="B51" s="22" t="s">
        <v>84</v>
      </c>
      <c r="C51" s="42" t="s">
        <v>15</v>
      </c>
      <c r="D51" s="86">
        <f>NPV($C$17,D22:M22)</f>
        <v>0</v>
      </c>
      <c r="E51" s="11"/>
      <c r="F51" s="71"/>
      <c r="G51" s="11"/>
      <c r="H51" s="11"/>
      <c r="I51" s="11"/>
      <c r="J51" s="11"/>
      <c r="K51" s="11"/>
      <c r="L51" s="11"/>
      <c r="M51" s="11"/>
      <c r="N51" s="11"/>
    </row>
    <row r="52" spans="1:14" ht="13.5" thickBot="1" x14ac:dyDescent="0.25">
      <c r="A52" s="11"/>
      <c r="B52" s="39" t="s">
        <v>17</v>
      </c>
      <c r="C52" s="43"/>
      <c r="D52" s="95">
        <f>SUM(D48:D51)-SUM(C48:C51)</f>
        <v>-196746774.09868008</v>
      </c>
      <c r="E52" s="11"/>
      <c r="F52" s="71"/>
      <c r="G52" s="11"/>
      <c r="H52" s="11"/>
      <c r="I52" s="11"/>
      <c r="J52" s="11"/>
      <c r="K52" s="11"/>
      <c r="L52" s="11"/>
      <c r="M52" s="11"/>
      <c r="N52" s="11"/>
    </row>
    <row r="53" spans="1:14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</row>
    <row r="54" spans="1:14" hidden="1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</row>
    <row r="55" spans="1:14" hidden="1" x14ac:dyDescent="0.2"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</row>
  </sheetData>
  <mergeCells count="1">
    <mergeCell ref="D6:M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61"/>
  <sheetViews>
    <sheetView showGridLines="0" zoomScale="80" zoomScaleNormal="80" workbookViewId="0"/>
  </sheetViews>
  <sheetFormatPr defaultColWidth="0" defaultRowHeight="12.75" zeroHeight="1" x14ac:dyDescent="0.2"/>
  <cols>
    <col min="1" max="1" width="2.875" customWidth="1"/>
    <col min="2" max="2" width="53.75" customWidth="1"/>
    <col min="3" max="3" width="15.625" customWidth="1"/>
    <col min="4" max="13" width="15.125" customWidth="1"/>
    <col min="14" max="14" width="4.25" customWidth="1"/>
    <col min="15" max="15" width="10.875" hidden="1" customWidth="1"/>
    <col min="16" max="16384" width="9" hidden="1"/>
  </cols>
  <sheetData>
    <row r="1" spans="1:15" x14ac:dyDescent="0.2"/>
    <row r="2" spans="1:15" ht="21" customHeight="1" x14ac:dyDescent="0.2">
      <c r="B2" s="6" t="s">
        <v>37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5" x14ac:dyDescent="0.2"/>
    <row r="4" spans="1:15" s="11" customFormat="1" ht="16.5" customHeight="1" x14ac:dyDescent="0.2">
      <c r="B4" s="37" t="s">
        <v>57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1:15" x14ac:dyDescent="0.2"/>
    <row r="6" spans="1:15" x14ac:dyDescent="0.2">
      <c r="B6" s="11"/>
      <c r="C6" s="11"/>
      <c r="D6" s="134" t="s">
        <v>0</v>
      </c>
      <c r="E6" s="134"/>
      <c r="F6" s="134"/>
      <c r="G6" s="134"/>
      <c r="H6" s="134"/>
      <c r="I6" s="134"/>
      <c r="J6" s="134"/>
      <c r="K6" s="134"/>
      <c r="L6" s="134"/>
      <c r="M6" s="134"/>
      <c r="N6" s="7"/>
    </row>
    <row r="7" spans="1:15" x14ac:dyDescent="0.2">
      <c r="B7" s="11"/>
      <c r="C7" s="9"/>
      <c r="D7" s="88" t="s">
        <v>90</v>
      </c>
      <c r="E7" s="88" t="s">
        <v>91</v>
      </c>
      <c r="F7" s="88" t="s">
        <v>92</v>
      </c>
      <c r="G7" s="88" t="s">
        <v>93</v>
      </c>
      <c r="H7" s="88" t="s">
        <v>94</v>
      </c>
      <c r="I7" s="88" t="s">
        <v>95</v>
      </c>
      <c r="J7" s="88" t="s">
        <v>96</v>
      </c>
      <c r="K7" s="88" t="s">
        <v>97</v>
      </c>
      <c r="L7" s="88" t="s">
        <v>98</v>
      </c>
      <c r="M7" s="88" t="s">
        <v>99</v>
      </c>
      <c r="N7" s="7"/>
      <c r="O7" s="3"/>
    </row>
    <row r="8" spans="1:15" x14ac:dyDescent="0.2">
      <c r="B8" s="10" t="s">
        <v>1</v>
      </c>
      <c r="C8" s="85"/>
      <c r="D8" s="98">
        <f>$C$44/2</f>
        <v>7750826.2883820506</v>
      </c>
      <c r="E8" s="98">
        <f>$C$44/2</f>
        <v>7750826.2883820506</v>
      </c>
      <c r="F8" s="89">
        <v>0</v>
      </c>
      <c r="G8" s="89">
        <v>0</v>
      </c>
      <c r="H8" s="89">
        <v>0</v>
      </c>
      <c r="I8" s="89">
        <v>0</v>
      </c>
      <c r="J8" s="89">
        <v>0</v>
      </c>
      <c r="K8" s="89">
        <v>0</v>
      </c>
      <c r="L8" s="89">
        <v>0</v>
      </c>
      <c r="M8" s="89">
        <v>0</v>
      </c>
      <c r="N8" s="7"/>
    </row>
    <row r="9" spans="1:15" x14ac:dyDescent="0.2">
      <c r="B9" s="10"/>
      <c r="C9" s="9" t="s">
        <v>27</v>
      </c>
      <c r="D9" s="91">
        <f>SUM(D8)</f>
        <v>7750826.2883820506</v>
      </c>
      <c r="E9" s="91">
        <f t="shared" ref="E9:M9" si="0">SUM(E8)</f>
        <v>7750826.2883820506</v>
      </c>
      <c r="F9" s="91">
        <f t="shared" si="0"/>
        <v>0</v>
      </c>
      <c r="G9" s="91">
        <f t="shared" si="0"/>
        <v>0</v>
      </c>
      <c r="H9" s="91">
        <f t="shared" si="0"/>
        <v>0</v>
      </c>
      <c r="I9" s="91">
        <f t="shared" si="0"/>
        <v>0</v>
      </c>
      <c r="J9" s="91">
        <f t="shared" si="0"/>
        <v>0</v>
      </c>
      <c r="K9" s="91">
        <f t="shared" si="0"/>
        <v>0</v>
      </c>
      <c r="L9" s="91">
        <f t="shared" si="0"/>
        <v>0</v>
      </c>
      <c r="M9" s="91">
        <f t="shared" si="0"/>
        <v>0</v>
      </c>
      <c r="N9" s="7"/>
    </row>
    <row r="10" spans="1:15" x14ac:dyDescent="0.2">
      <c r="B10" s="15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7"/>
    </row>
    <row r="11" spans="1:15" x14ac:dyDescent="0.2">
      <c r="B11" s="10" t="s">
        <v>2</v>
      </c>
      <c r="C11" s="85"/>
      <c r="D11" s="103">
        <v>0</v>
      </c>
      <c r="E11" s="103">
        <v>0</v>
      </c>
      <c r="F11" s="103">
        <v>0</v>
      </c>
      <c r="G11" s="103">
        <v>0</v>
      </c>
      <c r="H11" s="103">
        <v>0</v>
      </c>
      <c r="I11" s="103">
        <v>0</v>
      </c>
      <c r="J11" s="103">
        <v>0</v>
      </c>
      <c r="K11" s="103">
        <v>0</v>
      </c>
      <c r="L11" s="103">
        <v>0</v>
      </c>
      <c r="M11" s="103">
        <v>0</v>
      </c>
      <c r="N11" s="7"/>
    </row>
    <row r="12" spans="1:15" x14ac:dyDescent="0.2">
      <c r="B12" s="11"/>
      <c r="C12" s="90" t="s">
        <v>27</v>
      </c>
      <c r="D12" s="102">
        <f>SUM(D11)</f>
        <v>0</v>
      </c>
      <c r="E12" s="102">
        <f t="shared" ref="E12:M12" si="1">SUM(E11)</f>
        <v>0</v>
      </c>
      <c r="F12" s="102">
        <f t="shared" si="1"/>
        <v>0</v>
      </c>
      <c r="G12" s="102">
        <f t="shared" si="1"/>
        <v>0</v>
      </c>
      <c r="H12" s="102">
        <f t="shared" si="1"/>
        <v>0</v>
      </c>
      <c r="I12" s="102">
        <f t="shared" si="1"/>
        <v>0</v>
      </c>
      <c r="J12" s="102">
        <f t="shared" si="1"/>
        <v>0</v>
      </c>
      <c r="K12" s="102">
        <f t="shared" si="1"/>
        <v>0</v>
      </c>
      <c r="L12" s="102">
        <f t="shared" si="1"/>
        <v>0</v>
      </c>
      <c r="M12" s="102">
        <f t="shared" si="1"/>
        <v>0</v>
      </c>
    </row>
    <row r="13" spans="1:15" x14ac:dyDescent="0.2">
      <c r="A13" s="7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15" x14ac:dyDescent="0.2">
      <c r="A14" s="12"/>
      <c r="B14" s="12"/>
      <c r="C14" s="12"/>
      <c r="D14" s="8"/>
      <c r="E14" s="8"/>
      <c r="F14" s="8"/>
      <c r="G14" s="8"/>
      <c r="H14" s="8"/>
      <c r="I14" s="8"/>
      <c r="J14" s="8"/>
      <c r="K14" s="8"/>
      <c r="L14" s="8"/>
      <c r="M14" s="8"/>
    </row>
    <row r="15" spans="1:15" x14ac:dyDescent="0.2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</row>
    <row r="16" spans="1:15" x14ac:dyDescent="0.2">
      <c r="A16" s="11"/>
      <c r="B16" s="45" t="s">
        <v>5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</row>
    <row r="17" spans="1:13" x14ac:dyDescent="0.2">
      <c r="A17" s="11"/>
      <c r="B17" s="46" t="s">
        <v>10</v>
      </c>
      <c r="C17" s="81">
        <v>2.75E-2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</row>
    <row r="18" spans="1:13" x14ac:dyDescent="0.2">
      <c r="A18" s="11"/>
      <c r="B18" s="11"/>
      <c r="C18" s="13"/>
      <c r="D18" s="11"/>
      <c r="E18" s="11"/>
      <c r="F18" s="11"/>
      <c r="G18" s="11"/>
      <c r="H18" s="11"/>
      <c r="I18" s="11"/>
      <c r="J18" s="11"/>
      <c r="K18" s="11"/>
      <c r="L18" s="11"/>
      <c r="M18" s="11"/>
    </row>
    <row r="19" spans="1:13" s="11" customFormat="1" ht="16.5" customHeight="1" x14ac:dyDescent="0.2">
      <c r="B19" s="37" t="s">
        <v>53</v>
      </c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</row>
    <row r="20" spans="1:13" x14ac:dyDescent="0.2">
      <c r="A20" s="11"/>
      <c r="B20" s="11"/>
      <c r="C20" s="13"/>
      <c r="D20" s="11"/>
      <c r="E20" s="11"/>
      <c r="F20" s="11"/>
      <c r="G20" s="11"/>
      <c r="H20" s="11"/>
      <c r="I20" s="11"/>
      <c r="J20" s="11"/>
      <c r="K20" s="11"/>
      <c r="L20" s="11"/>
      <c r="M20" s="11"/>
    </row>
    <row r="21" spans="1:13" s="11" customFormat="1" x14ac:dyDescent="0.2">
      <c r="B21" s="2" t="s">
        <v>50</v>
      </c>
      <c r="E21" s="63"/>
      <c r="F21" s="63"/>
      <c r="G21" s="63"/>
    </row>
    <row r="22" spans="1:13" s="11" customFormat="1" ht="13.5" thickBot="1" x14ac:dyDescent="0.25">
      <c r="B22" s="27" t="s">
        <v>19</v>
      </c>
      <c r="C22" s="104" t="s">
        <v>20</v>
      </c>
    </row>
    <row r="23" spans="1:13" s="11" customFormat="1" ht="13.5" thickBot="1" x14ac:dyDescent="0.25">
      <c r="B23" s="28" t="s">
        <v>69</v>
      </c>
      <c r="C23" s="105">
        <v>2060</v>
      </c>
    </row>
    <row r="24" spans="1:13" s="11" customFormat="1" x14ac:dyDescent="0.2">
      <c r="B24" s="50" t="s">
        <v>70</v>
      </c>
      <c r="C24" s="105">
        <v>738</v>
      </c>
      <c r="D24" s="69"/>
    </row>
    <row r="25" spans="1:13" x14ac:dyDescent="0.2">
      <c r="A25" s="11"/>
      <c r="B25" s="11"/>
      <c r="C25" s="13"/>
      <c r="D25" s="11"/>
      <c r="E25" s="11"/>
      <c r="F25" s="11"/>
      <c r="G25" s="11"/>
      <c r="H25" s="11"/>
      <c r="I25" s="11"/>
      <c r="J25" s="11"/>
      <c r="K25" s="11"/>
      <c r="L25" s="11"/>
      <c r="M25" s="11"/>
    </row>
    <row r="26" spans="1:13" x14ac:dyDescent="0.2">
      <c r="A26" s="11"/>
      <c r="B26" s="2" t="s">
        <v>66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1:13" ht="13.5" thickBot="1" x14ac:dyDescent="0.25">
      <c r="A27" s="11"/>
      <c r="B27" s="17" t="s">
        <v>18</v>
      </c>
      <c r="C27" s="106" t="s">
        <v>13</v>
      </c>
      <c r="D27" s="11"/>
      <c r="E27" s="11"/>
      <c r="F27" s="11"/>
      <c r="G27" s="11"/>
      <c r="H27" s="11"/>
      <c r="I27" s="11"/>
      <c r="J27" s="11"/>
      <c r="K27" s="11"/>
      <c r="L27" s="11"/>
      <c r="M27" s="11"/>
    </row>
    <row r="28" spans="1:13" ht="13.5" thickBot="1" x14ac:dyDescent="0.25">
      <c r="A28" s="11"/>
      <c r="B28" s="19" t="s">
        <v>64</v>
      </c>
      <c r="C28" s="107">
        <v>1970.4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</row>
    <row r="29" spans="1:13" ht="13.5" thickBot="1" x14ac:dyDescent="0.25">
      <c r="A29" s="11"/>
      <c r="B29" s="19" t="s">
        <v>101</v>
      </c>
      <c r="C29" s="107">
        <v>117.37166666666667</v>
      </c>
      <c r="D29" s="11"/>
      <c r="E29" s="62"/>
      <c r="F29" s="11"/>
      <c r="G29" s="11"/>
      <c r="H29" s="11"/>
      <c r="I29" s="11"/>
      <c r="J29" s="11"/>
      <c r="K29" s="11"/>
      <c r="L29" s="11"/>
      <c r="M29" s="11"/>
    </row>
    <row r="30" spans="1:13" ht="13.5" thickBot="1" x14ac:dyDescent="0.25">
      <c r="A30" s="11"/>
      <c r="B30" s="19" t="s">
        <v>102</v>
      </c>
      <c r="C30" s="107">
        <v>1427.0181510642756</v>
      </c>
      <c r="D30" s="11"/>
      <c r="E30" s="11"/>
      <c r="F30" s="11"/>
      <c r="G30" s="11"/>
      <c r="H30" s="11"/>
      <c r="I30" s="11"/>
      <c r="J30" s="11"/>
      <c r="K30" s="11"/>
      <c r="L30" s="11"/>
      <c r="M30" s="11"/>
    </row>
    <row r="31" spans="1:13" ht="13.5" thickBot="1" x14ac:dyDescent="0.25">
      <c r="A31" s="11"/>
      <c r="B31" s="19" t="s">
        <v>65</v>
      </c>
      <c r="C31" s="107">
        <v>76.642584703359546</v>
      </c>
      <c r="D31" s="11"/>
      <c r="E31" s="11"/>
      <c r="F31" s="11"/>
      <c r="G31" s="11"/>
      <c r="H31" s="11"/>
      <c r="I31" s="11"/>
      <c r="J31" s="11"/>
      <c r="K31" s="11"/>
      <c r="L31" s="11"/>
      <c r="M31" s="11"/>
    </row>
    <row r="32" spans="1:13" ht="13.5" thickBot="1" x14ac:dyDescent="0.25">
      <c r="A32" s="11"/>
      <c r="B32" s="21" t="s">
        <v>45</v>
      </c>
      <c r="C32" s="67">
        <f>SUM(C28:C31)</f>
        <v>3591.4324024343018</v>
      </c>
      <c r="D32" s="11"/>
      <c r="E32" s="11"/>
      <c r="F32" s="11"/>
      <c r="G32" s="11"/>
      <c r="H32" s="11"/>
      <c r="I32" s="11"/>
      <c r="J32" s="11"/>
      <c r="K32" s="11"/>
      <c r="L32" s="11"/>
      <c r="M32" s="11"/>
    </row>
    <row r="33" spans="1:13" x14ac:dyDescent="0.2">
      <c r="A33" s="11"/>
      <c r="B33" s="49" t="s">
        <v>71</v>
      </c>
      <c r="C33" s="78">
        <f>C32*C23</f>
        <v>7398350.7490146616</v>
      </c>
      <c r="D33" s="62"/>
      <c r="E33" s="73"/>
      <c r="F33" s="73"/>
      <c r="G33" s="11"/>
      <c r="H33" s="11"/>
      <c r="I33" s="11"/>
      <c r="J33" s="11"/>
      <c r="K33" s="11"/>
      <c r="L33" s="11"/>
      <c r="M33" s="11"/>
    </row>
    <row r="34" spans="1:13" x14ac:dyDescent="0.2">
      <c r="A34" s="53"/>
      <c r="B34" s="54"/>
      <c r="C34" s="55"/>
      <c r="D34" s="66"/>
      <c r="E34" s="11"/>
      <c r="F34" s="11"/>
      <c r="G34" s="11"/>
      <c r="H34" s="11"/>
      <c r="I34" s="11"/>
      <c r="J34" s="11"/>
      <c r="K34" s="11"/>
      <c r="L34" s="11"/>
      <c r="M34" s="11"/>
    </row>
    <row r="35" spans="1:13" x14ac:dyDescent="0.2">
      <c r="A35" s="11"/>
      <c r="B35" s="2" t="s">
        <v>67</v>
      </c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</row>
    <row r="36" spans="1:13" ht="13.5" thickBot="1" x14ac:dyDescent="0.25">
      <c r="A36" s="11"/>
      <c r="B36" s="17" t="s">
        <v>18</v>
      </c>
      <c r="C36" s="106" t="s">
        <v>13</v>
      </c>
      <c r="D36" s="11"/>
      <c r="E36" s="11"/>
      <c r="F36" s="11"/>
      <c r="G36" s="11"/>
      <c r="H36" s="11"/>
      <c r="I36" s="11"/>
      <c r="J36" s="11"/>
      <c r="K36" s="11"/>
      <c r="L36" s="11"/>
      <c r="M36" s="11"/>
    </row>
    <row r="37" spans="1:13" ht="13.5" thickBot="1" x14ac:dyDescent="0.25">
      <c r="A37" s="11"/>
      <c r="B37" s="19" t="s">
        <v>64</v>
      </c>
      <c r="C37" s="107">
        <v>9645.7142857142862</v>
      </c>
      <c r="D37" s="11"/>
      <c r="E37" s="11"/>
      <c r="F37" s="11"/>
      <c r="G37" s="11"/>
      <c r="H37" s="11"/>
      <c r="I37" s="11"/>
      <c r="J37" s="11"/>
      <c r="K37" s="11"/>
      <c r="L37" s="11"/>
      <c r="M37" s="11"/>
    </row>
    <row r="38" spans="1:13" ht="13.5" thickBot="1" x14ac:dyDescent="0.25">
      <c r="A38" s="11"/>
      <c r="B38" s="19" t="s">
        <v>101</v>
      </c>
      <c r="C38" s="108">
        <v>0</v>
      </c>
      <c r="D38" s="11"/>
      <c r="E38" s="11"/>
      <c r="F38" s="11"/>
      <c r="G38" s="11"/>
      <c r="H38" s="11"/>
      <c r="I38" s="11"/>
      <c r="J38" s="11"/>
      <c r="K38" s="11"/>
      <c r="L38" s="11"/>
      <c r="M38" s="11"/>
    </row>
    <row r="39" spans="1:13" ht="13.5" thickBot="1" x14ac:dyDescent="0.25">
      <c r="A39" s="11"/>
      <c r="B39" s="19" t="s">
        <v>102</v>
      </c>
      <c r="C39" s="107">
        <v>1257.7269070206198</v>
      </c>
      <c r="D39" s="62"/>
      <c r="E39" s="11"/>
      <c r="F39" s="11"/>
      <c r="G39" s="11"/>
      <c r="H39" s="11"/>
      <c r="I39" s="11"/>
      <c r="J39" s="11"/>
      <c r="K39" s="11"/>
      <c r="L39" s="11"/>
      <c r="M39" s="11"/>
    </row>
    <row r="40" spans="1:13" ht="13.5" thickBot="1" x14ac:dyDescent="0.25">
      <c r="A40" s="11"/>
      <c r="B40" s="19" t="s">
        <v>65</v>
      </c>
      <c r="C40" s="107">
        <v>76.642584703359546</v>
      </c>
      <c r="D40" s="11"/>
      <c r="E40" s="11"/>
      <c r="F40" s="11"/>
      <c r="G40" s="11"/>
      <c r="H40" s="11"/>
      <c r="I40" s="11"/>
      <c r="J40" s="11"/>
      <c r="K40" s="11"/>
      <c r="L40" s="11"/>
      <c r="M40" s="11"/>
    </row>
    <row r="41" spans="1:13" ht="13.5" thickBot="1" x14ac:dyDescent="0.25">
      <c r="A41" s="11"/>
      <c r="B41" s="21" t="s">
        <v>45</v>
      </c>
      <c r="C41" s="67">
        <f>SUM(C37:C40)</f>
        <v>10980.083777438265</v>
      </c>
      <c r="D41" s="11"/>
      <c r="E41" s="11"/>
      <c r="F41" s="11"/>
      <c r="G41" s="11"/>
      <c r="H41" s="11"/>
      <c r="I41" s="11"/>
      <c r="J41" s="11"/>
      <c r="K41" s="11"/>
      <c r="L41" s="11"/>
      <c r="M41" s="11"/>
    </row>
    <row r="42" spans="1:13" x14ac:dyDescent="0.2">
      <c r="A42" s="11"/>
      <c r="B42" s="49" t="s">
        <v>103</v>
      </c>
      <c r="C42" s="78">
        <f>C41*C24</f>
        <v>8103301.8277494395</v>
      </c>
      <c r="D42" s="62"/>
      <c r="E42" s="73"/>
      <c r="F42" s="73"/>
      <c r="G42" s="11"/>
      <c r="H42" s="11"/>
      <c r="I42" s="11"/>
      <c r="J42" s="11"/>
      <c r="K42" s="11"/>
      <c r="L42" s="11"/>
      <c r="M42" s="11"/>
    </row>
    <row r="43" spans="1:13" x14ac:dyDescent="0.2">
      <c r="A43" s="11"/>
      <c r="B43" s="22"/>
      <c r="C43" s="23"/>
      <c r="D43" s="11"/>
      <c r="E43" s="71"/>
      <c r="F43" s="71"/>
      <c r="G43" s="11"/>
      <c r="H43" s="11"/>
      <c r="I43" s="11"/>
      <c r="J43" s="11"/>
      <c r="K43" s="11"/>
      <c r="L43" s="11"/>
      <c r="M43" s="11"/>
    </row>
    <row r="44" spans="1:13" x14ac:dyDescent="0.2">
      <c r="A44" s="11"/>
      <c r="B44" s="24" t="s">
        <v>47</v>
      </c>
      <c r="C44" s="101">
        <f>C42+C33</f>
        <v>15501652.576764101</v>
      </c>
      <c r="D44" s="63"/>
      <c r="E44" s="62"/>
      <c r="F44" s="11"/>
      <c r="G44" s="11"/>
      <c r="H44" s="11"/>
      <c r="I44" s="11"/>
      <c r="J44" s="11"/>
      <c r="K44" s="11"/>
      <c r="L44" s="11"/>
      <c r="M44" s="11"/>
    </row>
    <row r="45" spans="1:13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</row>
    <row r="46" spans="1:13" s="11" customFormat="1" ht="16.5" customHeight="1" x14ac:dyDescent="0.2">
      <c r="B46" s="37" t="s">
        <v>2</v>
      </c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</row>
    <row r="47" spans="1:13" s="11" customFormat="1" x14ac:dyDescent="0.2">
      <c r="B47" s="11" t="s">
        <v>48</v>
      </c>
    </row>
    <row r="48" spans="1:13" x14ac:dyDescent="0.2"/>
    <row r="49" spans="1:15" s="11" customFormat="1" ht="15" x14ac:dyDescent="0.2">
      <c r="B49" s="37" t="s">
        <v>55</v>
      </c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</row>
    <row r="50" spans="1:15" s="11" customFormat="1" x14ac:dyDescent="0.2">
      <c r="B50" s="2"/>
    </row>
    <row r="51" spans="1:15" ht="13.5" thickBot="1" x14ac:dyDescent="0.25">
      <c r="A51" s="11"/>
      <c r="B51" s="17" t="s">
        <v>28</v>
      </c>
      <c r="C51" s="25">
        <v>2021</v>
      </c>
      <c r="D51" s="25">
        <v>2022</v>
      </c>
      <c r="E51" s="25">
        <v>2023</v>
      </c>
      <c r="F51" s="25">
        <v>2024</v>
      </c>
      <c r="G51" s="25">
        <v>2025</v>
      </c>
      <c r="H51" s="18" t="s">
        <v>27</v>
      </c>
      <c r="I51" s="11"/>
      <c r="J51" s="11"/>
      <c r="K51" s="11"/>
      <c r="L51" s="11"/>
      <c r="M51" s="11"/>
    </row>
    <row r="52" spans="1:15" x14ac:dyDescent="0.2">
      <c r="A52" s="11"/>
      <c r="B52" s="109" t="s">
        <v>29</v>
      </c>
      <c r="C52" s="110">
        <f>D9</f>
        <v>7750826.2883820506</v>
      </c>
      <c r="D52" s="110">
        <f>E9</f>
        <v>7750826.2883820506</v>
      </c>
      <c r="E52" s="110">
        <f>F9</f>
        <v>0</v>
      </c>
      <c r="F52" s="110">
        <f>G9</f>
        <v>0</v>
      </c>
      <c r="G52" s="110">
        <f>H9</f>
        <v>0</v>
      </c>
      <c r="H52" s="110">
        <f>SUM(C52:G52)</f>
        <v>15501652.576764101</v>
      </c>
      <c r="I52" s="11"/>
      <c r="K52" s="11"/>
      <c r="L52" s="11"/>
      <c r="M52" s="11"/>
    </row>
    <row r="53" spans="1:15" s="57" customFormat="1" ht="13.5" thickBot="1" x14ac:dyDescent="0.25">
      <c r="A53" s="53"/>
      <c r="B53" s="53"/>
      <c r="C53" s="53"/>
      <c r="D53" s="53"/>
      <c r="E53" s="56"/>
      <c r="F53" s="53"/>
      <c r="G53" s="53"/>
      <c r="H53" s="53"/>
      <c r="I53" s="66"/>
      <c r="J53" s="66"/>
      <c r="K53" s="66"/>
      <c r="L53" s="66"/>
      <c r="M53" s="66"/>
      <c r="N53" s="66"/>
      <c r="O53" s="66"/>
    </row>
    <row r="54" spans="1:15" ht="13.5" thickBot="1" x14ac:dyDescent="0.25">
      <c r="A54" s="11"/>
      <c r="B54" s="17" t="s">
        <v>12</v>
      </c>
      <c r="C54" s="18" t="s">
        <v>13</v>
      </c>
      <c r="D54" s="18" t="s">
        <v>14</v>
      </c>
      <c r="E54" s="11"/>
      <c r="F54" s="11"/>
      <c r="G54" s="11"/>
      <c r="H54" s="11"/>
      <c r="I54" s="11"/>
      <c r="J54" s="11"/>
    </row>
    <row r="55" spans="1:15" ht="13.5" thickBot="1" x14ac:dyDescent="0.25">
      <c r="A55" s="11"/>
      <c r="B55" s="19" t="s">
        <v>3</v>
      </c>
      <c r="C55" s="96" t="s">
        <v>15</v>
      </c>
      <c r="D55" s="96" t="s">
        <v>15</v>
      </c>
      <c r="E55" s="11"/>
      <c r="F55" s="11"/>
      <c r="G55" s="11"/>
      <c r="H55" s="11"/>
      <c r="I55" s="11"/>
      <c r="J55" s="11"/>
    </row>
    <row r="56" spans="1:15" ht="13.5" thickBot="1" x14ac:dyDescent="0.25">
      <c r="B56" s="19" t="s">
        <v>16</v>
      </c>
      <c r="C56" s="96" t="s">
        <v>15</v>
      </c>
      <c r="D56" s="96" t="s">
        <v>15</v>
      </c>
    </row>
    <row r="57" spans="1:15" ht="13.5" thickBot="1" x14ac:dyDescent="0.25">
      <c r="B57" s="22" t="s">
        <v>76</v>
      </c>
      <c r="C57" s="86" t="s">
        <v>15</v>
      </c>
      <c r="D57" s="96" t="s">
        <v>15</v>
      </c>
      <c r="E57" s="65"/>
    </row>
    <row r="58" spans="1:15" x14ac:dyDescent="0.2">
      <c r="B58" s="22" t="s">
        <v>84</v>
      </c>
      <c r="C58" s="86">
        <f>NPV(C17,D9:M9)</f>
        <v>14884875.462205036</v>
      </c>
      <c r="D58" s="86" t="s">
        <v>15</v>
      </c>
    </row>
    <row r="59" spans="1:15" ht="13.5" thickBot="1" x14ac:dyDescent="0.25">
      <c r="B59" s="39" t="s">
        <v>17</v>
      </c>
      <c r="C59" s="95"/>
      <c r="D59" s="95">
        <f>SUM(D55:D58)-SUM(C55:C58)</f>
        <v>-14884875.462205036</v>
      </c>
    </row>
    <row r="60" spans="1:15" x14ac:dyDescent="0.2"/>
    <row r="61" spans="1:15" hidden="1" x14ac:dyDescent="0.2">
      <c r="C61" s="47"/>
    </row>
  </sheetData>
  <mergeCells count="1">
    <mergeCell ref="D6:M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103"/>
  <sheetViews>
    <sheetView showGridLines="0" zoomScale="80" zoomScaleNormal="80" workbookViewId="0"/>
  </sheetViews>
  <sheetFormatPr defaultColWidth="0" defaultRowHeight="12.75" zeroHeight="1" x14ac:dyDescent="0.2"/>
  <cols>
    <col min="1" max="1" width="3.125" style="11" customWidth="1"/>
    <col min="2" max="2" width="53.75" style="11" customWidth="1"/>
    <col min="3" max="3" width="19.75" style="11" customWidth="1"/>
    <col min="4" max="13" width="16.375" style="11" customWidth="1"/>
    <col min="14" max="14" width="4.5" style="11" customWidth="1"/>
    <col min="15" max="15" width="0" style="11" hidden="1" customWidth="1"/>
    <col min="16" max="16384" width="9" style="11" hidden="1"/>
  </cols>
  <sheetData>
    <row r="1" spans="2:15" x14ac:dyDescent="0.2"/>
    <row r="2" spans="2:15" ht="49.5" customHeight="1" x14ac:dyDescent="0.2">
      <c r="B2" s="6" t="s">
        <v>38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2:15" customFormat="1" x14ac:dyDescent="0.2"/>
    <row r="4" spans="2:15" ht="16.5" customHeight="1" x14ac:dyDescent="0.2">
      <c r="B4" s="37" t="s">
        <v>57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2:15" x14ac:dyDescent="0.2"/>
    <row r="6" spans="2:15" x14ac:dyDescent="0.2">
      <c r="D6" s="134" t="s">
        <v>0</v>
      </c>
      <c r="E6" s="134"/>
      <c r="F6" s="134"/>
      <c r="G6" s="134"/>
      <c r="H6" s="134"/>
      <c r="I6" s="134"/>
      <c r="J6" s="134"/>
      <c r="K6" s="134"/>
      <c r="L6" s="134"/>
      <c r="M6" s="134"/>
      <c r="N6" s="12"/>
    </row>
    <row r="7" spans="2:15" x14ac:dyDescent="0.2">
      <c r="C7" s="9"/>
      <c r="D7" s="88" t="s">
        <v>90</v>
      </c>
      <c r="E7" s="88" t="s">
        <v>91</v>
      </c>
      <c r="F7" s="88" t="s">
        <v>92</v>
      </c>
      <c r="G7" s="88" t="s">
        <v>93</v>
      </c>
      <c r="H7" s="88" t="s">
        <v>94</v>
      </c>
      <c r="I7" s="88" t="s">
        <v>95</v>
      </c>
      <c r="J7" s="88" t="s">
        <v>96</v>
      </c>
      <c r="K7" s="88" t="s">
        <v>97</v>
      </c>
      <c r="L7" s="88" t="s">
        <v>98</v>
      </c>
      <c r="M7" s="88" t="s">
        <v>99</v>
      </c>
      <c r="N7" s="12"/>
      <c r="O7" s="14"/>
    </row>
    <row r="8" spans="2:15" x14ac:dyDescent="0.2">
      <c r="B8" s="10" t="s">
        <v>1</v>
      </c>
      <c r="C8" s="12" t="s">
        <v>68</v>
      </c>
      <c r="D8" s="87">
        <f>$E$47/2</f>
        <v>4335762.0380748175</v>
      </c>
      <c r="E8" s="87">
        <f>$E$47/2</f>
        <v>4335762.0380748175</v>
      </c>
      <c r="F8" s="89">
        <v>0</v>
      </c>
      <c r="G8" s="89">
        <v>0</v>
      </c>
      <c r="H8" s="89">
        <v>0</v>
      </c>
      <c r="I8" s="89">
        <v>0</v>
      </c>
      <c r="J8" s="89">
        <v>0</v>
      </c>
      <c r="K8" s="89">
        <v>0</v>
      </c>
      <c r="L8" s="89">
        <v>0</v>
      </c>
      <c r="M8" s="89">
        <v>0</v>
      </c>
      <c r="N8" s="68"/>
    </row>
    <row r="9" spans="2:15" x14ac:dyDescent="0.2">
      <c r="B9" s="10"/>
      <c r="C9" s="85" t="s">
        <v>85</v>
      </c>
      <c r="D9" s="98">
        <f>$C$65/2</f>
        <v>4051650.9138747198</v>
      </c>
      <c r="E9" s="98">
        <f>$C$65/2</f>
        <v>4051650.9138747198</v>
      </c>
      <c r="F9" s="89">
        <v>0</v>
      </c>
      <c r="G9" s="89">
        <v>0</v>
      </c>
      <c r="H9" s="89">
        <v>0</v>
      </c>
      <c r="I9" s="89">
        <v>0</v>
      </c>
      <c r="J9" s="89">
        <v>0</v>
      </c>
      <c r="K9" s="89">
        <v>0</v>
      </c>
      <c r="L9" s="89">
        <v>0</v>
      </c>
      <c r="M9" s="89">
        <v>0</v>
      </c>
      <c r="N9" s="75"/>
    </row>
    <row r="10" spans="2:15" x14ac:dyDescent="0.2">
      <c r="B10" s="10"/>
      <c r="C10" s="9" t="s">
        <v>27</v>
      </c>
      <c r="D10" s="91">
        <f>SUM(D8:D9)</f>
        <v>8387412.9519495368</v>
      </c>
      <c r="E10" s="91">
        <f t="shared" ref="E10:M10" si="0">SUM(E8:E9)</f>
        <v>8387412.9519495368</v>
      </c>
      <c r="F10" s="91">
        <f t="shared" si="0"/>
        <v>0</v>
      </c>
      <c r="G10" s="91">
        <f t="shared" si="0"/>
        <v>0</v>
      </c>
      <c r="H10" s="91">
        <f t="shared" si="0"/>
        <v>0</v>
      </c>
      <c r="I10" s="91">
        <f t="shared" si="0"/>
        <v>0</v>
      </c>
      <c r="J10" s="91">
        <f t="shared" si="0"/>
        <v>0</v>
      </c>
      <c r="K10" s="91">
        <f t="shared" si="0"/>
        <v>0</v>
      </c>
      <c r="L10" s="91">
        <f t="shared" si="0"/>
        <v>0</v>
      </c>
      <c r="M10" s="91">
        <f t="shared" si="0"/>
        <v>0</v>
      </c>
      <c r="N10" s="12"/>
    </row>
    <row r="11" spans="2:15" x14ac:dyDescent="0.2">
      <c r="B11" s="15"/>
      <c r="C11" s="12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2"/>
    </row>
    <row r="12" spans="2:15" x14ac:dyDescent="0.2">
      <c r="B12" s="10" t="s">
        <v>2</v>
      </c>
      <c r="C12" s="12"/>
      <c r="D12" s="111">
        <v>0</v>
      </c>
      <c r="E12" s="111">
        <v>0</v>
      </c>
      <c r="F12" s="111">
        <v>0</v>
      </c>
      <c r="G12" s="111">
        <v>0</v>
      </c>
      <c r="H12" s="111">
        <v>0</v>
      </c>
      <c r="I12" s="111">
        <v>0</v>
      </c>
      <c r="J12" s="111">
        <v>0</v>
      </c>
      <c r="K12" s="111">
        <v>0</v>
      </c>
      <c r="L12" s="111">
        <v>0</v>
      </c>
      <c r="M12" s="111">
        <v>0</v>
      </c>
      <c r="N12" s="12"/>
    </row>
    <row r="13" spans="2:15" x14ac:dyDescent="0.2">
      <c r="B13" s="12"/>
      <c r="C13" s="85"/>
      <c r="D13" s="111">
        <v>0</v>
      </c>
      <c r="E13" s="111">
        <v>0</v>
      </c>
      <c r="F13" s="111">
        <v>0</v>
      </c>
      <c r="G13" s="111">
        <v>0</v>
      </c>
      <c r="H13" s="111">
        <v>0</v>
      </c>
      <c r="I13" s="111">
        <v>0</v>
      </c>
      <c r="J13" s="111">
        <v>0</v>
      </c>
      <c r="K13" s="111">
        <v>0</v>
      </c>
      <c r="L13" s="111">
        <v>0</v>
      </c>
      <c r="M13" s="111">
        <v>0</v>
      </c>
    </row>
    <row r="14" spans="2:15" x14ac:dyDescent="0.2">
      <c r="C14" s="90" t="s">
        <v>27</v>
      </c>
      <c r="D14" s="102">
        <f>SUM(D12:D13)</f>
        <v>0</v>
      </c>
      <c r="E14" s="102">
        <f t="shared" ref="E14:M14" si="1">SUM(E12:E13)</f>
        <v>0</v>
      </c>
      <c r="F14" s="102">
        <f t="shared" si="1"/>
        <v>0</v>
      </c>
      <c r="G14" s="102">
        <f t="shared" si="1"/>
        <v>0</v>
      </c>
      <c r="H14" s="102">
        <f t="shared" si="1"/>
        <v>0</v>
      </c>
      <c r="I14" s="102">
        <f t="shared" si="1"/>
        <v>0</v>
      </c>
      <c r="J14" s="102">
        <f t="shared" si="1"/>
        <v>0</v>
      </c>
      <c r="K14" s="102">
        <f t="shared" si="1"/>
        <v>0</v>
      </c>
      <c r="L14" s="102">
        <f t="shared" si="1"/>
        <v>0</v>
      </c>
      <c r="M14" s="102">
        <f t="shared" si="1"/>
        <v>0</v>
      </c>
    </row>
    <row r="15" spans="2:15" x14ac:dyDescent="0.2"/>
    <row r="16" spans="2:15" x14ac:dyDescent="0.2"/>
    <row r="17" spans="2:13" x14ac:dyDescent="0.2">
      <c r="B17" s="45" t="s">
        <v>5</v>
      </c>
    </row>
    <row r="18" spans="2:13" x14ac:dyDescent="0.2">
      <c r="B18" s="46" t="s">
        <v>10</v>
      </c>
      <c r="C18" s="81">
        <v>2.75E-2</v>
      </c>
    </row>
    <row r="19" spans="2:13" x14ac:dyDescent="0.2">
      <c r="C19" s="13"/>
    </row>
    <row r="20" spans="2:13" x14ac:dyDescent="0.2">
      <c r="C20" s="13"/>
    </row>
    <row r="21" spans="2:13" ht="16.5" customHeight="1" x14ac:dyDescent="0.2">
      <c r="B21" s="37" t="s">
        <v>53</v>
      </c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</row>
    <row r="22" spans="2:13" x14ac:dyDescent="0.2"/>
    <row r="23" spans="2:13" x14ac:dyDescent="0.2">
      <c r="B23" s="58" t="s">
        <v>61</v>
      </c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</row>
    <row r="24" spans="2:13" x14ac:dyDescent="0.2">
      <c r="B24" s="2" t="s">
        <v>50</v>
      </c>
    </row>
    <row r="25" spans="2:13" ht="13.5" thickBot="1" x14ac:dyDescent="0.25">
      <c r="B25" s="27" t="s">
        <v>19</v>
      </c>
      <c r="C25" s="104" t="s">
        <v>20</v>
      </c>
    </row>
    <row r="26" spans="2:13" ht="13.5" thickBot="1" x14ac:dyDescent="0.25">
      <c r="B26" s="28" t="s">
        <v>21</v>
      </c>
      <c r="C26" s="112">
        <v>515</v>
      </c>
    </row>
    <row r="27" spans="2:13" ht="13.5" thickBot="1" x14ac:dyDescent="0.25">
      <c r="B27" s="28" t="s">
        <v>22</v>
      </c>
      <c r="C27" s="105">
        <v>2060</v>
      </c>
      <c r="H27" s="1"/>
    </row>
    <row r="28" spans="2:13" ht="13.5" thickBot="1" x14ac:dyDescent="0.25">
      <c r="B28" s="114" t="s">
        <v>23</v>
      </c>
      <c r="C28" s="115">
        <v>85</v>
      </c>
    </row>
    <row r="29" spans="2:13" x14ac:dyDescent="0.2"/>
    <row r="30" spans="2:13" x14ac:dyDescent="0.2">
      <c r="B30" s="2" t="s">
        <v>46</v>
      </c>
    </row>
    <row r="31" spans="2:13" ht="13.5" thickBot="1" x14ac:dyDescent="0.25">
      <c r="B31" s="17" t="s">
        <v>18</v>
      </c>
      <c r="C31" s="104" t="s">
        <v>24</v>
      </c>
      <c r="D31" s="106" t="s">
        <v>25</v>
      </c>
      <c r="E31" s="104" t="s">
        <v>23</v>
      </c>
    </row>
    <row r="32" spans="2:13" ht="13.5" thickBot="1" x14ac:dyDescent="0.25">
      <c r="B32" s="19" t="s">
        <v>64</v>
      </c>
      <c r="C32" s="113">
        <v>835.71428571428578</v>
      </c>
      <c r="D32" s="107">
        <v>3098.971428571429</v>
      </c>
      <c r="E32" s="107"/>
      <c r="G32" s="65"/>
    </row>
    <row r="33" spans="2:8" ht="13.5" thickBot="1" x14ac:dyDescent="0.25">
      <c r="B33" s="19" t="s">
        <v>62</v>
      </c>
      <c r="C33" s="107">
        <v>117.37166666666667</v>
      </c>
      <c r="D33" s="107">
        <v>117.37166666666667</v>
      </c>
      <c r="E33" s="107"/>
    </row>
    <row r="34" spans="2:8" ht="13.5" thickBot="1" x14ac:dyDescent="0.25">
      <c r="B34" s="19" t="s">
        <v>63</v>
      </c>
      <c r="C34" s="107">
        <v>670.46400000000006</v>
      </c>
      <c r="D34" s="107">
        <v>670.46400000000006</v>
      </c>
      <c r="E34" s="107"/>
    </row>
    <row r="35" spans="2:8" ht="13.5" thickBot="1" x14ac:dyDescent="0.25">
      <c r="B35" s="19" t="s">
        <v>60</v>
      </c>
      <c r="C35" s="107">
        <v>673.14469637185641</v>
      </c>
      <c r="D35" s="107">
        <v>673.14469637185641</v>
      </c>
      <c r="E35" s="107"/>
    </row>
    <row r="36" spans="2:8" ht="13.5" thickBot="1" x14ac:dyDescent="0.25">
      <c r="B36" s="19" t="s">
        <v>65</v>
      </c>
      <c r="C36" s="107">
        <v>76.642584703359546</v>
      </c>
      <c r="D36" s="107">
        <v>76.642584703359546</v>
      </c>
      <c r="E36" s="107"/>
    </row>
    <row r="37" spans="2:8" x14ac:dyDescent="0.2">
      <c r="B37" s="22" t="s">
        <v>59</v>
      </c>
      <c r="C37" s="113"/>
      <c r="D37" s="107"/>
      <c r="E37" s="107">
        <v>3138.5714285714284</v>
      </c>
      <c r="G37" s="63"/>
    </row>
    <row r="38" spans="2:8" x14ac:dyDescent="0.2">
      <c r="B38" s="116" t="s">
        <v>79</v>
      </c>
      <c r="C38" s="117"/>
      <c r="D38" s="118"/>
      <c r="E38" s="118">
        <v>1330.22</v>
      </c>
    </row>
    <row r="39" spans="2:8" ht="13.5" thickBot="1" x14ac:dyDescent="0.25">
      <c r="B39" s="21"/>
      <c r="C39" s="67">
        <f>SUM(C32:C38)</f>
        <v>2373.3372334561686</v>
      </c>
      <c r="D39" s="67">
        <f>SUM(D32:D38)</f>
        <v>4636.5943763133118</v>
      </c>
      <c r="E39" s="67">
        <f>SUM(E32:E38)</f>
        <v>4468.7914285714287</v>
      </c>
      <c r="G39" s="79"/>
      <c r="H39" s="63"/>
    </row>
    <row r="40" spans="2:8" s="53" customFormat="1" x14ac:dyDescent="0.2">
      <c r="B40" s="54"/>
      <c r="C40" s="55"/>
      <c r="D40" s="55"/>
      <c r="E40" s="55"/>
      <c r="F40" s="74"/>
    </row>
    <row r="41" spans="2:8" s="53" customFormat="1" x14ac:dyDescent="0.2">
      <c r="B41" s="54" t="s">
        <v>80</v>
      </c>
      <c r="C41" s="55"/>
      <c r="D41" s="55"/>
      <c r="E41" s="55"/>
    </row>
    <row r="42" spans="2:8" ht="13.5" thickBot="1" x14ac:dyDescent="0.25">
      <c r="B42" s="17" t="s">
        <v>18</v>
      </c>
      <c r="C42" s="25" t="s">
        <v>30</v>
      </c>
      <c r="D42" s="25" t="s">
        <v>31</v>
      </c>
      <c r="E42" s="25" t="s">
        <v>32</v>
      </c>
    </row>
    <row r="43" spans="2:8" ht="13.5" thickBot="1" x14ac:dyDescent="0.25">
      <c r="B43" s="19" t="s">
        <v>33</v>
      </c>
      <c r="C43" s="32">
        <f>C27</f>
        <v>2060</v>
      </c>
      <c r="D43" s="119">
        <f>C39</f>
        <v>2373.3372334561686</v>
      </c>
      <c r="E43" s="119">
        <f>C43*D43</f>
        <v>4889074.7009197073</v>
      </c>
    </row>
    <row r="44" spans="2:8" ht="13.5" thickBot="1" x14ac:dyDescent="0.25">
      <c r="B44" s="19" t="s">
        <v>34</v>
      </c>
      <c r="C44" s="29">
        <f>C26</f>
        <v>515</v>
      </c>
      <c r="D44" s="120">
        <f>D39</f>
        <v>4636.5943763133118</v>
      </c>
      <c r="E44" s="119">
        <f>C44*D44</f>
        <v>2387846.1038013557</v>
      </c>
      <c r="G44" s="65"/>
    </row>
    <row r="45" spans="2:8" ht="13.5" thickBot="1" x14ac:dyDescent="0.25">
      <c r="B45" s="22" t="s">
        <v>86</v>
      </c>
      <c r="C45" s="38">
        <f>C44</f>
        <v>515</v>
      </c>
      <c r="D45" s="121">
        <v>1970.4</v>
      </c>
      <c r="E45" s="119">
        <f>C45*D45</f>
        <v>1014756</v>
      </c>
      <c r="G45" s="69"/>
    </row>
    <row r="46" spans="2:8" x14ac:dyDescent="0.2">
      <c r="B46" s="22" t="s">
        <v>35</v>
      </c>
      <c r="C46" s="38">
        <f>C28</f>
        <v>85</v>
      </c>
      <c r="D46" s="120">
        <f>E39</f>
        <v>4468.7914285714287</v>
      </c>
      <c r="E46" s="120">
        <f>C46*D46</f>
        <v>379847.27142857143</v>
      </c>
    </row>
    <row r="47" spans="2:8" ht="13.5" thickBot="1" x14ac:dyDescent="0.25">
      <c r="B47" s="39" t="s">
        <v>27</v>
      </c>
      <c r="C47" s="40"/>
      <c r="D47" s="122"/>
      <c r="E47" s="122">
        <f>SUM(E43:E46)</f>
        <v>8671524.076149635</v>
      </c>
      <c r="G47" s="79"/>
    </row>
    <row r="48" spans="2:8" s="53" customFormat="1" x14ac:dyDescent="0.2">
      <c r="B48" s="54"/>
      <c r="C48" s="55"/>
      <c r="D48" s="55"/>
      <c r="E48" s="55"/>
    </row>
    <row r="49" spans="1:13" x14ac:dyDescent="0.2"/>
    <row r="50" spans="1:13" x14ac:dyDescent="0.2">
      <c r="B50" s="58" t="s">
        <v>68</v>
      </c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</row>
    <row r="51" spans="1:13" x14ac:dyDescent="0.2">
      <c r="B51" s="2" t="s">
        <v>50</v>
      </c>
    </row>
    <row r="52" spans="1:13" ht="13.5" thickBot="1" x14ac:dyDescent="0.25">
      <c r="B52" s="27" t="s">
        <v>19</v>
      </c>
      <c r="C52" s="104" t="s">
        <v>20</v>
      </c>
      <c r="E52" s="69"/>
    </row>
    <row r="53" spans="1:13" x14ac:dyDescent="0.2">
      <c r="B53" s="50" t="s">
        <v>70</v>
      </c>
      <c r="C53" s="123">
        <v>738</v>
      </c>
    </row>
    <row r="54" spans="1:13" ht="13.5" thickBot="1" x14ac:dyDescent="0.25">
      <c r="B54" s="114" t="s">
        <v>87</v>
      </c>
      <c r="C54" s="126">
        <v>872668</v>
      </c>
    </row>
    <row r="55" spans="1:13" x14ac:dyDescent="0.2"/>
    <row r="56" spans="1:13" customFormat="1" x14ac:dyDescent="0.2">
      <c r="A56" s="11"/>
      <c r="B56" s="2" t="s">
        <v>67</v>
      </c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</row>
    <row r="57" spans="1:13" customFormat="1" ht="13.5" thickBot="1" x14ac:dyDescent="0.25">
      <c r="A57" s="11"/>
      <c r="B57" s="17" t="s">
        <v>18</v>
      </c>
      <c r="C57" s="106" t="s">
        <v>13</v>
      </c>
      <c r="D57" s="11"/>
      <c r="E57" s="11"/>
      <c r="F57" s="11"/>
      <c r="G57" s="11"/>
      <c r="H57" s="11"/>
      <c r="I57" s="11"/>
      <c r="J57" s="11"/>
      <c r="K57" s="11"/>
      <c r="L57" s="11"/>
      <c r="M57" s="11"/>
    </row>
    <row r="58" spans="1:13" customFormat="1" ht="13.5" thickBot="1" x14ac:dyDescent="0.25">
      <c r="A58" s="11"/>
      <c r="B58" s="19" t="s">
        <v>64</v>
      </c>
      <c r="C58" s="124">
        <v>9645.7142857142862</v>
      </c>
      <c r="D58" s="11"/>
      <c r="E58" s="11"/>
      <c r="F58" s="11"/>
      <c r="G58" s="11"/>
      <c r="H58" s="11"/>
      <c r="I58" s="11"/>
      <c r="J58" s="11"/>
      <c r="K58" s="11"/>
      <c r="L58" s="11"/>
      <c r="M58" s="11"/>
    </row>
    <row r="59" spans="1:13" customFormat="1" ht="13.5" thickBot="1" x14ac:dyDescent="0.25">
      <c r="A59" s="11"/>
      <c r="B59" s="19" t="s">
        <v>62</v>
      </c>
      <c r="C59" s="124">
        <v>0</v>
      </c>
      <c r="D59" s="11"/>
      <c r="E59" s="11"/>
      <c r="F59" s="11"/>
      <c r="G59" s="11"/>
      <c r="H59" s="11"/>
      <c r="I59" s="11"/>
      <c r="J59" s="11"/>
      <c r="K59" s="11"/>
      <c r="L59" s="11"/>
      <c r="M59" s="11"/>
    </row>
    <row r="60" spans="1:13" customFormat="1" ht="13.5" thickBot="1" x14ac:dyDescent="0.25">
      <c r="A60" s="11"/>
      <c r="B60" s="19" t="s">
        <v>63</v>
      </c>
      <c r="C60" s="124">
        <v>564.53178802575258</v>
      </c>
      <c r="D60" s="11"/>
      <c r="E60" s="11"/>
      <c r="F60" s="11"/>
      <c r="G60" s="11"/>
      <c r="H60" s="11"/>
      <c r="I60" s="11"/>
      <c r="J60" s="11"/>
      <c r="K60" s="11"/>
      <c r="L60" s="11"/>
      <c r="M60" s="11"/>
    </row>
    <row r="61" spans="1:13" customFormat="1" ht="13.5" thickBot="1" x14ac:dyDescent="0.25">
      <c r="A61" s="11"/>
      <c r="B61" s="19" t="s">
        <v>60</v>
      </c>
      <c r="C61" s="124">
        <v>693.19511899486713</v>
      </c>
      <c r="D61" s="11"/>
      <c r="E61" s="11"/>
      <c r="F61" s="11"/>
      <c r="G61" s="11"/>
      <c r="H61" s="11"/>
      <c r="I61" s="11"/>
      <c r="J61" s="11"/>
      <c r="K61" s="11"/>
      <c r="L61" s="11"/>
      <c r="M61" s="11"/>
    </row>
    <row r="62" spans="1:13" customFormat="1" ht="13.5" thickBot="1" x14ac:dyDescent="0.25">
      <c r="A62" s="11"/>
      <c r="B62" s="19" t="s">
        <v>65</v>
      </c>
      <c r="C62" s="124">
        <v>76.642584703359546</v>
      </c>
      <c r="D62" s="11"/>
      <c r="E62" s="11"/>
      <c r="F62" s="11"/>
      <c r="G62" s="11"/>
      <c r="H62" s="11"/>
      <c r="I62" s="11"/>
      <c r="J62" s="11"/>
      <c r="K62" s="11"/>
      <c r="L62" s="11"/>
      <c r="M62" s="11"/>
    </row>
    <row r="63" spans="1:13" customFormat="1" ht="13.5" thickBot="1" x14ac:dyDescent="0.25">
      <c r="A63" s="11"/>
      <c r="B63" s="21" t="s">
        <v>45</v>
      </c>
      <c r="C63" s="67">
        <f>SUM(C58:C62)</f>
        <v>10980.083777438265</v>
      </c>
      <c r="D63" s="11"/>
      <c r="E63" s="11"/>
      <c r="F63" s="11"/>
      <c r="G63" s="11"/>
      <c r="H63" s="11"/>
      <c r="I63" s="11"/>
      <c r="J63" s="11"/>
      <c r="K63" s="11"/>
      <c r="L63" s="11"/>
      <c r="M63" s="11"/>
    </row>
    <row r="64" spans="1:13" customFormat="1" x14ac:dyDescent="0.2">
      <c r="A64" s="11"/>
      <c r="B64" s="22"/>
      <c r="C64" s="23"/>
      <c r="D64" s="11"/>
      <c r="E64" s="11"/>
      <c r="F64" s="11"/>
      <c r="G64" s="11"/>
      <c r="H64" s="11"/>
      <c r="I64" s="11"/>
      <c r="J64" s="11"/>
      <c r="K64" s="11"/>
      <c r="L64" s="11"/>
      <c r="M64" s="11"/>
    </row>
    <row r="65" spans="1:13" customFormat="1" x14ac:dyDescent="0.2">
      <c r="A65" s="11"/>
      <c r="B65" s="24" t="s">
        <v>88</v>
      </c>
      <c r="C65" s="125">
        <f>C63*C53</f>
        <v>8103301.8277494395</v>
      </c>
      <c r="D65" s="11"/>
      <c r="E65" s="11"/>
      <c r="F65" s="11"/>
      <c r="G65" s="11"/>
      <c r="H65" s="11"/>
      <c r="I65" s="11"/>
      <c r="J65" s="11"/>
      <c r="K65" s="11"/>
      <c r="L65" s="11"/>
      <c r="M65" s="11"/>
    </row>
    <row r="66" spans="1:13" x14ac:dyDescent="0.2"/>
    <row r="67" spans="1:13" x14ac:dyDescent="0.2"/>
    <row r="68" spans="1:13" ht="16.5" customHeight="1" x14ac:dyDescent="0.2">
      <c r="B68" s="37" t="s">
        <v>2</v>
      </c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</row>
    <row r="69" spans="1:13" x14ac:dyDescent="0.2">
      <c r="B69" s="11" t="s">
        <v>48</v>
      </c>
    </row>
    <row r="70" spans="1:13" x14ac:dyDescent="0.2"/>
    <row r="71" spans="1:13" x14ac:dyDescent="0.2"/>
    <row r="72" spans="1:13" ht="15" x14ac:dyDescent="0.2">
      <c r="B72" s="37" t="s">
        <v>27</v>
      </c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</row>
    <row r="73" spans="1:13" x14ac:dyDescent="0.2">
      <c r="B73" s="2"/>
      <c r="D73"/>
      <c r="E73"/>
      <c r="F73"/>
    </row>
    <row r="74" spans="1:13" ht="13.5" thickBot="1" x14ac:dyDescent="0.25">
      <c r="B74" s="17" t="s">
        <v>18</v>
      </c>
      <c r="C74" s="25" t="s">
        <v>13</v>
      </c>
      <c r="D74"/>
      <c r="E74"/>
      <c r="F74"/>
    </row>
    <row r="75" spans="1:13" ht="13.5" thickBot="1" x14ac:dyDescent="0.25">
      <c r="B75" s="19" t="s">
        <v>81</v>
      </c>
      <c r="C75" s="32">
        <f>E47</f>
        <v>8671524.076149635</v>
      </c>
      <c r="D75"/>
      <c r="E75"/>
      <c r="F75"/>
    </row>
    <row r="76" spans="1:13" x14ac:dyDescent="0.2">
      <c r="B76" s="22" t="s">
        <v>82</v>
      </c>
      <c r="C76" s="59">
        <f>C65</f>
        <v>8103301.8277494395</v>
      </c>
      <c r="D76"/>
      <c r="E76"/>
      <c r="F76"/>
    </row>
    <row r="77" spans="1:13" ht="13.5" thickBot="1" x14ac:dyDescent="0.25">
      <c r="B77" s="39" t="s">
        <v>27</v>
      </c>
      <c r="C77" s="60">
        <f>C76+C75</f>
        <v>16774825.903899074</v>
      </c>
      <c r="D77" s="76"/>
      <c r="E77" s="1"/>
      <c r="F77"/>
    </row>
    <row r="78" spans="1:13" x14ac:dyDescent="0.2"/>
    <row r="79" spans="1:13" ht="13.5" thickBot="1" x14ac:dyDescent="0.25">
      <c r="B79" s="17" t="s">
        <v>12</v>
      </c>
      <c r="C79" s="18" t="s">
        <v>13</v>
      </c>
      <c r="D79" s="18" t="s">
        <v>14</v>
      </c>
    </row>
    <row r="80" spans="1:13" ht="13.5" thickBot="1" x14ac:dyDescent="0.25">
      <c r="B80" s="19" t="s">
        <v>3</v>
      </c>
      <c r="C80" s="26" t="s">
        <v>15</v>
      </c>
      <c r="D80" s="20" t="s">
        <v>15</v>
      </c>
    </row>
    <row r="81" spans="2:13" ht="13.5" thickBot="1" x14ac:dyDescent="0.25">
      <c r="B81" s="19" t="s">
        <v>16</v>
      </c>
      <c r="C81" s="26" t="s">
        <v>15</v>
      </c>
      <c r="D81" s="20" t="s">
        <v>15</v>
      </c>
      <c r="E81"/>
      <c r="F81"/>
      <c r="G81"/>
      <c r="H81"/>
      <c r="I81"/>
      <c r="J81"/>
    </row>
    <row r="82" spans="2:13" ht="13.5" thickBot="1" x14ac:dyDescent="0.25">
      <c r="B82" s="22" t="s">
        <v>76</v>
      </c>
      <c r="C82" s="42" t="s">
        <v>15</v>
      </c>
      <c r="D82" s="20" t="s">
        <v>15</v>
      </c>
      <c r="E82"/>
      <c r="F82"/>
      <c r="G82"/>
      <c r="H82"/>
      <c r="I82"/>
      <c r="J82"/>
    </row>
    <row r="83" spans="2:13" x14ac:dyDescent="0.2">
      <c r="B83" s="22" t="s">
        <v>84</v>
      </c>
      <c r="C83" s="52">
        <f>NPV(C18,D10:M10)</f>
        <v>16107391.985676318</v>
      </c>
      <c r="D83" s="31" t="s">
        <v>15</v>
      </c>
      <c r="E83" s="65"/>
      <c r="F83"/>
      <c r="G83" s="47"/>
      <c r="H83"/>
      <c r="I83"/>
    </row>
    <row r="84" spans="2:13" ht="13.5" thickBot="1" x14ac:dyDescent="0.25">
      <c r="B84" s="39" t="s">
        <v>17</v>
      </c>
      <c r="C84" s="43"/>
      <c r="D84" s="64">
        <f>SUM(D80:D83)-SUM(C80:C83)</f>
        <v>-16107391.985676318</v>
      </c>
      <c r="E84"/>
      <c r="F84"/>
      <c r="G84" s="47"/>
      <c r="H84"/>
      <c r="I84"/>
      <c r="J84"/>
    </row>
    <row r="85" spans="2:13" x14ac:dyDescent="0.2"/>
    <row r="86" spans="2:13" x14ac:dyDescent="0.2"/>
    <row r="87" spans="2:13" ht="15" x14ac:dyDescent="0.2">
      <c r="B87" s="37" t="s">
        <v>89</v>
      </c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</row>
    <row r="88" spans="2:13" x14ac:dyDescent="0.2">
      <c r="B88" s="2"/>
      <c r="D88"/>
      <c r="E88"/>
      <c r="F88"/>
    </row>
    <row r="89" spans="2:13" x14ac:dyDescent="0.2">
      <c r="B89" s="2" t="s">
        <v>50</v>
      </c>
    </row>
    <row r="90" spans="2:13" ht="13.5" thickBot="1" x14ac:dyDescent="0.25">
      <c r="B90" s="27" t="s">
        <v>19</v>
      </c>
      <c r="C90" s="25" t="s">
        <v>20</v>
      </c>
    </row>
    <row r="91" spans="2:13" ht="13.5" thickBot="1" x14ac:dyDescent="0.25">
      <c r="B91" s="35" t="s">
        <v>77</v>
      </c>
      <c r="C91" s="51">
        <f>C54</f>
        <v>872668</v>
      </c>
    </row>
    <row r="92" spans="2:13" x14ac:dyDescent="0.2">
      <c r="D92"/>
      <c r="E92"/>
    </row>
    <row r="93" spans="2:13" x14ac:dyDescent="0.2">
      <c r="B93" s="2" t="s">
        <v>46</v>
      </c>
      <c r="D93"/>
      <c r="E93"/>
    </row>
    <row r="94" spans="2:13" ht="13.5" thickBot="1" x14ac:dyDescent="0.25">
      <c r="B94" s="17" t="s">
        <v>18</v>
      </c>
      <c r="C94" s="104" t="s">
        <v>24</v>
      </c>
      <c r="D94" s="65"/>
      <c r="E94"/>
    </row>
    <row r="95" spans="2:13" ht="13.5" thickBot="1" x14ac:dyDescent="0.25">
      <c r="B95" s="19" t="s">
        <v>26</v>
      </c>
      <c r="C95" s="128">
        <v>100</v>
      </c>
      <c r="D95"/>
      <c r="E95"/>
    </row>
    <row r="96" spans="2:13" ht="14.25" customHeight="1" x14ac:dyDescent="0.2">
      <c r="B96" s="22" t="s">
        <v>78</v>
      </c>
      <c r="C96" s="128">
        <v>35</v>
      </c>
      <c r="D96"/>
      <c r="E96"/>
    </row>
    <row r="97" spans="2:7" ht="13.5" thickBot="1" x14ac:dyDescent="0.25">
      <c r="B97" s="39" t="s">
        <v>27</v>
      </c>
      <c r="C97" s="127">
        <f>SUM(C95:C96)</f>
        <v>135</v>
      </c>
      <c r="D97"/>
      <c r="E97" s="48"/>
    </row>
    <row r="98" spans="2:7" s="53" customFormat="1" x14ac:dyDescent="0.2">
      <c r="B98" s="54"/>
      <c r="C98" s="55"/>
      <c r="D98" s="55"/>
      <c r="E98" s="55"/>
    </row>
    <row r="99" spans="2:7" s="53" customFormat="1" x14ac:dyDescent="0.2">
      <c r="B99" s="54" t="s">
        <v>83</v>
      </c>
      <c r="C99" s="55"/>
      <c r="D99" s="55"/>
      <c r="E99" s="55"/>
    </row>
    <row r="100" spans="2:7" ht="13.5" thickBot="1" x14ac:dyDescent="0.25">
      <c r="B100" s="17" t="s">
        <v>18</v>
      </c>
      <c r="C100" s="25" t="s">
        <v>30</v>
      </c>
      <c r="D100" s="25" t="s">
        <v>31</v>
      </c>
      <c r="E100" s="25" t="s">
        <v>32</v>
      </c>
    </row>
    <row r="101" spans="2:7" ht="13.5" thickBot="1" x14ac:dyDescent="0.25">
      <c r="B101" s="19" t="s">
        <v>33</v>
      </c>
      <c r="C101" s="32">
        <f>C91</f>
        <v>872668</v>
      </c>
      <c r="D101" s="30">
        <f>C97</f>
        <v>135</v>
      </c>
      <c r="E101" s="119">
        <f>C101*D101</f>
        <v>117810180</v>
      </c>
      <c r="G101" s="65"/>
    </row>
    <row r="102" spans="2:7" ht="13.5" thickBot="1" x14ac:dyDescent="0.25">
      <c r="B102" s="39" t="s">
        <v>27</v>
      </c>
      <c r="C102" s="40"/>
      <c r="D102" s="61"/>
      <c r="E102" s="122">
        <f>SUM(E101:E101)</f>
        <v>117810180</v>
      </c>
    </row>
    <row r="103" spans="2:7" x14ac:dyDescent="0.2"/>
  </sheetData>
  <mergeCells count="1">
    <mergeCell ref="D6:M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Option 1</vt:lpstr>
      <vt:lpstr>Option 2</vt:lpstr>
      <vt:lpstr>Option 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2019-11-01T02:15:10Z</dcterms:created>
  <dcterms:modified xsi:type="dcterms:W3CDTF">2020-01-28T06:56:49Z</dcterms:modified>
</cp:coreProperties>
</file>