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Input" sheetId="75" r:id="rId4"/>
    <sheet name="Option 1" sheetId="69" r:id="rId5"/>
  </sheets>
  <definedNames>
    <definedName name="Conv_2021">Assumptions!$B$18</definedName>
    <definedName name="Option1_categories">'Option 1'!$C$23:$C$28</definedName>
    <definedName name="Option1_costs">'Option 1'!$H$23:$L$28</definedName>
    <definedName name="_xlnm.Print_Area" localSheetId="1">Summary!$A$1:$J$20</definedName>
    <definedName name="years">'Option 1'!$H$8:$L$8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3" i="74" l="1"/>
  <c r="E14" i="74" l="1"/>
  <c r="F14" i="74" s="1"/>
  <c r="G14" i="74" s="1"/>
  <c r="H14" i="74" s="1"/>
  <c r="I14" i="74" s="1"/>
  <c r="J14" i="74" s="1"/>
  <c r="E17" i="75"/>
  <c r="F17" i="75"/>
  <c r="G17" i="75"/>
  <c r="H17" i="75"/>
  <c r="I17" i="75"/>
  <c r="I24" i="69"/>
  <c r="I25" i="69"/>
  <c r="I26" i="69"/>
  <c r="I27" i="69"/>
  <c r="I28" i="69"/>
  <c r="J24" i="69"/>
  <c r="J25" i="69"/>
  <c r="J26" i="69"/>
  <c r="J27" i="69"/>
  <c r="J28" i="69"/>
  <c r="K24" i="69"/>
  <c r="K25" i="69"/>
  <c r="K26" i="69"/>
  <c r="K27" i="69"/>
  <c r="K28" i="69"/>
  <c r="L24" i="69"/>
  <c r="L25" i="69"/>
  <c r="L26" i="69"/>
  <c r="L27" i="69"/>
  <c r="L28" i="69"/>
  <c r="H24" i="69"/>
  <c r="H25" i="69"/>
  <c r="H26" i="69"/>
  <c r="H27" i="69"/>
  <c r="H28" i="69"/>
  <c r="C32" i="69"/>
  <c r="D13" i="70"/>
  <c r="D12" i="70"/>
  <c r="D11" i="70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A2" i="69"/>
  <c r="A1" i="69"/>
  <c r="A2" i="72"/>
  <c r="A1" i="72"/>
  <c r="A2" i="70"/>
  <c r="A1" i="70"/>
  <c r="D5" i="72"/>
  <c r="B18" i="74" l="1"/>
  <c r="I19" i="75"/>
  <c r="I20" i="75" s="1"/>
  <c r="H19" i="75"/>
  <c r="H20" i="75" s="1"/>
  <c r="G19" i="75"/>
  <c r="G20" i="75" s="1"/>
  <c r="F19" i="75"/>
  <c r="F20" i="75" s="1"/>
  <c r="E19" i="75"/>
  <c r="E20" i="75" s="1"/>
  <c r="G13" i="70"/>
  <c r="I13" i="70"/>
  <c r="H12" i="70"/>
  <c r="G12" i="70"/>
  <c r="J13" i="70"/>
  <c r="F13" i="70"/>
  <c r="H13" i="70"/>
  <c r="I12" i="70"/>
  <c r="F12" i="70"/>
  <c r="J12" i="70"/>
  <c r="K20" i="75" l="1"/>
  <c r="J10" i="69" s="1"/>
  <c r="J23" i="69" s="1"/>
  <c r="P12" i="72"/>
  <c r="J12" i="72"/>
  <c r="N12" i="72"/>
  <c r="S12" i="72"/>
  <c r="H12" i="72"/>
  <c r="Q12" i="72"/>
  <c r="T12" i="72"/>
  <c r="K12" i="72"/>
  <c r="G12" i="72"/>
  <c r="M12" i="72"/>
  <c r="H10" i="69"/>
  <c r="H23" i="69" s="1"/>
  <c r="K10" i="69"/>
  <c r="K23" i="69" s="1"/>
  <c r="I10" i="69"/>
  <c r="I23" i="69" s="1"/>
  <c r="I29" i="69" s="1"/>
  <c r="I30" i="69" s="1"/>
  <c r="L10" i="69"/>
  <c r="L23" i="69" s="1"/>
  <c r="L29" i="69" s="1"/>
  <c r="L30" i="69" s="1"/>
  <c r="J29" i="69"/>
  <c r="J30" i="69" s="1"/>
  <c r="G11" i="70"/>
  <c r="J11" i="70"/>
  <c r="H11" i="70"/>
  <c r="I11" i="70"/>
  <c r="F11" i="70"/>
  <c r="H14" i="70" l="1"/>
  <c r="L12" i="72"/>
  <c r="X12" i="72" s="1"/>
  <c r="J14" i="70"/>
  <c r="R12" i="72"/>
  <c r="Z12" i="72" s="1"/>
  <c r="I14" i="70"/>
  <c r="O12" i="72"/>
  <c r="Y12" i="72" s="1"/>
  <c r="F12" i="72"/>
  <c r="V12" i="72" s="1"/>
  <c r="F14" i="70"/>
  <c r="I12" i="72"/>
  <c r="W12" i="72" s="1"/>
  <c r="G14" i="70"/>
  <c r="K29" i="69"/>
  <c r="K30" i="69" s="1"/>
  <c r="H29" i="69"/>
  <c r="H30" i="69" s="1"/>
  <c r="N30" i="69" l="1"/>
  <c r="N3" i="69" s="1"/>
  <c r="D6" i="72" s="1"/>
  <c r="D7" i="70" s="1"/>
  <c r="D32" i="69"/>
  <c r="AB12" i="72"/>
  <c r="F16" i="70"/>
</calcChain>
</file>

<file path=xl/sharedStrings.xml><?xml version="1.0" encoding="utf-8"?>
<sst xmlns="http://schemas.openxmlformats.org/spreadsheetml/2006/main" count="135" uniqueCount="65">
  <si>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</si>
  <si>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</si>
  <si>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</si>
  <si>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</si>
  <si>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</si>
  <si>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</si>
  <si>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</si>
  <si>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</si>
  <si>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</si>
  <si>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Check</t>
  </si>
  <si>
    <t>Summary</t>
  </si>
  <si>
    <t>Real Discount rate:</t>
  </si>
  <si>
    <t>2021/22</t>
  </si>
  <si>
    <t>2022/23</t>
  </si>
  <si>
    <t>2023/24</t>
  </si>
  <si>
    <t>2024/25</t>
  </si>
  <si>
    <t>2025/26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</si>
  <si>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</si>
  <si>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</si>
  <si>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</si>
  <si>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</si>
  <si>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</si>
  <si>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</si>
  <si>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</si>
  <si>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</si>
  <si>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</si>
  <si>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</si>
  <si>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</si>
  <si>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</si>
  <si>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</si>
  <si>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</si>
  <si>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</si>
  <si>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</si>
  <si>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</si>
  <si>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</si>
  <si>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</si>
  <si>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</si>
  <si>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Description</t>
  </si>
  <si>
    <t>General IT compliance</t>
  </si>
  <si>
    <t>Customer access to data through a web portal</t>
  </si>
  <si>
    <t>Life support rule change</t>
  </si>
  <si>
    <t>MSATS procedure changes - CATS 4_6</t>
  </si>
  <si>
    <t>DER register</t>
  </si>
  <si>
    <t>B2B changes to SO’s and MXN’s (November 2020)</t>
  </si>
  <si>
    <t>MSATS changes (May 2020)</t>
  </si>
  <si>
    <t>NMI standing data changes (2020)</t>
  </si>
  <si>
    <t>Consumer data right (CDR) provision of consumer data (2020)</t>
  </si>
  <si>
    <t>Output ($, 2020/21)</t>
  </si>
  <si>
    <t>Forecast direct capex ($'000, 2020/21)</t>
  </si>
  <si>
    <t>Summary ($, 2020/21)</t>
  </si>
  <si>
    <t>Total Cost ($, 2020/21)</t>
  </si>
  <si>
    <t>Input</t>
  </si>
  <si>
    <t>Total expenditure $2021</t>
  </si>
  <si>
    <t>Cost, $ nominal</t>
  </si>
  <si>
    <t>Total, $2021</t>
  </si>
  <si>
    <t>Convert to $ 2021</t>
  </si>
  <si>
    <t>Cost ($ 2021)</t>
  </si>
  <si>
    <t>VPN</t>
  </si>
  <si>
    <t>Options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</si>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</sst>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#,##0_ ;[Red]\-#,##0;\ &quot;-&quot;"/>
    <numFmt numFmtId="168" formatCode="&quot;Convert to December&quot;\ ####"/>
    <numFmt numFmtId="169" formatCode="0.00000000000000000"/>
    <numFmt numFmtId="170" formatCode="0.000000"/>
    <numFmt numFmtId="171" formatCode="_-* #,##0_-;\-* #,##0_-;_-* &quot;-&quot;??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4" fillId="3" borderId="0" xfId="0" applyFont="1" applyFill="1"/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166" fontId="12" fillId="0" borderId="2" xfId="0" applyNumberFormat="1" applyFont="1" applyFill="1" applyBorder="1" applyAlignment="1">
      <alignment horizontal="right" vertical="top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69" fontId="0" fillId="0" borderId="0" xfId="0" applyNumberFormat="1" applyFont="1"/>
    <xf numFmtId="10" fontId="35" fillId="0" borderId="0" xfId="26" applyNumberFormat="1" applyFont="1"/>
    <xf numFmtId="168" fontId="36" fillId="0" borderId="0" xfId="0" applyNumberFormat="1" applyFont="1"/>
    <xf numFmtId="0" fontId="36" fillId="0" borderId="0" xfId="0" applyFont="1"/>
    <xf numFmtId="168" fontId="37" fillId="0" borderId="0" xfId="0" applyNumberFormat="1" applyFont="1"/>
    <xf numFmtId="0" fontId="37" fillId="0" borderId="0" xfId="0" applyFont="1"/>
    <xf numFmtId="170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7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0" fontId="45" fillId="2" borderId="7" xfId="0" applyFont="1" applyFill="1" applyBorder="1"/>
    <xf numFmtId="169" fontId="12" fillId="0" borderId="0" xfId="0" applyNumberFormat="1" applyFont="1"/>
    <xf numFmtId="167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8" fontId="12" fillId="0" borderId="0" xfId="0" applyNumberFormat="1" applyFont="1"/>
    <xf numFmtId="171" fontId="45" fillId="2" borderId="7" xfId="27" applyNumberFormat="1" applyFont="1" applyFill="1" applyBorder="1" applyAlignment="1">
      <alignment vertical="center"/>
    </xf>
    <xf numFmtId="0" fontId="13" fillId="0" borderId="3" xfId="0" applyFont="1" applyBorder="1" applyAlignment="1">
      <alignment horizontal="left"/>
    </xf>
    <xf numFmtId="0" fontId="45" fillId="2" borderId="9" xfId="0" applyFont="1" applyFill="1" applyBorder="1"/>
    <xf numFmtId="171" fontId="45" fillId="2" borderId="9" xfId="27" applyNumberFormat="1" applyFont="1" applyFill="1" applyBorder="1" applyAlignment="1">
      <alignment vertical="center"/>
    </xf>
    <xf numFmtId="0" fontId="28" fillId="0" borderId="0" xfId="0" applyFont="1" applyFill="1" applyBorder="1"/>
    <xf numFmtId="171" fontId="49" fillId="0" borderId="0" xfId="0" applyNumberFormat="1" applyFont="1" applyBorder="1"/>
    <xf numFmtId="0" fontId="0" fillId="0" borderId="0" xfId="0" applyFont="1" applyBorder="1"/>
    <xf numFmtId="171" fontId="0" fillId="0" borderId="0" xfId="0" applyNumberFormat="1" applyFont="1" applyBorder="1"/>
    <xf numFmtId="0" fontId="0" fillId="0" borderId="2" xfId="0" applyFont="1" applyBorder="1"/>
    <xf numFmtId="0" fontId="13" fillId="0" borderId="4" xfId="0" applyFont="1" applyFill="1" applyBorder="1"/>
    <xf numFmtId="0" fontId="0" fillId="0" borderId="4" xfId="0" applyFont="1" applyBorder="1"/>
    <xf numFmtId="171" fontId="0" fillId="0" borderId="4" xfId="0" applyNumberFormat="1" applyFont="1" applyBorder="1"/>
    <xf numFmtId="170" fontId="17" fillId="0" borderId="0" xfId="0" applyNumberFormat="1" applyFont="1" applyFill="1" applyBorder="1"/>
    <xf numFmtId="0" fontId="22" fillId="0" borderId="0" xfId="0" applyFont="1" applyBorder="1"/>
    <xf numFmtId="0" fontId="12" fillId="0" borderId="4" xfId="0" applyFont="1" applyBorder="1"/>
    <xf numFmtId="0" fontId="49" fillId="0" borderId="3" xfId="0" applyFont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45" fillId="2" borderId="1" xfId="0" applyFont="1" applyFill="1" applyBorder="1" applyAlignment="1">
      <alignment vertical="center"/>
    </xf>
    <xf numFmtId="0" fontId="45" fillId="2" borderId="1" xfId="0" applyFont="1" applyFill="1" applyBorder="1"/>
    <xf numFmtId="0" fontId="45" fillId="2" borderId="10" xfId="0" applyFont="1" applyFill="1" applyBorder="1"/>
    <xf numFmtId="171" fontId="45" fillId="2" borderId="1" xfId="27" applyNumberFormat="1" applyFont="1" applyFill="1" applyBorder="1" applyAlignment="1">
      <alignment vertical="center"/>
    </xf>
    <xf numFmtId="171" fontId="45" fillId="2" borderId="10" xfId="27" applyNumberFormat="1" applyFont="1" applyFill="1" applyBorder="1" applyAlignment="1">
      <alignment vertical="center"/>
    </xf>
    <xf numFmtId="0" fontId="0" fillId="9" borderId="0" xfId="0" applyFont="1" applyFill="1"/>
    <xf numFmtId="171" fontId="0" fillId="9" borderId="0" xfId="0" applyNumberFormat="1" applyFont="1" applyFill="1"/>
    <xf numFmtId="171" fontId="49" fillId="9" borderId="0" xfId="0" applyNumberFormat="1" applyFont="1" applyFill="1" applyBorder="1"/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4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13"/>
  <sheetViews>
    <sheetView showGridLines="0" tabSelected="1" zoomScale="80" zoomScaleNormal="80" workbookViewId="0">
      <selection activeCell="E15" sqref="E15"/>
    </sheetView>
  </sheetViews>
  <sheetFormatPr defaultColWidth="9.140625" defaultRowHeight="18.75" x14ac:dyDescent="0.3"/>
  <cols>
    <col min="1" max="1" width="4.28515625" style="37" customWidth="1"/>
    <col min="2" max="2" width="7.85546875" style="37" customWidth="1"/>
    <col min="3" max="3" width="15.140625" style="37" customWidth="1"/>
    <col min="4" max="4" width="17.85546875" style="37" customWidth="1"/>
    <col min="5" max="9" width="10.7109375" style="37" customWidth="1"/>
    <col min="10" max="10" width="10.7109375" style="68" customWidth="1"/>
    <col min="11" max="20" width="10.7109375" style="37" customWidth="1"/>
    <col min="21" max="21" width="4" style="37" customWidth="1"/>
    <col min="22" max="26" width="10.7109375" style="37" customWidth="1"/>
    <col min="27" max="27" width="3.140625" style="37" customWidth="1"/>
    <col min="28" max="28" width="10.7109375" style="37" customWidth="1"/>
    <col min="29" max="29" width="9.140625" style="37"/>
    <col min="30" max="30" width="14.85546875" style="37" bestFit="1" customWidth="1"/>
    <col min="31" max="16384" width="9.140625" style="37"/>
  </cols>
  <sheetData>
    <row r="1" spans="1:28" ht="21" x14ac:dyDescent="0.35">
      <c r="A1" s="13" t="str">
        <f>Assumptions!A1</f>
        <v>General IT compliance</v>
      </c>
      <c r="B1" s="35"/>
      <c r="C1" s="35"/>
      <c r="D1" s="35"/>
      <c r="E1" s="35"/>
      <c r="F1" s="35"/>
      <c r="G1" s="35"/>
      <c r="H1" s="35"/>
      <c r="I1" s="35"/>
      <c r="J1" s="36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</row>
    <row r="2" spans="1:28" x14ac:dyDescent="0.3">
      <c r="A2" s="12" t="str">
        <f>Assumptions!A2</f>
        <v>VPN</v>
      </c>
      <c r="B2" s="35"/>
      <c r="C2" s="35"/>
      <c r="D2" s="35"/>
      <c r="E2" s="35"/>
      <c r="F2" s="35"/>
      <c r="G2" s="35"/>
      <c r="H2" s="35"/>
      <c r="I2" s="35"/>
      <c r="J2" s="36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40" customFormat="1" x14ac:dyDescent="0.3">
      <c r="A3" s="29" t="s">
        <v>47</v>
      </c>
      <c r="B3" s="38"/>
      <c r="C3" s="38"/>
      <c r="D3" s="38"/>
      <c r="E3" s="38"/>
      <c r="F3" s="38"/>
      <c r="G3" s="38"/>
      <c r="H3" s="38"/>
      <c r="I3" s="38"/>
      <c r="J3" s="38"/>
      <c r="K3" s="39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</row>
    <row r="4" spans="1:28" ht="12.75" customHeight="1" x14ac:dyDescent="0.3">
      <c r="A4" s="41"/>
      <c r="B4" s="41"/>
      <c r="C4" s="42"/>
      <c r="D4" s="42"/>
      <c r="E4" s="43"/>
      <c r="F4" s="42"/>
      <c r="G4" s="42"/>
      <c r="H4" s="43"/>
      <c r="I4" s="43"/>
      <c r="J4" s="43"/>
      <c r="K4" s="43"/>
      <c r="L4" s="43"/>
      <c r="M4" s="44"/>
      <c r="N4" s="44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</row>
    <row r="5" spans="1:28" s="2" customFormat="1" ht="12.75" customHeight="1" x14ac:dyDescent="0.2">
      <c r="A5" s="45"/>
      <c r="B5" s="46" t="s">
        <v>19</v>
      </c>
      <c r="C5" s="47"/>
      <c r="D5" s="48" t="str">
        <f>Summary!D6</f>
        <v>Option 1</v>
      </c>
      <c r="E5" s="49"/>
      <c r="F5" s="50"/>
      <c r="G5" s="50"/>
      <c r="H5" s="49"/>
      <c r="I5" s="49"/>
      <c r="J5" s="49"/>
      <c r="K5" s="49"/>
      <c r="L5" s="49"/>
      <c r="M5" s="51"/>
      <c r="N5" s="51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s="2" customFormat="1" ht="12.75" customHeight="1" x14ac:dyDescent="0.2">
      <c r="A6" s="45"/>
      <c r="B6" s="102" t="s">
        <v>35</v>
      </c>
      <c r="C6" s="56"/>
      <c r="D6" s="101" t="b">
        <f>AND('Option 1'!N3)</f>
        <v>1</v>
      </c>
      <c r="E6" s="49"/>
      <c r="F6" s="50"/>
      <c r="G6" s="50"/>
      <c r="H6" s="49"/>
      <c r="I6" s="49"/>
      <c r="J6" s="49"/>
      <c r="K6" s="49"/>
      <c r="L6" s="49"/>
      <c r="M6" s="51"/>
      <c r="N6" s="51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s="2" customFormat="1" ht="12.75" customHeight="1" x14ac:dyDescent="0.2">
      <c r="A7" s="45"/>
      <c r="B7" s="45"/>
      <c r="C7" s="45"/>
      <c r="D7" s="45"/>
      <c r="E7" s="45"/>
      <c r="F7" s="45"/>
      <c r="G7" s="50"/>
      <c r="H7" s="49"/>
      <c r="I7" s="49"/>
      <c r="J7" s="49"/>
      <c r="K7" s="49"/>
      <c r="L7" s="49"/>
      <c r="M7" s="51"/>
      <c r="N7" s="51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28" s="2" customFormat="1" ht="12.75" customHeight="1" x14ac:dyDescent="0.2">
      <c r="A8" s="52"/>
      <c r="B8" s="53"/>
      <c r="C8" s="50"/>
      <c r="D8" s="50"/>
      <c r="E8" s="49"/>
      <c r="F8" s="50"/>
      <c r="G8" s="50"/>
      <c r="H8" s="49"/>
      <c r="I8" s="49"/>
      <c r="J8" s="49"/>
      <c r="K8" s="49"/>
      <c r="L8" s="49"/>
      <c r="M8" s="51"/>
      <c r="N8" s="51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28" s="2" customFormat="1" ht="12.75" customHeight="1" x14ac:dyDescent="0.2">
      <c r="A9" s="54"/>
      <c r="B9" s="55" t="s">
        <v>48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28" s="2" customFormat="1" ht="12.75" customHeight="1" x14ac:dyDescent="0.2">
      <c r="A10" s="56"/>
      <c r="B10" s="57"/>
      <c r="C10" s="58"/>
      <c r="D10" s="58"/>
      <c r="E10" s="59"/>
      <c r="F10" s="60" t="s">
        <v>12</v>
      </c>
      <c r="G10" s="60" t="str">
        <f>F10</f>
        <v>2021/22</v>
      </c>
      <c r="H10" s="59" t="str">
        <f>G10</f>
        <v>2021/22</v>
      </c>
      <c r="I10" s="60" t="s">
        <v>13</v>
      </c>
      <c r="J10" s="60" t="str">
        <f>I10</f>
        <v>2022/23</v>
      </c>
      <c r="K10" s="59" t="str">
        <f>J10</f>
        <v>2022/23</v>
      </c>
      <c r="L10" s="60" t="s">
        <v>14</v>
      </c>
      <c r="M10" s="60" t="str">
        <f>L10</f>
        <v>2023/24</v>
      </c>
      <c r="N10" s="59" t="str">
        <f>M10</f>
        <v>2023/24</v>
      </c>
      <c r="O10" s="60" t="s">
        <v>15</v>
      </c>
      <c r="P10" s="60" t="str">
        <f>O10</f>
        <v>2024/25</v>
      </c>
      <c r="Q10" s="59" t="str">
        <f>P10</f>
        <v>2024/25</v>
      </c>
      <c r="R10" s="60" t="s">
        <v>16</v>
      </c>
      <c r="S10" s="60" t="str">
        <f>R10</f>
        <v>2025/26</v>
      </c>
      <c r="T10" s="59" t="str">
        <f>S10</f>
        <v>2025/26</v>
      </c>
      <c r="U10" s="56"/>
      <c r="V10" s="60" t="str">
        <f>F10</f>
        <v>2021/22</v>
      </c>
      <c r="W10" s="60" t="str">
        <f>I10</f>
        <v>2022/23</v>
      </c>
      <c r="X10" s="60" t="str">
        <f>L10</f>
        <v>2023/24</v>
      </c>
      <c r="Y10" s="60" t="str">
        <f>O10</f>
        <v>2024/25</v>
      </c>
      <c r="Z10" s="60" t="str">
        <f>R10</f>
        <v>2025/26</v>
      </c>
      <c r="AA10" s="56"/>
      <c r="AB10" s="60" t="s">
        <v>20</v>
      </c>
    </row>
    <row r="11" spans="1:28" s="2" customFormat="1" ht="12.75" customHeight="1" x14ac:dyDescent="0.2">
      <c r="A11" s="56"/>
      <c r="B11" s="61" t="s">
        <v>21</v>
      </c>
      <c r="C11" s="61" t="s">
        <v>22</v>
      </c>
      <c r="D11" s="61"/>
      <c r="E11" s="62"/>
      <c r="F11" s="63" t="s">
        <v>1</v>
      </c>
      <c r="G11" s="63" t="s">
        <v>0</v>
      </c>
      <c r="H11" s="62" t="s">
        <v>3</v>
      </c>
      <c r="I11" s="63" t="s">
        <v>1</v>
      </c>
      <c r="J11" s="63" t="s">
        <v>0</v>
      </c>
      <c r="K11" s="62" t="s">
        <v>3</v>
      </c>
      <c r="L11" s="63" t="s">
        <v>1</v>
      </c>
      <c r="M11" s="63" t="s">
        <v>0</v>
      </c>
      <c r="N11" s="62" t="s">
        <v>3</v>
      </c>
      <c r="O11" s="63" t="s">
        <v>1</v>
      </c>
      <c r="P11" s="63" t="s">
        <v>0</v>
      </c>
      <c r="Q11" s="62" t="s">
        <v>3</v>
      </c>
      <c r="R11" s="64" t="s">
        <v>1</v>
      </c>
      <c r="S11" s="64" t="s">
        <v>0</v>
      </c>
      <c r="T11" s="64" t="s">
        <v>3</v>
      </c>
      <c r="U11" s="56"/>
      <c r="V11" s="64"/>
      <c r="W11" s="64"/>
      <c r="X11" s="64"/>
      <c r="Y11" s="64"/>
      <c r="Z11" s="64"/>
      <c r="AA11" s="56"/>
      <c r="AB11" s="64"/>
    </row>
    <row r="12" spans="1:28" s="2" customFormat="1" ht="12.75" customHeight="1" x14ac:dyDescent="0.2">
      <c r="A12" s="56"/>
      <c r="B12" s="65">
        <v>200</v>
      </c>
      <c r="C12" s="66" t="s">
        <v>23</v>
      </c>
      <c r="D12" s="66"/>
      <c r="E12" s="66"/>
      <c r="F12" s="67">
        <f ca="1">INDEX(Summary!$F$11:$J$28,MATCH($D$5&amp;F$11,Summary!$D$11:$D$28,0), MATCH(Output!F$10, Summary!$F$10:$J$10,0))/1000</f>
        <v>1848.240986952786</v>
      </c>
      <c r="G12" s="67">
        <f ca="1">INDEX(Summary!$F$11:$J$28,MATCH($D$5&amp;G$11,Summary!$D$11:$D$28,0), MATCH(Output!G$10, Summary!$F$10:$J$10,0))/1000</f>
        <v>0</v>
      </c>
      <c r="H12" s="67">
        <f ca="1">INDEX(Summary!$F$11:$J$28,MATCH($D$5&amp;H$11,Summary!$D$11:$D$28,0), MATCH(Output!H$10, Summary!$F$10:$J$10,0))/1000</f>
        <v>0</v>
      </c>
      <c r="I12" s="67">
        <f ca="1">INDEX(Summary!$F$11:$J$28,MATCH($D$5&amp;I$11,Summary!$D$11:$D$28,0), MATCH(Output!I$10, Summary!$F$10:$J$10,0))/1000</f>
        <v>1848.240986952786</v>
      </c>
      <c r="J12" s="67">
        <f ca="1">INDEX(Summary!$F$11:$J$28,MATCH($D$5&amp;J$11,Summary!$D$11:$D$28,0), MATCH(Output!J$10, Summary!$F$10:$J$10,0))/1000</f>
        <v>0</v>
      </c>
      <c r="K12" s="67">
        <f ca="1">INDEX(Summary!$F$11:$J$28,MATCH($D$5&amp;K$11,Summary!$D$11:$D$28,0), MATCH(Output!K$10, Summary!$F$10:$J$10,0))/1000</f>
        <v>0</v>
      </c>
      <c r="L12" s="67">
        <f ca="1">INDEX(Summary!$F$11:$J$28,MATCH($D$5&amp;L$11,Summary!$D$11:$D$28,0), MATCH(Output!L$10, Summary!$F$10:$J$10,0))/1000</f>
        <v>1848.240986952786</v>
      </c>
      <c r="M12" s="67">
        <f ca="1">INDEX(Summary!$F$11:$J$28,MATCH($D$5&amp;M$11,Summary!$D$11:$D$28,0), MATCH(Output!M$10, Summary!$F$10:$J$10,0))/1000</f>
        <v>0</v>
      </c>
      <c r="N12" s="67">
        <f ca="1">INDEX(Summary!$F$11:$J$28,MATCH($D$5&amp;N$11,Summary!$D$11:$D$28,0), MATCH(Output!N$10, Summary!$F$10:$J$10,0))/1000</f>
        <v>0</v>
      </c>
      <c r="O12" s="67">
        <f ca="1">INDEX(Summary!$F$11:$J$28,MATCH($D$5&amp;O$11,Summary!$D$11:$D$28,0), MATCH(Output!O$10, Summary!$F$10:$J$10,0))/1000</f>
        <v>1848.240986952786</v>
      </c>
      <c r="P12" s="67">
        <f ca="1">INDEX(Summary!$F$11:$J$28,MATCH($D$5&amp;P$11,Summary!$D$11:$D$28,0), MATCH(Output!P$10, Summary!$F$10:$J$10,0))/1000</f>
        <v>0</v>
      </c>
      <c r="Q12" s="67">
        <f ca="1">INDEX(Summary!$F$11:$J$28,MATCH($D$5&amp;Q$11,Summary!$D$11:$D$28,0), MATCH(Output!Q$10, Summary!$F$10:$J$10,0))/1000</f>
        <v>0</v>
      </c>
      <c r="R12" s="67">
        <f ca="1">INDEX(Summary!$F$11:$J$28,MATCH($D$5&amp;R$11,Summary!$D$11:$D$28,0), MATCH(Output!R$10, Summary!$F$10:$J$10,0))/1000</f>
        <v>1848.240986952786</v>
      </c>
      <c r="S12" s="67">
        <f ca="1">INDEX(Summary!$F$11:$J$28,MATCH($D$5&amp;S$11,Summary!$D$11:$D$28,0), MATCH(Output!S$10, Summary!$F$10:$J$10,0))/1000</f>
        <v>0</v>
      </c>
      <c r="T12" s="67">
        <f ca="1">INDEX(Summary!$F$11:$J$28,MATCH($D$5&amp;T$11,Summary!$D$11:$D$28,0), MATCH(Output!T$10, Summary!$F$10:$J$10,0))/1000</f>
        <v>0</v>
      </c>
      <c r="U12" s="56"/>
      <c r="V12" s="67">
        <f ca="1">SUMIF($F$10:$T$10,V$10,$F12:$T12)</f>
        <v>1848.240986952786</v>
      </c>
      <c r="W12" s="67">
        <f ca="1">SUMIF($F$10:$T$10,W$10,$F12:$T12)</f>
        <v>1848.240986952786</v>
      </c>
      <c r="X12" s="67">
        <f ca="1">SUMIF($F$10:$T$10,X$10,$F12:$T12)</f>
        <v>1848.240986952786</v>
      </c>
      <c r="Y12" s="67">
        <f ca="1">SUMIF($F$10:$T$10,Y$10,$F12:$T12)</f>
        <v>1848.240986952786</v>
      </c>
      <c r="Z12" s="67">
        <f ca="1">SUMIF($F$10:$T$10,Z$10,$F12:$T12)</f>
        <v>1848.240986952786</v>
      </c>
      <c r="AA12" s="56"/>
      <c r="AB12" s="67">
        <f ca="1">SUM(V12:Z12)</f>
        <v>9241.2049347639295</v>
      </c>
    </row>
    <row r="13" spans="1:28" s="2" customFormat="1" ht="12.75" x14ac:dyDescent="0.2">
      <c r="A13" s="56"/>
      <c r="B13" s="65"/>
      <c r="C13" s="66"/>
      <c r="D13" s="66"/>
      <c r="E13" s="66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56"/>
      <c r="V13" s="67"/>
      <c r="W13" s="67"/>
      <c r="X13" s="67"/>
      <c r="Y13" s="67"/>
      <c r="Z13" s="67"/>
      <c r="AA13" s="56"/>
      <c r="AB13" s="67"/>
    </row>
  </sheetData>
  <conditionalFormatting sqref="D6">
    <cfRule type="expression" dxfId="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9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88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3" t="str">
        <f>Assumptions!A1</f>
        <v>General IT compliance</v>
      </c>
      <c r="B1" s="13"/>
      <c r="C1" s="11"/>
      <c r="D1" s="11"/>
      <c r="E1" s="11"/>
      <c r="F1" s="11"/>
      <c r="G1" s="11"/>
      <c r="H1" s="11"/>
      <c r="I1" s="11"/>
      <c r="J1" s="11"/>
    </row>
    <row r="2" spans="1:17" ht="15.75" x14ac:dyDescent="0.25">
      <c r="A2" s="12" t="str">
        <f>Assumptions!A2</f>
        <v>VPN</v>
      </c>
      <c r="B2" s="12"/>
      <c r="C2" s="11"/>
      <c r="D2" s="11"/>
      <c r="E2" s="11"/>
      <c r="F2" s="11"/>
      <c r="G2" s="11"/>
      <c r="H2" s="11"/>
      <c r="I2" s="11"/>
      <c r="J2" s="11"/>
    </row>
    <row r="3" spans="1:17" s="16" customFormat="1" ht="15.75" x14ac:dyDescent="0.25">
      <c r="A3" s="29" t="s">
        <v>49</v>
      </c>
      <c r="B3" s="27"/>
      <c r="C3" s="28"/>
      <c r="D3" s="28"/>
      <c r="E3" s="28"/>
      <c r="F3" s="28"/>
      <c r="G3" s="28"/>
      <c r="H3" s="28"/>
      <c r="I3" s="28"/>
      <c r="J3" s="28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4"/>
      <c r="C5" s="15"/>
      <c r="D5" s="15"/>
      <c r="E5" s="15"/>
      <c r="F5" s="15"/>
      <c r="G5" s="15"/>
      <c r="H5" s="15"/>
      <c r="I5" s="15"/>
      <c r="J5" s="15"/>
    </row>
    <row r="6" spans="1:17" ht="12.75" customHeight="1" x14ac:dyDescent="0.25">
      <c r="B6" s="32" t="s">
        <v>17</v>
      </c>
      <c r="D6" s="33" t="s">
        <v>24</v>
      </c>
      <c r="E6" s="3"/>
      <c r="O6"/>
    </row>
    <row r="7" spans="1:17" ht="12.75" customHeight="1" x14ac:dyDescent="0.25">
      <c r="B7" s="102" t="s">
        <v>35</v>
      </c>
      <c r="D7" s="101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70" t="s">
        <v>24</v>
      </c>
      <c r="C10" s="70" t="s">
        <v>8</v>
      </c>
      <c r="D10" s="70"/>
      <c r="E10" s="71"/>
      <c r="F10" s="72" t="s">
        <v>12</v>
      </c>
      <c r="G10" s="72" t="s">
        <v>13</v>
      </c>
      <c r="H10" s="72" t="s">
        <v>14</v>
      </c>
      <c r="I10" s="72" t="s">
        <v>15</v>
      </c>
      <c r="J10" s="72" t="s">
        <v>16</v>
      </c>
      <c r="O10"/>
    </row>
    <row r="11" spans="1:17" ht="12.75" customHeight="1" x14ac:dyDescent="0.25">
      <c r="C11" s="1" t="s">
        <v>1</v>
      </c>
      <c r="D11" s="104" t="str">
        <f>B10&amp;C11</f>
        <v>Option 1Labour</v>
      </c>
      <c r="E11" s="3"/>
      <c r="F11" s="8">
        <f ca="1">SUMIF(INDIRECT(LEFT($D11,6)&amp;MID($D11,8,1)&amp;"_categories"),$C11,INDEX(INDIRECT(LEFT($D11,6)&amp;MID($D11,8,1)&amp;"_costs"),,MATCH(F$10,years,0)))</f>
        <v>1848240.9869527861</v>
      </c>
      <c r="G11" s="8">
        <f ca="1">SUMIF(INDIRECT(LEFT($D11,6)&amp;MID($D11,8,1)&amp;"_categories"),$C11,INDEX(INDIRECT(LEFT($D11,6)&amp;MID($D11,8,1)&amp;"_costs"),,MATCH(G$10,years,0)))</f>
        <v>1848240.9869527861</v>
      </c>
      <c r="H11" s="8">
        <f ca="1">SUMIF(INDIRECT(LEFT($D11,6)&amp;MID($D11,8,1)&amp;"_categories"),$C11,INDEX(INDIRECT(LEFT($D11,6)&amp;MID($D11,8,1)&amp;"_costs"),,MATCH(H$10,years,0)))</f>
        <v>1848240.9869527861</v>
      </c>
      <c r="I11" s="8">
        <f ca="1">SUMIF(INDIRECT(LEFT($D11,6)&amp;MID($D11,8,1)&amp;"_categories"),$C11,INDEX(INDIRECT(LEFT($D11,6)&amp;MID($D11,8,1)&amp;"_costs"),,MATCH(I$10,years,0)))</f>
        <v>1848240.9869527861</v>
      </c>
      <c r="J11" s="8">
        <f ca="1">SUMIF(INDIRECT(LEFT($D11,6)&amp;MID($D11,8,1)&amp;"_categories"),$C11,INDEX(INDIRECT(LEFT($D11,6)&amp;MID($D11,8,1)&amp;"_costs"),,MATCH(J$10,years,0)))</f>
        <v>1848240.9869527861</v>
      </c>
      <c r="O11"/>
    </row>
    <row r="12" spans="1:17" ht="12.75" customHeight="1" x14ac:dyDescent="0.25">
      <c r="C12" s="1" t="s">
        <v>0</v>
      </c>
      <c r="D12" s="104" t="str">
        <f>B10&amp;C12</f>
        <v>Option 1Materials</v>
      </c>
      <c r="E12" s="3"/>
      <c r="F12" s="8">
        <f t="shared" ref="F12:J13" ca="1" si="0">SUMIF(INDIRECT(LEFT($D12,6)&amp;MID($D12,8,1)&amp;"_categories"),$C12,INDEX(INDIRECT(LEFT($D12,6)&amp;MID($D12,8,1)&amp;"_costs"),,MATCH(F$10,years,0)))*Conv_2021</f>
        <v>0</v>
      </c>
      <c r="G12" s="8">
        <f t="shared" ca="1" si="0"/>
        <v>0</v>
      </c>
      <c r="H12" s="8">
        <f t="shared" ca="1" si="0"/>
        <v>0</v>
      </c>
      <c r="I12" s="8">
        <f t="shared" ca="1" si="0"/>
        <v>0</v>
      </c>
      <c r="J12" s="8">
        <f t="shared" ca="1" si="0"/>
        <v>0</v>
      </c>
      <c r="O12"/>
    </row>
    <row r="13" spans="1:17" ht="12.75" customHeight="1" x14ac:dyDescent="0.2">
      <c r="C13" s="1" t="s">
        <v>3</v>
      </c>
      <c r="D13" s="104" t="str">
        <f>B10&amp;C13</f>
        <v>Option 1Contracts</v>
      </c>
      <c r="F13" s="8">
        <f t="shared" ca="1" si="0"/>
        <v>0</v>
      </c>
      <c r="G13" s="8">
        <f t="shared" ca="1" si="0"/>
        <v>0</v>
      </c>
      <c r="H13" s="8">
        <f t="shared" ca="1" si="0"/>
        <v>0</v>
      </c>
      <c r="I13" s="8">
        <f t="shared" ca="1" si="0"/>
        <v>0</v>
      </c>
      <c r="J13" s="8">
        <f t="shared" ca="1" si="0"/>
        <v>0</v>
      </c>
    </row>
    <row r="14" spans="1:17" ht="12.75" customHeight="1" x14ac:dyDescent="0.2">
      <c r="B14" s="88"/>
      <c r="C14" s="19" t="s">
        <v>50</v>
      </c>
      <c r="D14" s="19"/>
      <c r="E14" s="19"/>
      <c r="F14" s="20">
        <f ca="1">SUM(F11:F13)</f>
        <v>1848240.9869527861</v>
      </c>
      <c r="G14" s="20">
        <f ca="1">SUM(G11:G13)</f>
        <v>1848240.9869527861</v>
      </c>
      <c r="H14" s="20">
        <f ca="1">SUM(H11:H13)</f>
        <v>1848240.9869527861</v>
      </c>
      <c r="I14" s="20">
        <f ca="1">SUM(I11:I13)</f>
        <v>1848240.9869527861</v>
      </c>
      <c r="J14" s="20">
        <f ca="1">SUM(J11:J13)</f>
        <v>1848240.9869527861</v>
      </c>
      <c r="K14" s="34"/>
      <c r="L14" s="2"/>
      <c r="M14" s="2"/>
      <c r="N14" s="2"/>
      <c r="O14" s="2"/>
      <c r="P14" s="2"/>
      <c r="Q14" s="2"/>
    </row>
    <row r="15" spans="1:17" ht="12.75" customHeight="1" x14ac:dyDescent="0.2">
      <c r="B15" s="88"/>
      <c r="C15" s="6"/>
      <c r="D15" s="6"/>
      <c r="E15" s="6"/>
      <c r="F15" s="69"/>
      <c r="G15" s="69"/>
      <c r="H15" s="69"/>
      <c r="I15" s="69"/>
      <c r="J15" s="69"/>
    </row>
    <row r="16" spans="1:17" ht="12.75" customHeight="1" x14ac:dyDescent="0.2">
      <c r="C16" s="133" t="s">
        <v>59</v>
      </c>
      <c r="D16" s="20"/>
      <c r="E16" s="20"/>
      <c r="F16" s="20">
        <f ca="1">NPV(Assumptions!$B$6,F14:J14)</f>
        <v>8525162.8570601642</v>
      </c>
      <c r="G16" s="69"/>
      <c r="H16" s="69"/>
      <c r="I16" s="69"/>
      <c r="J16" s="69"/>
    </row>
    <row r="17" spans="2:10" ht="12.75" customHeight="1" x14ac:dyDescent="0.2">
      <c r="C17" s="31"/>
      <c r="D17" s="31"/>
      <c r="E17" s="6"/>
      <c r="F17" s="69"/>
      <c r="G17" s="69"/>
      <c r="H17" s="69"/>
      <c r="I17" s="69"/>
      <c r="J17" s="69"/>
    </row>
    <row r="18" spans="2:10" ht="12.75" customHeight="1" x14ac:dyDescent="0.2">
      <c r="B18" s="6"/>
      <c r="C18" s="6"/>
      <c r="D18" s="6"/>
      <c r="E18" s="6"/>
      <c r="F18" s="21"/>
      <c r="G18" s="21"/>
      <c r="H18" s="21"/>
      <c r="I18" s="21"/>
      <c r="J18" s="21"/>
    </row>
    <row r="19" spans="2:10" x14ac:dyDescent="0.2">
      <c r="B19" s="24"/>
      <c r="C19" s="31"/>
      <c r="D19" s="31"/>
      <c r="E19" s="24"/>
      <c r="F19" s="24"/>
      <c r="G19" s="24"/>
      <c r="H19" s="24"/>
      <c r="I19" s="24"/>
      <c r="J19" s="24"/>
    </row>
  </sheetData>
  <conditionalFormatting sqref="D7">
    <cfRule type="expression" dxfId="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Assumptions!$A$23:$A$24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</row>
    <row r="2" spans="1:35" ht="15.75" x14ac:dyDescent="0.25">
      <c r="A2" s="12" t="s">
        <v>57</v>
      </c>
      <c r="B2" s="12"/>
      <c r="C2" s="12"/>
      <c r="D2" s="12"/>
      <c r="E2" s="12"/>
      <c r="F2" s="12"/>
      <c r="G2" s="12"/>
      <c r="H2" s="12"/>
      <c r="I2" s="12"/>
      <c r="J2" s="12"/>
    </row>
    <row r="3" spans="1:35" s="16" customFormat="1" ht="12.75" customHeight="1" x14ac:dyDescent="0.25">
      <c r="A3" s="29" t="s">
        <v>2</v>
      </c>
      <c r="B3" s="27"/>
      <c r="C3" s="27"/>
      <c r="D3" s="27"/>
      <c r="E3" s="27"/>
      <c r="F3" s="27"/>
      <c r="G3" s="27"/>
      <c r="H3" s="27"/>
      <c r="I3" s="27"/>
      <c r="J3" s="27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26" customFormat="1" ht="12.75" customHeight="1" x14ac:dyDescent="0.25">
      <c r="A4" s="25" t="s">
        <v>7</v>
      </c>
      <c r="B4" s="85" t="s">
        <v>2</v>
      </c>
      <c r="C4" s="25" t="s">
        <v>5</v>
      </c>
      <c r="D4" s="25" t="s">
        <v>6</v>
      </c>
    </row>
    <row r="5" spans="1:35" s="26" customFormat="1" ht="12.75" customHeight="1" x14ac:dyDescent="0.25">
      <c r="A5" s="25"/>
      <c r="B5" s="85"/>
      <c r="C5" s="25"/>
      <c r="D5" s="25"/>
    </row>
    <row r="6" spans="1:35" s="26" customFormat="1" ht="12.75" customHeight="1" x14ac:dyDescent="0.25">
      <c r="A6" s="2" t="s">
        <v>11</v>
      </c>
      <c r="B6" s="93">
        <v>2.75E-2</v>
      </c>
      <c r="C6" s="2"/>
      <c r="D6" s="25"/>
    </row>
    <row r="7" spans="1:35" s="26" customFormat="1" ht="12.75" customHeight="1" x14ac:dyDescent="0.25">
      <c r="A7" s="25"/>
      <c r="B7" s="85"/>
      <c r="C7" s="25"/>
      <c r="D7" s="25"/>
    </row>
    <row r="8" spans="1:35" s="26" customFormat="1" ht="12.75" customHeight="1" x14ac:dyDescent="0.25">
      <c r="A8" s="87" t="s">
        <v>30</v>
      </c>
      <c r="B8" s="95" t="s">
        <v>31</v>
      </c>
      <c r="C8" t="s">
        <v>33</v>
      </c>
      <c r="D8" s="25"/>
    </row>
    <row r="9" spans="1:35" s="26" customFormat="1" ht="12.75" customHeight="1" x14ac:dyDescent="0.25">
      <c r="A9" s="87"/>
      <c r="B9" s="87"/>
      <c r="C9" s="87"/>
      <c r="D9" s="87"/>
      <c r="E9" s="87"/>
    </row>
    <row r="10" spans="1:35" ht="12.75" customHeight="1" x14ac:dyDescent="0.25">
      <c r="A10" s="73"/>
      <c r="B10" s="73"/>
      <c r="C10" s="73"/>
      <c r="D10" s="73">
        <v>2015</v>
      </c>
      <c r="E10" s="73">
        <v>2016</v>
      </c>
      <c r="F10" s="73">
        <v>2017</v>
      </c>
      <c r="G10" s="73">
        <v>2018</v>
      </c>
      <c r="H10" s="73">
        <v>2019</v>
      </c>
      <c r="I10" s="74">
        <v>2020</v>
      </c>
      <c r="J10" s="74" t="s">
        <v>31</v>
      </c>
    </row>
    <row r="11" spans="1:35" ht="12.75" customHeight="1" x14ac:dyDescent="0.25">
      <c r="A11" s="136" t="s">
        <v>60</v>
      </c>
      <c r="B11" s="22"/>
      <c r="C11" s="91"/>
      <c r="D11" s="137" t="s">
        <v>63</v>
      </c>
      <c r="E11" s="137" t="s">
        <v>63</v>
      </c>
      <c r="F11" s="137" t="s">
        <v>63</v>
      </c>
      <c r="G11" s="137" t="s">
        <v>63</v>
      </c>
      <c r="H11" s="137" t="s">
        <v>63</v>
      </c>
      <c r="I11" s="137" t="s">
        <v>63</v>
      </c>
      <c r="J11" s="137" t="s">
        <v>64</v>
      </c>
    </row>
    <row r="12" spans="1:35" ht="12.75" customHeight="1" x14ac:dyDescent="0.25">
      <c r="A12" s="138" t="s">
        <v>61</v>
      </c>
      <c r="B12" s="4"/>
      <c r="C12" s="138"/>
      <c r="D12" s="139" t="s">
        <v>25</v>
      </c>
      <c r="E12" s="139" t="s">
        <v>25</v>
      </c>
      <c r="F12" s="139" t="s">
        <v>25</v>
      </c>
      <c r="G12" s="139" t="s">
        <v>25</v>
      </c>
      <c r="H12" s="139" t="s">
        <v>25</v>
      </c>
      <c r="I12" s="140" t="s">
        <v>26</v>
      </c>
      <c r="J12" s="140" t="s">
        <v>26</v>
      </c>
    </row>
    <row r="13" spans="1:35" ht="12.75" customHeight="1" x14ac:dyDescent="0.25">
      <c r="A13" s="88" t="s">
        <v>62</v>
      </c>
      <c r="B13" s="88"/>
      <c r="C13" s="75"/>
      <c r="D13" s="76"/>
      <c r="E13" s="93">
        <v>1.0232558139534831E-2</v>
      </c>
      <c r="F13" s="93">
        <v>1.9337016574585641E-2</v>
      </c>
      <c r="G13" s="93">
        <v>2.0776874435411097E-2</v>
      </c>
      <c r="H13" s="93">
        <v>1.5929203539823078E-2</v>
      </c>
      <c r="I13" s="93">
        <v>2.000000000000024E-2</v>
      </c>
      <c r="J13" s="93">
        <v>2.1998043050963867E-2</v>
      </c>
    </row>
    <row r="14" spans="1:35" ht="12.75" customHeight="1" x14ac:dyDescent="0.25">
      <c r="A14" s="82" t="s">
        <v>27</v>
      </c>
      <c r="B14" s="80"/>
      <c r="C14" s="80"/>
      <c r="D14" s="94">
        <v>1</v>
      </c>
      <c r="E14" s="83">
        <f t="shared" ref="E14:J14" si="0">D14*(1+E13)</f>
        <v>1.0102325581395348</v>
      </c>
      <c r="F14" s="83">
        <f t="shared" si="0"/>
        <v>1.029767441860465</v>
      </c>
      <c r="G14" s="83">
        <f t="shared" si="0"/>
        <v>1.0511627906976744</v>
      </c>
      <c r="H14" s="83">
        <f t="shared" si="0"/>
        <v>1.067906976744186</v>
      </c>
      <c r="I14" s="83">
        <f t="shared" si="0"/>
        <v>1.0892651162790701</v>
      </c>
      <c r="J14" s="83">
        <f t="shared" si="0"/>
        <v>1.1132268172008901</v>
      </c>
    </row>
    <row r="15" spans="1:35" ht="12.75" customHeight="1" x14ac:dyDescent="0.25">
      <c r="A15" s="80"/>
      <c r="B15" s="80"/>
      <c r="C15" s="80"/>
      <c r="D15" s="81"/>
      <c r="E15" s="81"/>
      <c r="F15" s="81"/>
      <c r="G15" s="81"/>
      <c r="H15" s="81"/>
    </row>
    <row r="16" spans="1:35" ht="12.75" customHeight="1" x14ac:dyDescent="0.25">
      <c r="A16" s="87" t="s">
        <v>32</v>
      </c>
      <c r="B16" s="86">
        <v>2018</v>
      </c>
      <c r="C16" s="88" t="s">
        <v>33</v>
      </c>
      <c r="G16" s="77"/>
      <c r="H16" s="77"/>
    </row>
    <row r="17" spans="1:8" ht="12.75" customHeight="1" x14ac:dyDescent="0.25">
      <c r="A17" s="87" t="s">
        <v>29</v>
      </c>
      <c r="B17" s="92" t="s">
        <v>31</v>
      </c>
      <c r="C17" s="88" t="s">
        <v>34</v>
      </c>
      <c r="G17" s="77"/>
      <c r="H17" s="77"/>
    </row>
    <row r="18" spans="1:8" ht="12.75" customHeight="1" x14ac:dyDescent="0.25">
      <c r="A18" s="87" t="s">
        <v>28</v>
      </c>
      <c r="B18" s="84">
        <f>INDEX($D$14:$J$14, MATCH(B17, $D$10:$J$10,0))/INDEX($D$14:$J$14, MATCH(B16, $D$10:$J$10,0))</f>
        <v>1.0590432110539443</v>
      </c>
      <c r="C18" s="100"/>
      <c r="D18" s="78"/>
      <c r="E18" s="75"/>
      <c r="F18" s="75"/>
      <c r="G18" s="75"/>
      <c r="H18" s="75"/>
    </row>
    <row r="19" spans="1:8" ht="12.75" customHeight="1" x14ac:dyDescent="0.25">
      <c r="A19" s="77"/>
      <c r="B19" s="79"/>
      <c r="C19" s="79"/>
      <c r="D19" s="79"/>
      <c r="E19" s="79"/>
      <c r="F19" s="79"/>
      <c r="G19" s="79"/>
      <c r="H19" s="77"/>
    </row>
    <row r="20" spans="1:8" ht="12.75" customHeight="1" x14ac:dyDescent="0.25"/>
    <row r="21" spans="1:8" ht="12.75" customHeight="1" x14ac:dyDescent="0.25"/>
    <row r="22" spans="1:8" ht="12.75" customHeight="1" x14ac:dyDescent="0.25">
      <c r="A22" s="109" t="s">
        <v>58</v>
      </c>
    </row>
    <row r="23" spans="1:8" ht="12.75" customHeight="1" x14ac:dyDescent="0.25">
      <c r="A23" s="87" t="str">
        <f>'Option 1'!A3</f>
        <v>Option 1</v>
      </c>
    </row>
    <row r="24" spans="1:8" ht="12.75" customHeight="1" x14ac:dyDescent="0.25">
      <c r="A24" s="87"/>
    </row>
    <row r="25" spans="1:8" ht="12.75" customHeight="1" x14ac:dyDescent="0.25"/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2"/>
  <sheetViews>
    <sheetView showGridLines="0" zoomScale="85" zoomScaleNormal="85" workbookViewId="0"/>
  </sheetViews>
  <sheetFormatPr defaultRowHeight="15" x14ac:dyDescent="0.25"/>
  <cols>
    <col min="2" max="2" width="51" customWidth="1"/>
    <col min="3" max="3" width="10.28515625" bestFit="1" customWidth="1"/>
    <col min="4" max="4" width="3" customWidth="1"/>
    <col min="5" max="9" width="12.7109375" customWidth="1"/>
    <col min="10" max="10" width="3" customWidth="1"/>
    <col min="11" max="11" width="13" customWidth="1"/>
  </cols>
  <sheetData>
    <row r="1" spans="1:13" ht="21" x14ac:dyDescent="0.3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3" ht="15.75" x14ac:dyDescent="0.25">
      <c r="A2" s="12" t="s">
        <v>57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3" ht="15.75" x14ac:dyDescent="0.25">
      <c r="A3" s="29" t="s">
        <v>51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5" spans="1:13" x14ac:dyDescent="0.25">
      <c r="A5" s="75"/>
      <c r="B5" s="2"/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13" x14ac:dyDescent="0.25">
      <c r="A6" s="75"/>
      <c r="B6" s="105" t="s">
        <v>37</v>
      </c>
      <c r="C6" s="17" t="s">
        <v>18</v>
      </c>
      <c r="D6" s="75"/>
      <c r="E6" s="17" t="s">
        <v>53</v>
      </c>
      <c r="F6" s="18"/>
      <c r="G6" s="18"/>
      <c r="H6" s="18"/>
      <c r="I6" s="18"/>
      <c r="J6" s="75"/>
      <c r="K6" s="116"/>
      <c r="L6" s="75"/>
    </row>
    <row r="7" spans="1:13" x14ac:dyDescent="0.25">
      <c r="A7" s="75"/>
      <c r="B7" s="124"/>
      <c r="C7" s="124"/>
      <c r="D7" s="75"/>
      <c r="E7" s="106">
        <v>2016</v>
      </c>
      <c r="F7" s="106">
        <v>2017</v>
      </c>
      <c r="G7" s="106">
        <v>2018</v>
      </c>
      <c r="H7" s="106">
        <v>2019</v>
      </c>
      <c r="I7" s="106">
        <v>2020</v>
      </c>
      <c r="J7" s="75"/>
      <c r="K7" s="123" t="s">
        <v>20</v>
      </c>
      <c r="L7" s="75"/>
    </row>
    <row r="8" spans="1:13" x14ac:dyDescent="0.25">
      <c r="A8" s="75"/>
      <c r="B8" s="6"/>
      <c r="C8" s="6"/>
      <c r="D8" s="75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75"/>
      <c r="B9" s="96" t="s">
        <v>39</v>
      </c>
      <c r="C9" s="125" t="s">
        <v>4</v>
      </c>
      <c r="D9" s="75"/>
      <c r="E9" s="108">
        <v>700000</v>
      </c>
      <c r="F9" s="108">
        <v>0</v>
      </c>
      <c r="G9" s="108">
        <v>0</v>
      </c>
      <c r="H9" s="108">
        <v>0</v>
      </c>
      <c r="I9" s="128">
        <v>0</v>
      </c>
      <c r="J9" s="75"/>
      <c r="K9" s="130"/>
      <c r="L9" s="75"/>
    </row>
    <row r="10" spans="1:13" x14ac:dyDescent="0.25">
      <c r="A10" s="75"/>
      <c r="B10" s="96" t="s">
        <v>40</v>
      </c>
      <c r="C10" s="125" t="s">
        <v>4</v>
      </c>
      <c r="D10" s="75"/>
      <c r="E10" s="108">
        <v>2100000</v>
      </c>
      <c r="F10" s="108">
        <v>0</v>
      </c>
      <c r="G10" s="108">
        <v>0</v>
      </c>
      <c r="H10" s="108">
        <v>0</v>
      </c>
      <c r="I10" s="128">
        <v>0</v>
      </c>
      <c r="J10" s="75"/>
      <c r="K10" s="130"/>
      <c r="L10" s="75"/>
    </row>
    <row r="11" spans="1:13" x14ac:dyDescent="0.25">
      <c r="A11" s="75"/>
      <c r="B11" s="96" t="s">
        <v>41</v>
      </c>
      <c r="C11" s="125" t="s">
        <v>4</v>
      </c>
      <c r="D11" s="75"/>
      <c r="E11" s="108">
        <v>0</v>
      </c>
      <c r="F11" s="108">
        <v>0</v>
      </c>
      <c r="G11" s="108">
        <v>400000</v>
      </c>
      <c r="H11" s="108">
        <v>0</v>
      </c>
      <c r="I11" s="128">
        <v>0</v>
      </c>
      <c r="J11" s="75"/>
      <c r="K11" s="130"/>
      <c r="L11" s="75"/>
    </row>
    <row r="12" spans="1:13" x14ac:dyDescent="0.25">
      <c r="A12" s="75"/>
      <c r="B12" s="96" t="s">
        <v>42</v>
      </c>
      <c r="C12" s="125" t="s">
        <v>4</v>
      </c>
      <c r="D12" s="75"/>
      <c r="E12" s="108">
        <v>0</v>
      </c>
      <c r="F12" s="108">
        <v>0</v>
      </c>
      <c r="G12" s="108">
        <v>2000000</v>
      </c>
      <c r="H12" s="108">
        <v>0</v>
      </c>
      <c r="I12" s="128">
        <v>0</v>
      </c>
      <c r="J12" s="75"/>
      <c r="K12" s="131"/>
      <c r="L12" s="75"/>
    </row>
    <row r="13" spans="1:13" x14ac:dyDescent="0.25">
      <c r="A13" s="75"/>
      <c r="B13" s="96" t="s">
        <v>43</v>
      </c>
      <c r="C13" s="125" t="s">
        <v>4</v>
      </c>
      <c r="D13" s="75"/>
      <c r="E13" s="108">
        <v>0</v>
      </c>
      <c r="F13" s="108">
        <v>0</v>
      </c>
      <c r="G13" s="108">
        <v>1000000</v>
      </c>
      <c r="H13" s="108">
        <v>0</v>
      </c>
      <c r="I13" s="128">
        <v>0</v>
      </c>
      <c r="J13" s="75"/>
      <c r="K13" s="131"/>
      <c r="L13" s="75"/>
    </row>
    <row r="14" spans="1:13" x14ac:dyDescent="0.25">
      <c r="A14" s="75"/>
      <c r="B14" s="99" t="s">
        <v>44</v>
      </c>
      <c r="C14" s="126" t="s">
        <v>4</v>
      </c>
      <c r="D14" s="75"/>
      <c r="E14" s="108">
        <v>0</v>
      </c>
      <c r="F14" s="108">
        <v>0</v>
      </c>
      <c r="G14" s="108">
        <v>0</v>
      </c>
      <c r="H14" s="108">
        <v>0</v>
      </c>
      <c r="I14" s="128">
        <v>500000</v>
      </c>
      <c r="J14" s="75"/>
      <c r="K14" s="131"/>
      <c r="L14" s="75"/>
    </row>
    <row r="15" spans="1:13" x14ac:dyDescent="0.25">
      <c r="A15" s="75"/>
      <c r="B15" s="99" t="s">
        <v>45</v>
      </c>
      <c r="C15" s="126" t="s">
        <v>4</v>
      </c>
      <c r="D15" s="75"/>
      <c r="E15" s="108">
        <v>0</v>
      </c>
      <c r="F15" s="108">
        <v>0</v>
      </c>
      <c r="G15" s="108">
        <v>0</v>
      </c>
      <c r="H15" s="108">
        <v>0</v>
      </c>
      <c r="I15" s="128">
        <v>1000000</v>
      </c>
      <c r="J15" s="75"/>
      <c r="K15" s="131"/>
      <c r="L15" s="75"/>
    </row>
    <row r="16" spans="1:13" x14ac:dyDescent="0.25">
      <c r="A16" s="75"/>
      <c r="B16" s="110" t="s">
        <v>46</v>
      </c>
      <c r="C16" s="127" t="s">
        <v>4</v>
      </c>
      <c r="D16" s="75"/>
      <c r="E16" s="111">
        <v>0</v>
      </c>
      <c r="F16" s="111">
        <v>0</v>
      </c>
      <c r="G16" s="111">
        <v>0</v>
      </c>
      <c r="H16" s="111">
        <v>0</v>
      </c>
      <c r="I16" s="129">
        <v>1000000</v>
      </c>
      <c r="J16" s="75"/>
      <c r="K16" s="131"/>
      <c r="L16" s="75"/>
    </row>
    <row r="17" spans="1:12" x14ac:dyDescent="0.25">
      <c r="A17" s="75"/>
      <c r="B17" s="117" t="s">
        <v>20</v>
      </c>
      <c r="C17" s="118"/>
      <c r="D17" s="75"/>
      <c r="E17" s="119">
        <f>SUM(E9:E16)</f>
        <v>2800000</v>
      </c>
      <c r="F17" s="119">
        <f>SUM(F9:F16)</f>
        <v>0</v>
      </c>
      <c r="G17" s="119">
        <f>SUM(G9:G16)</f>
        <v>3400000</v>
      </c>
      <c r="H17" s="119">
        <f>SUM(H9:H16)</f>
        <v>0</v>
      </c>
      <c r="I17" s="119">
        <f>SUM(I9:I16)</f>
        <v>2500000</v>
      </c>
      <c r="J17" s="75"/>
      <c r="K17" s="132"/>
      <c r="L17" s="75"/>
    </row>
    <row r="18" spans="1:12" x14ac:dyDescent="0.25">
      <c r="A18" s="75"/>
      <c r="B18" s="112"/>
      <c r="C18" s="114"/>
      <c r="D18" s="75"/>
      <c r="E18" s="115"/>
      <c r="F18" s="115"/>
      <c r="G18" s="115"/>
      <c r="H18" s="115"/>
      <c r="I18" s="115"/>
      <c r="J18" s="75"/>
      <c r="K18" s="113"/>
      <c r="L18" s="75"/>
    </row>
    <row r="19" spans="1:12" x14ac:dyDescent="0.25">
      <c r="A19" s="75"/>
      <c r="B19" s="120" t="s">
        <v>55</v>
      </c>
      <c r="C19" s="121"/>
      <c r="D19" s="75"/>
      <c r="E19" s="120">
        <f>INDEX(Assumptions!$E$14:$J$14, MATCH(Assumptions!$B$8, Assumptions!$E$10:$J$10,0))/INDEX(Assumptions!$E$14:$J$14, MATCH(Input!E$7, Assumptions!$E$10:$J$10,0))</f>
        <v>1.1019510391261114</v>
      </c>
      <c r="F19" s="120">
        <f>INDEX(Assumptions!$E$14:$J$14, MATCH(Assumptions!$B$8, Assumptions!$E$10:$J$10,0))/INDEX(Assumptions!$E$14:$J$14, MATCH(Input!F$7, Assumptions!$E$10:$J$10,0))</f>
        <v>1.0810468188716866</v>
      </c>
      <c r="G19" s="120">
        <f>INDEX(Assumptions!$E$14:$J$14, MATCH(Assumptions!$B$8, Assumptions!$E$10:$J$10,0))/INDEX(Assumptions!$E$14:$J$14, MATCH(Input!G$7, Assumptions!$E$10:$J$10,0))</f>
        <v>1.0590432110539443</v>
      </c>
      <c r="H19" s="120">
        <f>INDEX(Assumptions!$E$14:$J$14, MATCH(Assumptions!$B$8, Assumptions!$E$10:$J$10,0))/INDEX(Assumptions!$E$14:$J$14, MATCH(Input!H$7, Assumptions!$E$10:$J$10,0))</f>
        <v>1.0424380039119834</v>
      </c>
      <c r="I19" s="120">
        <f>INDEX(Assumptions!$E$14:$J$14, MATCH(Assumptions!$B$8, Assumptions!$E$10:$J$10,0))/INDEX(Assumptions!$E$14:$J$14, MATCH(Input!I$7, Assumptions!$E$10:$J$10,0))</f>
        <v>1.0219980430509639</v>
      </c>
      <c r="J19" s="75"/>
      <c r="K19" s="114"/>
      <c r="L19" s="75"/>
    </row>
    <row r="20" spans="1:12" x14ac:dyDescent="0.25">
      <c r="A20" s="75"/>
      <c r="B20" s="122" t="s">
        <v>54</v>
      </c>
      <c r="C20" s="122"/>
      <c r="D20" s="75"/>
      <c r="E20" s="119">
        <f>E17*E19</f>
        <v>3085462.909553112</v>
      </c>
      <c r="F20" s="119">
        <f t="shared" ref="F20:I20" si="0">F17*F19</f>
        <v>0</v>
      </c>
      <c r="G20" s="119">
        <f t="shared" si="0"/>
        <v>3600746.9175834106</v>
      </c>
      <c r="H20" s="119">
        <f t="shared" si="0"/>
        <v>0</v>
      </c>
      <c r="I20" s="119">
        <f t="shared" si="0"/>
        <v>2554995.1076274095</v>
      </c>
      <c r="J20" s="75"/>
      <c r="K20" s="119">
        <f>SUM(E20:I20)</f>
        <v>9241204.9347639307</v>
      </c>
      <c r="L20" s="75"/>
    </row>
    <row r="21" spans="1:12" x14ac:dyDescent="0.25">
      <c r="A21" s="75"/>
      <c r="B21" s="4"/>
      <c r="C21" s="4"/>
      <c r="D21" s="75"/>
      <c r="E21" s="4"/>
      <c r="F21" s="4"/>
      <c r="G21" s="4"/>
      <c r="H21" s="4"/>
      <c r="I21" s="4"/>
      <c r="J21" s="75"/>
      <c r="K21" s="114"/>
      <c r="L21" s="75"/>
    </row>
    <row r="22" spans="1:12" x14ac:dyDescent="0.25">
      <c r="A22" s="75"/>
      <c r="B22" s="114"/>
      <c r="C22" s="114"/>
      <c r="D22" s="75"/>
      <c r="E22" s="114"/>
      <c r="F22" s="114"/>
      <c r="G22" s="114"/>
      <c r="H22" s="114"/>
      <c r="I22" s="114"/>
      <c r="J22" s="75"/>
      <c r="K22" s="114"/>
      <c r="L22" s="75"/>
    </row>
    <row r="23" spans="1:12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x14ac:dyDescent="0.2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x14ac:dyDescent="0.2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</row>
    <row r="26" spans="1:12" x14ac:dyDescent="0.2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2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</row>
    <row r="28" spans="1:12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</row>
    <row r="29" spans="1:12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2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</row>
    <row r="31" spans="1:12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</row>
    <row r="32" spans="1:12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</row>
  </sheetData>
  <dataValidations count="1">
    <dataValidation type="list" allowBlank="1" showInputMessage="1" showErrorMessage="1" sqref="D28:D29 C22:C29 C9:C18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37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4.7109375" style="1" bestFit="1" customWidth="1"/>
    <col min="4" max="5" width="11.140625" style="1" customWidth="1"/>
    <col min="6" max="7" width="2.85546875" style="1" customWidth="1"/>
    <col min="8" max="12" width="12.140625" style="1" customWidth="1"/>
    <col min="13" max="13" width="2.140625" style="1" customWidth="1"/>
    <col min="14" max="14" width="10.85546875" style="1" bestFit="1" customWidth="1"/>
    <col min="15" max="15" width="12.28515625" style="1" bestFit="1" customWidth="1"/>
    <col min="16" max="17" width="9.85546875" style="1" bestFit="1" customWidth="1"/>
    <col min="18" max="16384" width="9.140625" style="1"/>
  </cols>
  <sheetData>
    <row r="1" spans="1:17" ht="21" x14ac:dyDescent="0.35">
      <c r="A1" s="13" t="str">
        <f>Assumptions!A1</f>
        <v>General IT compliance</v>
      </c>
      <c r="B1" s="13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15.75" x14ac:dyDescent="0.25">
      <c r="A2" s="12" t="str">
        <f>Assumptions!A2</f>
        <v>VPN</v>
      </c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7" s="30" customFormat="1" ht="15" x14ac:dyDescent="0.25">
      <c r="A3" s="29" t="s">
        <v>24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N3" s="103" t="b">
        <f>SUM(N7:N30)=0</f>
        <v>1</v>
      </c>
    </row>
    <row r="4" spans="1:17" s="2" customFormat="1" ht="12.7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7" s="2" customFormat="1" ht="12.75" customHeight="1" x14ac:dyDescent="0.2">
      <c r="B5" s="16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7" ht="12.75" customHeight="1" x14ac:dyDescent="0.2">
      <c r="A6" s="6"/>
      <c r="F6" s="15"/>
    </row>
    <row r="7" spans="1:17" ht="12.75" customHeight="1" x14ac:dyDescent="0.2">
      <c r="A7" s="6"/>
      <c r="B7" s="88"/>
      <c r="C7" s="105" t="s">
        <v>37</v>
      </c>
      <c r="D7" s="17" t="s">
        <v>18</v>
      </c>
      <c r="E7" s="17" t="s">
        <v>8</v>
      </c>
      <c r="F7" s="15"/>
      <c r="G7" s="4"/>
      <c r="H7" s="17" t="s">
        <v>56</v>
      </c>
      <c r="I7" s="18"/>
      <c r="J7" s="18"/>
      <c r="K7" s="18"/>
      <c r="L7" s="18"/>
    </row>
    <row r="8" spans="1:17" s="88" customFormat="1" ht="12.75" customHeight="1" x14ac:dyDescent="0.2">
      <c r="A8" s="6"/>
      <c r="B8" s="6"/>
      <c r="C8" s="6"/>
      <c r="D8" s="6"/>
      <c r="E8" s="6"/>
      <c r="F8" s="15"/>
      <c r="G8" s="4"/>
      <c r="H8" s="106" t="s">
        <v>12</v>
      </c>
      <c r="I8" s="106" t="s">
        <v>13</v>
      </c>
      <c r="J8" s="106" t="s">
        <v>14</v>
      </c>
      <c r="K8" s="106" t="s">
        <v>15</v>
      </c>
      <c r="L8" s="106" t="s">
        <v>16</v>
      </c>
    </row>
    <row r="9" spans="1:17" ht="12.75" customHeight="1" x14ac:dyDescent="0.2">
      <c r="A9" s="88"/>
      <c r="B9" s="88"/>
      <c r="C9" s="4"/>
      <c r="D9" s="4"/>
      <c r="E9" s="4"/>
      <c r="F9" s="15"/>
      <c r="G9" s="88"/>
      <c r="H9" s="88"/>
      <c r="I9" s="88"/>
      <c r="J9" s="88"/>
      <c r="K9" s="88"/>
      <c r="L9" s="88"/>
    </row>
    <row r="10" spans="1:17" ht="12.75" customHeight="1" x14ac:dyDescent="0.2">
      <c r="A10" s="6"/>
      <c r="C10" s="96" t="s">
        <v>38</v>
      </c>
      <c r="D10" s="97" t="s">
        <v>4</v>
      </c>
      <c r="E10" s="98" t="s">
        <v>1</v>
      </c>
      <c r="F10" s="3"/>
      <c r="G10" s="3"/>
      <c r="H10" s="7">
        <f>Input!$K$20/5</f>
        <v>1848240.9869527861</v>
      </c>
      <c r="I10" s="7">
        <f>Input!$K$20/5</f>
        <v>1848240.9869527861</v>
      </c>
      <c r="J10" s="7">
        <f>Input!$K$20/5</f>
        <v>1848240.9869527861</v>
      </c>
      <c r="K10" s="7">
        <f>Input!$K$20/5</f>
        <v>1848240.9869527861</v>
      </c>
      <c r="L10" s="7">
        <f>Input!$K$20/5</f>
        <v>1848240.9869527861</v>
      </c>
    </row>
    <row r="11" spans="1:17" ht="12.75" customHeight="1" x14ac:dyDescent="0.25">
      <c r="A11" s="6"/>
      <c r="C11" s="99"/>
      <c r="D11" s="97"/>
      <c r="E11" s="98"/>
      <c r="F11" s="3"/>
      <c r="G11" s="3"/>
      <c r="H11" s="7"/>
      <c r="I11" s="7"/>
      <c r="J11" s="7"/>
      <c r="K11" s="7"/>
      <c r="L11" s="7"/>
      <c r="Q11"/>
    </row>
    <row r="12" spans="1:17" ht="12.75" customHeight="1" x14ac:dyDescent="0.25">
      <c r="A12" s="6"/>
      <c r="C12" s="88"/>
      <c r="D12" s="88"/>
      <c r="E12" s="88"/>
      <c r="F12" s="3"/>
      <c r="G12" s="3"/>
      <c r="Q12"/>
    </row>
    <row r="13" spans="1:17" ht="12.75" customHeight="1" x14ac:dyDescent="0.25">
      <c r="A13" s="6"/>
      <c r="C13" s="88"/>
      <c r="D13" s="88"/>
      <c r="E13" s="88"/>
      <c r="F13" s="3"/>
      <c r="G13" s="3"/>
      <c r="Q13"/>
    </row>
    <row r="14" spans="1:17" ht="12.75" customHeight="1" x14ac:dyDescent="0.25">
      <c r="A14" s="6"/>
      <c r="C14" s="96"/>
      <c r="D14" s="97"/>
      <c r="E14" s="98"/>
      <c r="F14" s="3"/>
      <c r="G14" s="3"/>
      <c r="H14" s="7"/>
      <c r="I14" s="7"/>
      <c r="J14" s="7"/>
      <c r="K14" s="7"/>
      <c r="L14" s="7"/>
      <c r="Q14"/>
    </row>
    <row r="15" spans="1:17" ht="12.75" customHeight="1" x14ac:dyDescent="0.25">
      <c r="A15" s="6"/>
      <c r="C15" s="96"/>
      <c r="D15" s="97"/>
      <c r="E15" s="98"/>
      <c r="F15" s="3"/>
      <c r="G15" s="3"/>
      <c r="H15" s="7"/>
      <c r="I15" s="7"/>
      <c r="J15" s="7"/>
      <c r="K15" s="7"/>
      <c r="L15" s="7"/>
      <c r="Q15"/>
    </row>
    <row r="16" spans="1:17" ht="12.7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/>
    </row>
    <row r="17" spans="1:17" ht="12.7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/>
    </row>
    <row r="18" spans="1:17" ht="12.75" customHeight="1" x14ac:dyDescent="0.2">
      <c r="A18" s="6"/>
      <c r="C18" s="96"/>
      <c r="D18" s="97"/>
      <c r="E18" s="98"/>
      <c r="F18" s="88"/>
      <c r="H18" s="7"/>
      <c r="I18" s="7"/>
      <c r="J18" s="7"/>
      <c r="K18" s="7"/>
      <c r="L18" s="7"/>
    </row>
    <row r="19" spans="1:17" s="88" customFormat="1" ht="12.75" customHeight="1" x14ac:dyDescent="0.2">
      <c r="A19" s="6"/>
      <c r="C19" s="96"/>
      <c r="D19" s="97"/>
      <c r="E19" s="98"/>
      <c r="H19" s="7"/>
      <c r="I19" s="7"/>
      <c r="J19" s="7"/>
      <c r="K19" s="7"/>
      <c r="L19" s="7"/>
    </row>
    <row r="20" spans="1:17" ht="12.75" customHeight="1" x14ac:dyDescent="0.25">
      <c r="F20" s="3"/>
      <c r="G20" s="3"/>
      <c r="Q20"/>
    </row>
    <row r="21" spans="1:17" ht="12.75" customHeight="1" x14ac:dyDescent="0.25">
      <c r="F21" s="3"/>
      <c r="G21" s="3"/>
      <c r="Q21"/>
    </row>
    <row r="22" spans="1:17" ht="12.75" customHeight="1" x14ac:dyDescent="0.25">
      <c r="C22" s="5" t="s">
        <v>10</v>
      </c>
      <c r="F22" s="3"/>
      <c r="G22" s="3"/>
      <c r="Q22"/>
    </row>
    <row r="23" spans="1:17" ht="12.75" customHeight="1" x14ac:dyDescent="0.2">
      <c r="C23" s="22" t="s">
        <v>1</v>
      </c>
      <c r="D23" s="22" t="s">
        <v>4</v>
      </c>
      <c r="E23" s="22"/>
      <c r="F23" s="3"/>
      <c r="G23" s="3"/>
      <c r="H23" s="23">
        <f t="shared" ref="H23:H28" si="0">SUMIFS(H$10:H$19,$E$10:$E$19,$C23,$D$10:$D$19,$D23)</f>
        <v>1848240.9869527861</v>
      </c>
      <c r="I23" s="23">
        <f t="shared" ref="I23:L23" si="1">SUMIFS(I$10:I$19,$E$10:$E$19,$C23,$D$10:$D$19,$D23)</f>
        <v>1848240.9869527861</v>
      </c>
      <c r="J23" s="23">
        <f t="shared" si="1"/>
        <v>1848240.9869527861</v>
      </c>
      <c r="K23" s="23">
        <f t="shared" si="1"/>
        <v>1848240.9869527861</v>
      </c>
      <c r="L23" s="23">
        <f t="shared" si="1"/>
        <v>1848240.9869527861</v>
      </c>
    </row>
    <row r="24" spans="1:17" ht="12.75" customHeight="1" x14ac:dyDescent="0.2">
      <c r="C24" s="4" t="s">
        <v>0</v>
      </c>
      <c r="D24" s="4" t="s">
        <v>4</v>
      </c>
      <c r="E24" s="4"/>
      <c r="F24" s="3"/>
      <c r="G24" s="3"/>
      <c r="H24" s="8">
        <f t="shared" si="0"/>
        <v>0</v>
      </c>
      <c r="I24" s="8">
        <f t="shared" ref="I24:L28" si="2">SUMIFS(I$10:I$19,$E$10:$E$19,$C24,$D$10:$D$19,$D24)</f>
        <v>0</v>
      </c>
      <c r="J24" s="8">
        <f t="shared" si="2"/>
        <v>0</v>
      </c>
      <c r="K24" s="8">
        <f t="shared" si="2"/>
        <v>0</v>
      </c>
      <c r="L24" s="8">
        <f t="shared" si="2"/>
        <v>0</v>
      </c>
    </row>
    <row r="25" spans="1:17" ht="12.75" customHeight="1" x14ac:dyDescent="0.2">
      <c r="C25" s="4" t="s">
        <v>3</v>
      </c>
      <c r="D25" s="4" t="s">
        <v>4</v>
      </c>
      <c r="E25" s="4"/>
      <c r="F25" s="3"/>
      <c r="G25" s="3"/>
      <c r="H25" s="8">
        <f t="shared" si="0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</row>
    <row r="26" spans="1:17" ht="12.75" customHeight="1" x14ac:dyDescent="0.2">
      <c r="C26" s="4" t="s">
        <v>1</v>
      </c>
      <c r="D26" s="4" t="s">
        <v>36</v>
      </c>
      <c r="E26" s="4"/>
      <c r="F26" s="3"/>
      <c r="G26" s="3"/>
      <c r="H26" s="8">
        <f t="shared" si="0"/>
        <v>0</v>
      </c>
      <c r="I26" s="8">
        <f t="shared" si="2"/>
        <v>0</v>
      </c>
      <c r="J26" s="8">
        <f t="shared" si="2"/>
        <v>0</v>
      </c>
      <c r="K26" s="8">
        <f t="shared" si="2"/>
        <v>0</v>
      </c>
      <c r="L26" s="8">
        <f t="shared" si="2"/>
        <v>0</v>
      </c>
    </row>
    <row r="27" spans="1:17" ht="12.75" customHeight="1" x14ac:dyDescent="0.2">
      <c r="C27" s="4" t="s">
        <v>0</v>
      </c>
      <c r="D27" s="4" t="s">
        <v>36</v>
      </c>
      <c r="E27" s="4"/>
      <c r="F27" s="3"/>
      <c r="G27" s="3"/>
      <c r="H27" s="8">
        <f t="shared" si="0"/>
        <v>0</v>
      </c>
      <c r="I27" s="8">
        <f t="shared" si="2"/>
        <v>0</v>
      </c>
      <c r="J27" s="8">
        <f t="shared" si="2"/>
        <v>0</v>
      </c>
      <c r="K27" s="8">
        <f t="shared" si="2"/>
        <v>0</v>
      </c>
      <c r="L27" s="8">
        <f t="shared" si="2"/>
        <v>0</v>
      </c>
    </row>
    <row r="28" spans="1:17" ht="12.75" customHeight="1" x14ac:dyDescent="0.2">
      <c r="C28" s="4" t="s">
        <v>3</v>
      </c>
      <c r="D28" s="4" t="s">
        <v>36</v>
      </c>
      <c r="E28" s="6"/>
      <c r="F28" s="3"/>
      <c r="G28" s="3"/>
      <c r="H28" s="8">
        <f t="shared" si="0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</row>
    <row r="29" spans="1:17" ht="12.75" customHeight="1" x14ac:dyDescent="0.2">
      <c r="C29" s="9" t="s">
        <v>52</v>
      </c>
      <c r="D29" s="9"/>
      <c r="E29" s="9"/>
      <c r="F29" s="3"/>
      <c r="G29" s="3"/>
      <c r="H29" s="10">
        <f>SUM(H23:H28)</f>
        <v>1848240.9869527861</v>
      </c>
      <c r="I29" s="10">
        <f t="shared" ref="I29:L29" si="3">SUM(I23:I28)</f>
        <v>1848240.9869527861</v>
      </c>
      <c r="J29" s="10">
        <f t="shared" si="3"/>
        <v>1848240.9869527861</v>
      </c>
      <c r="K29" s="10">
        <f t="shared" si="3"/>
        <v>1848240.9869527861</v>
      </c>
      <c r="L29" s="10">
        <f t="shared" si="3"/>
        <v>1848240.9869527861</v>
      </c>
      <c r="M29" s="34"/>
    </row>
    <row r="30" spans="1:17" ht="12.75" customHeight="1" x14ac:dyDescent="0.2">
      <c r="C30" s="89" t="s">
        <v>9</v>
      </c>
      <c r="D30" s="89"/>
      <c r="E30" s="89"/>
      <c r="F30" s="3"/>
      <c r="G30" s="3"/>
      <c r="H30" s="90">
        <f>H29-SUM(H10:H19)</f>
        <v>0</v>
      </c>
      <c r="I30" s="90">
        <f t="shared" ref="I30:L30" si="4">I29-SUM(I10:I19)</f>
        <v>0</v>
      </c>
      <c r="J30" s="90">
        <f t="shared" si="4"/>
        <v>0</v>
      </c>
      <c r="K30" s="90">
        <f t="shared" si="4"/>
        <v>0</v>
      </c>
      <c r="L30" s="90">
        <f t="shared" si="4"/>
        <v>0</v>
      </c>
      <c r="N30" s="90">
        <f>SUM(H30:L30)</f>
        <v>0</v>
      </c>
    </row>
    <row r="31" spans="1:17" ht="12.75" customHeight="1" x14ac:dyDescent="0.2">
      <c r="F31" s="3"/>
      <c r="G31" s="3"/>
    </row>
    <row r="32" spans="1:17" ht="12.75" customHeight="1" x14ac:dyDescent="0.2">
      <c r="C32" s="134" t="str">
        <f>"NPV ($ "&amp;Assumptions!$B$17&amp;")"</f>
        <v>NPV ($ 2020/21)</v>
      </c>
      <c r="D32" s="135">
        <f>NPV(Assumptions!$B$6,$H$29:$L$29)</f>
        <v>8525162.8570601642</v>
      </c>
      <c r="F32" s="3"/>
      <c r="G32" s="3"/>
    </row>
    <row r="33" spans="7:17" ht="12.75" customHeight="1" x14ac:dyDescent="0.2">
      <c r="G33" s="3"/>
      <c r="N33" s="88"/>
      <c r="O33" s="107"/>
      <c r="P33" s="107"/>
      <c r="Q33" s="107"/>
    </row>
    <row r="34" spans="7:17" ht="12.75" customHeight="1" x14ac:dyDescent="0.2">
      <c r="G34" s="3"/>
    </row>
    <row r="35" spans="7:17" ht="12.75" customHeight="1" x14ac:dyDescent="0.2"/>
    <row r="36" spans="7:17" ht="12.75" customHeight="1" x14ac:dyDescent="0.2"/>
    <row r="37" spans="7:17" ht="12.75" customHeight="1" x14ac:dyDescent="0.2"/>
  </sheetData>
  <sortState ref="B42:B44">
    <sortCondition ref="B42:B44"/>
  </sortState>
  <conditionalFormatting sqref="H30:L30">
    <cfRule type="expression" dxfId="1" priority="6">
      <formula>ABS(H30)&gt;0.001</formula>
    </cfRule>
  </conditionalFormatting>
  <conditionalFormatting sqref="N30">
    <cfRule type="expression" dxfId="0" priority="1">
      <formula>ABS(N30)&gt;0.001</formula>
    </cfRule>
  </conditionalFormatting>
  <dataValidations count="2">
    <dataValidation type="list" allowBlank="1" showInputMessage="1" showErrorMessage="1" sqref="D18:D19 D14:D15 D10:D11">
      <formula1>"CapEx, OpEx"</formula1>
    </dataValidation>
    <dataValidation type="list" allowBlank="1" showInputMessage="1" showErrorMessage="1" sqref="E18:E19 E14:E15 E10:E11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Output</vt:lpstr>
      <vt:lpstr>Summary</vt:lpstr>
      <vt:lpstr>Assumptions</vt:lpstr>
      <vt:lpstr>Input</vt:lpstr>
      <vt:lpstr>Option 1</vt:lpstr>
      <vt:lpstr>Conv_2021</vt:lpstr>
      <vt:lpstr>Option1_categories</vt:lpstr>
      <vt:lpstr>Option1_costs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2019-11-18T04:38:17Z</dcterms:created>
  <dcterms:modified xsi:type="dcterms:W3CDTF">2020-01-28T07:36:14Z</dcterms:modified>
</cp:coreProperties>
</file>