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 activeTab="6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Q44" i="11" l="1"/>
  <c r="Q44" i="10"/>
  <c r="Q44" i="9"/>
  <c r="Q44" i="8"/>
  <c r="Q44" i="2"/>
  <c r="L175" i="1"/>
  <c r="L174" i="1"/>
  <c r="L173" i="1"/>
  <c r="T27" i="2" l="1"/>
  <c r="T27" i="10" s="1"/>
  <c r="K10" i="1"/>
  <c r="T28" i="2"/>
  <c r="T28" i="8" s="1"/>
  <c r="T34" i="11"/>
  <c r="T46" i="11"/>
  <c r="T45" i="11"/>
  <c r="T43" i="11"/>
  <c r="T42" i="11"/>
  <c r="T41" i="11"/>
  <c r="T40" i="11"/>
  <c r="T39" i="11"/>
  <c r="T38" i="11"/>
  <c r="T36" i="11"/>
  <c r="T35" i="11"/>
  <c r="T33" i="11"/>
  <c r="T32" i="11"/>
  <c r="T31" i="11"/>
  <c r="T30" i="11"/>
  <c r="T29" i="11"/>
  <c r="T28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3" i="10"/>
  <c r="T42" i="10"/>
  <c r="T41" i="10"/>
  <c r="T40" i="10"/>
  <c r="T39" i="10"/>
  <c r="T38" i="10"/>
  <c r="T36" i="10"/>
  <c r="T35" i="10"/>
  <c r="T33" i="10"/>
  <c r="T32" i="10"/>
  <c r="T31" i="10"/>
  <c r="T30" i="10"/>
  <c r="T29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3" i="9"/>
  <c r="T42" i="9"/>
  <c r="T41" i="9"/>
  <c r="T40" i="9"/>
  <c r="T39" i="9"/>
  <c r="T38" i="9"/>
  <c r="T36" i="9"/>
  <c r="T35" i="9"/>
  <c r="T34" i="9"/>
  <c r="T33" i="9"/>
  <c r="T32" i="9"/>
  <c r="T31" i="9"/>
  <c r="T30" i="9"/>
  <c r="T29" i="9"/>
  <c r="T26" i="9"/>
  <c r="T25" i="9"/>
  <c r="T24" i="9"/>
  <c r="T23" i="9"/>
  <c r="T22" i="9"/>
  <c r="T21" i="9"/>
  <c r="T20" i="9"/>
  <c r="T19" i="9"/>
  <c r="T18" i="9"/>
  <c r="T17" i="9"/>
  <c r="T46" i="8"/>
  <c r="T45" i="8"/>
  <c r="T43" i="8"/>
  <c r="T42" i="8"/>
  <c r="T41" i="8"/>
  <c r="T40" i="8"/>
  <c r="T39" i="8"/>
  <c r="T38" i="8"/>
  <c r="T36" i="8"/>
  <c r="T35" i="8"/>
  <c r="T33" i="8"/>
  <c r="T32" i="8"/>
  <c r="T31" i="8"/>
  <c r="T30" i="8"/>
  <c r="T29" i="8"/>
  <c r="T26" i="8"/>
  <c r="T25" i="8"/>
  <c r="T24" i="8"/>
  <c r="T23" i="8"/>
  <c r="T22" i="8"/>
  <c r="T21" i="8"/>
  <c r="T20" i="8"/>
  <c r="T19" i="8"/>
  <c r="T18" i="8"/>
  <c r="T17" i="8"/>
  <c r="U187" i="1"/>
  <c r="T187" i="1"/>
  <c r="S187" i="1"/>
  <c r="R187" i="1"/>
  <c r="Q187" i="1"/>
  <c r="P187" i="1"/>
  <c r="O187" i="1"/>
  <c r="T28" i="10" l="1"/>
  <c r="T28" i="9"/>
  <c r="T27" i="11"/>
  <c r="T27" i="8"/>
  <c r="T27" i="9"/>
  <c r="P193" i="1"/>
  <c r="P194" i="1"/>
  <c r="P195" i="1"/>
  <c r="P196" i="1"/>
  <c r="P192" i="1"/>
  <c r="T193" i="1"/>
  <c r="T194" i="1"/>
  <c r="T195" i="1"/>
  <c r="T196" i="1"/>
  <c r="T192" i="1"/>
  <c r="R195" i="1"/>
  <c r="R196" i="1"/>
  <c r="R192" i="1"/>
  <c r="R193" i="1"/>
  <c r="R194" i="1"/>
  <c r="Q194" i="1"/>
  <c r="Q195" i="1"/>
  <c r="Q196" i="1"/>
  <c r="Q192" i="1"/>
  <c r="Q193" i="1"/>
  <c r="U194" i="1"/>
  <c r="U195" i="1"/>
  <c r="U196" i="1"/>
  <c r="U192" i="1"/>
  <c r="U193" i="1"/>
  <c r="O196" i="1"/>
  <c r="O192" i="1"/>
  <c r="O195" i="1"/>
  <c r="O194" i="1"/>
  <c r="O193" i="1"/>
  <c r="S196" i="1"/>
  <c r="S192" i="1"/>
  <c r="S193" i="1"/>
  <c r="S194" i="1"/>
  <c r="S195" i="1"/>
  <c r="T44" i="2"/>
  <c r="T37" i="2" s="1"/>
  <c r="T37" i="9" s="1"/>
  <c r="T34" i="10"/>
  <c r="T34" i="8"/>
  <c r="T37" i="11"/>
  <c r="T37" i="10" l="1"/>
  <c r="T37" i="8"/>
  <c r="T44" i="8"/>
  <c r="T44" i="11"/>
  <c r="T44" i="10"/>
  <c r="T44" i="9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J122" i="11"/>
  <c r="J124" i="11"/>
  <c r="J125" i="11"/>
  <c r="J123" i="11"/>
  <c r="D104" i="10"/>
  <c r="D103" i="10"/>
  <c r="J125" i="10"/>
  <c r="J123" i="10"/>
  <c r="J122" i="10"/>
  <c r="J124" i="10"/>
  <c r="D104" i="9"/>
  <c r="D103" i="9"/>
  <c r="J122" i="9"/>
  <c r="J124" i="9"/>
  <c r="J125" i="9"/>
  <c r="J123" i="9"/>
  <c r="D104" i="8"/>
  <c r="D103" i="8"/>
  <c r="J122" i="8"/>
  <c r="J124" i="8"/>
  <c r="J125" i="8"/>
  <c r="J123" i="8"/>
  <c r="L148" i="1"/>
  <c r="D123" i="2"/>
  <c r="I18" i="7" l="1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185" i="1"/>
  <c r="D69" i="2" s="1"/>
  <c r="D175" i="1"/>
  <c r="D174" i="1"/>
  <c r="D173" i="1"/>
  <c r="J128" i="1"/>
  <c r="K125" i="1"/>
  <c r="K148" i="1" s="1"/>
  <c r="K172" i="1" s="1"/>
  <c r="J117" i="1"/>
  <c r="L103" i="1"/>
  <c r="L100" i="1"/>
  <c r="L99" i="1"/>
  <c r="M125" i="1" s="1"/>
  <c r="M148" i="1" s="1"/>
  <c r="L172" i="1" s="1"/>
  <c r="K99" i="1"/>
  <c r="J99" i="1"/>
  <c r="J125" i="1" s="1"/>
  <c r="J148" i="1" s="1"/>
  <c r="J172" i="1" s="1"/>
  <c r="J75" i="1"/>
  <c r="K75" i="1" s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D13" i="2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O2" i="2" s="1"/>
  <c r="O146" i="2" s="1"/>
  <c r="A2" i="1"/>
  <c r="A1" i="1"/>
  <c r="I12" i="2" l="1"/>
  <c r="I13" i="2"/>
  <c r="R71" i="2"/>
  <c r="R78" i="2" s="1"/>
  <c r="U71" i="2"/>
  <c r="U78" i="2" s="1"/>
  <c r="S71" i="2"/>
  <c r="S78" i="2" s="1"/>
  <c r="P71" i="2"/>
  <c r="T71" i="2"/>
  <c r="T78" i="2" s="1"/>
  <c r="Q71" i="2"/>
  <c r="Q78" i="2" s="1"/>
  <c r="O71" i="2"/>
  <c r="O78" i="2" s="1"/>
  <c r="D11" i="11"/>
  <c r="D11" i="10"/>
  <c r="D11" i="9"/>
  <c r="D11" i="8"/>
  <c r="V187" i="1"/>
  <c r="A1" i="2"/>
  <c r="A1" i="11"/>
  <c r="A1" i="10"/>
  <c r="A1" i="9"/>
  <c r="A1" i="8"/>
  <c r="D10" i="11"/>
  <c r="D10" i="10"/>
  <c r="D10" i="9"/>
  <c r="D10" i="8"/>
  <c r="D14" i="10"/>
  <c r="D14" i="11"/>
  <c r="D14" i="9"/>
  <c r="D14" i="8"/>
  <c r="P2" i="1"/>
  <c r="O2" i="8"/>
  <c r="O146" i="8" s="1"/>
  <c r="O2" i="11"/>
  <c r="O146" i="11" s="1"/>
  <c r="O2" i="10"/>
  <c r="O146" i="10" s="1"/>
  <c r="O2" i="9"/>
  <c r="O146" i="9" s="1"/>
  <c r="D12" i="8"/>
  <c r="D12" i="11"/>
  <c r="D12" i="10"/>
  <c r="D12" i="9"/>
  <c r="D70" i="11"/>
  <c r="D70" i="9"/>
  <c r="D70" i="10"/>
  <c r="D70" i="8"/>
  <c r="D9" i="11"/>
  <c r="D9" i="10"/>
  <c r="D9" i="9"/>
  <c r="D9" i="8"/>
  <c r="D13" i="11"/>
  <c r="D13" i="10"/>
  <c r="D13" i="9"/>
  <c r="D13" i="8"/>
  <c r="D10" i="2"/>
  <c r="I10" i="2" s="1"/>
  <c r="D14" i="2"/>
  <c r="I14" i="2" s="1"/>
  <c r="D69" i="11"/>
  <c r="D69" i="9"/>
  <c r="D69" i="10"/>
  <c r="D69" i="8"/>
  <c r="D11" i="2"/>
  <c r="I11" i="2" s="1"/>
  <c r="D70" i="2"/>
  <c r="O2" i="7"/>
  <c r="O8" i="7" s="1"/>
  <c r="P78" i="2"/>
  <c r="L168" i="1"/>
  <c r="M75" i="1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L177" i="1" l="1"/>
  <c r="L178" i="1" s="1"/>
  <c r="P18" i="8" s="1"/>
  <c r="P51" i="8" s="1"/>
  <c r="W187" i="1"/>
  <c r="P18" i="10"/>
  <c r="P18" i="11"/>
  <c r="P51" i="11" s="1"/>
  <c r="P18" i="2"/>
  <c r="P18" i="9"/>
  <c r="P51" i="9" s="1"/>
  <c r="I13" i="10"/>
  <c r="I9" i="10"/>
  <c r="I12" i="11"/>
  <c r="W70" i="11" s="1"/>
  <c r="I14" i="9"/>
  <c r="I10" i="9"/>
  <c r="V195" i="1"/>
  <c r="V71" i="11"/>
  <c r="V196" i="1"/>
  <c r="V192" i="1"/>
  <c r="V193" i="1"/>
  <c r="V194" i="1"/>
  <c r="V71" i="2"/>
  <c r="I11" i="11"/>
  <c r="P80" i="2"/>
  <c r="P76" i="2"/>
  <c r="P77" i="2"/>
  <c r="P79" i="2"/>
  <c r="I13" i="11"/>
  <c r="I9" i="11"/>
  <c r="I12" i="8"/>
  <c r="X69" i="8" s="1"/>
  <c r="I14" i="11"/>
  <c r="I10" i="10"/>
  <c r="I11" i="8"/>
  <c r="O76" i="2"/>
  <c r="O80" i="2"/>
  <c r="O79" i="2"/>
  <c r="O77" i="2"/>
  <c r="S80" i="2"/>
  <c r="S97" i="2" s="1"/>
  <c r="S79" i="2"/>
  <c r="S77" i="2"/>
  <c r="S76" i="2"/>
  <c r="I13" i="8"/>
  <c r="I9" i="8"/>
  <c r="I12" i="9"/>
  <c r="Q2" i="1"/>
  <c r="P2" i="11"/>
  <c r="P146" i="11" s="1"/>
  <c r="P2" i="10"/>
  <c r="P146" i="10" s="1"/>
  <c r="P2" i="9"/>
  <c r="P146" i="9" s="1"/>
  <c r="P2" i="8"/>
  <c r="P146" i="8" s="1"/>
  <c r="P2" i="2"/>
  <c r="P146" i="2" s="1"/>
  <c r="P2" i="7"/>
  <c r="P8" i="7" s="1"/>
  <c r="I14" i="10"/>
  <c r="I10" i="11"/>
  <c r="I11" i="9"/>
  <c r="Q80" i="2"/>
  <c r="Q77" i="2"/>
  <c r="Q79" i="2"/>
  <c r="Q76" i="2"/>
  <c r="U80" i="2"/>
  <c r="U77" i="2"/>
  <c r="U79" i="2"/>
  <c r="U76" i="2"/>
  <c r="I13" i="9"/>
  <c r="I9" i="9"/>
  <c r="I12" i="10"/>
  <c r="V71" i="10" s="1"/>
  <c r="I14" i="8"/>
  <c r="I10" i="8"/>
  <c r="I11" i="10"/>
  <c r="T80" i="2"/>
  <c r="T76" i="2"/>
  <c r="T77" i="2"/>
  <c r="T79" i="2"/>
  <c r="R80" i="2"/>
  <c r="R79" i="2"/>
  <c r="R76" i="2"/>
  <c r="R77" i="2"/>
  <c r="J177" i="1"/>
  <c r="J178" i="1" s="1"/>
  <c r="P38" i="11" s="1"/>
  <c r="P49" i="11" s="1"/>
  <c r="V18" i="10"/>
  <c r="X187" i="1"/>
  <c r="W70" i="8"/>
  <c r="W70" i="10"/>
  <c r="W70" i="9"/>
  <c r="X69" i="9"/>
  <c r="X69" i="11"/>
  <c r="W69" i="11"/>
  <c r="W69" i="10"/>
  <c r="W69" i="9"/>
  <c r="W70" i="2"/>
  <c r="X69" i="2"/>
  <c r="P51" i="2"/>
  <c r="S91" i="2"/>
  <c r="S88" i="2"/>
  <c r="L75" i="1"/>
  <c r="K177" i="1"/>
  <c r="K178" i="1" s="1"/>
  <c r="P28" i="2" s="1"/>
  <c r="R16" i="1"/>
  <c r="W69" i="8" l="1"/>
  <c r="X69" i="10"/>
  <c r="V71" i="8"/>
  <c r="V80" i="8" s="1"/>
  <c r="V97" i="8" s="1"/>
  <c r="V98" i="8" s="1"/>
  <c r="V99" i="8" s="1"/>
  <c r="X193" i="1"/>
  <c r="X194" i="1"/>
  <c r="X195" i="1"/>
  <c r="X71" i="11"/>
  <c r="X71" i="10"/>
  <c r="X71" i="9"/>
  <c r="X71" i="8"/>
  <c r="X196" i="1"/>
  <c r="X192" i="1"/>
  <c r="X71" i="2"/>
  <c r="V80" i="10"/>
  <c r="V79" i="10"/>
  <c r="V77" i="10"/>
  <c r="V88" i="10" s="1"/>
  <c r="V89" i="10" s="1"/>
  <c r="V90" i="10" s="1"/>
  <c r="V76" i="10"/>
  <c r="V78" i="10"/>
  <c r="V91" i="10" s="1"/>
  <c r="V92" i="10" s="1"/>
  <c r="V93" i="10" s="1"/>
  <c r="Q69" i="8"/>
  <c r="R71" i="8"/>
  <c r="O71" i="8"/>
  <c r="P71" i="8"/>
  <c r="Q71" i="8"/>
  <c r="S71" i="8"/>
  <c r="T71" i="8"/>
  <c r="U71" i="8"/>
  <c r="U70" i="8"/>
  <c r="T70" i="8"/>
  <c r="T69" i="8"/>
  <c r="S70" i="8"/>
  <c r="Q70" i="8"/>
  <c r="R69" i="8"/>
  <c r="O69" i="8"/>
  <c r="R70" i="8"/>
  <c r="O70" i="8"/>
  <c r="P70" i="8"/>
  <c r="P69" i="8"/>
  <c r="S69" i="8"/>
  <c r="U69" i="8"/>
  <c r="V70" i="8"/>
  <c r="V69" i="8"/>
  <c r="P38" i="2"/>
  <c r="P49" i="2" s="1"/>
  <c r="P28" i="8"/>
  <c r="P50" i="8" s="1"/>
  <c r="P38" i="8"/>
  <c r="P49" i="8" s="1"/>
  <c r="P71" i="10"/>
  <c r="Q71" i="10"/>
  <c r="R71" i="10"/>
  <c r="O71" i="10"/>
  <c r="U71" i="10"/>
  <c r="S71" i="10"/>
  <c r="T71" i="10"/>
  <c r="O70" i="10"/>
  <c r="Q70" i="10"/>
  <c r="T69" i="10"/>
  <c r="T70" i="10"/>
  <c r="R69" i="10"/>
  <c r="S69" i="10"/>
  <c r="P69" i="10"/>
  <c r="P70" i="10"/>
  <c r="O69" i="10"/>
  <c r="U69" i="10"/>
  <c r="Q69" i="10"/>
  <c r="U70" i="10"/>
  <c r="R70" i="10"/>
  <c r="S70" i="10"/>
  <c r="V70" i="10"/>
  <c r="V69" i="10"/>
  <c r="R2" i="1"/>
  <c r="Q2" i="11"/>
  <c r="Q146" i="11" s="1"/>
  <c r="Q2" i="10"/>
  <c r="Q146" i="10" s="1"/>
  <c r="Q2" i="9"/>
  <c r="Q146" i="9" s="1"/>
  <c r="Q2" i="8"/>
  <c r="Q146" i="8" s="1"/>
  <c r="Q2" i="2"/>
  <c r="Q146" i="2" s="1"/>
  <c r="Q2" i="7"/>
  <c r="Q8" i="7" s="1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79" i="2"/>
  <c r="V80" i="2"/>
  <c r="V76" i="2"/>
  <c r="V77" i="2"/>
  <c r="V88" i="2" s="1"/>
  <c r="V78" i="2"/>
  <c r="V80" i="11"/>
  <c r="V97" i="11" s="1"/>
  <c r="V98" i="11" s="1"/>
  <c r="V99" i="11" s="1"/>
  <c r="V79" i="11"/>
  <c r="V77" i="11"/>
  <c r="V76" i="11"/>
  <c r="V78" i="11"/>
  <c r="V91" i="11" s="1"/>
  <c r="V92" i="11" s="1"/>
  <c r="V93" i="11" s="1"/>
  <c r="T71" i="11"/>
  <c r="U71" i="11"/>
  <c r="S71" i="11"/>
  <c r="R71" i="11"/>
  <c r="P71" i="11"/>
  <c r="Q71" i="11"/>
  <c r="O71" i="11"/>
  <c r="O70" i="11"/>
  <c r="P70" i="11"/>
  <c r="Q70" i="11"/>
  <c r="R70" i="11"/>
  <c r="S70" i="11"/>
  <c r="T70" i="11"/>
  <c r="U70" i="11"/>
  <c r="Q69" i="11"/>
  <c r="O69" i="11"/>
  <c r="P69" i="11"/>
  <c r="U69" i="11"/>
  <c r="R69" i="11"/>
  <c r="S69" i="11"/>
  <c r="T69" i="11"/>
  <c r="V70" i="11"/>
  <c r="V69" i="11"/>
  <c r="P28" i="9"/>
  <c r="P50" i="9" s="1"/>
  <c r="P38" i="9"/>
  <c r="P49" i="9" s="1"/>
  <c r="R116" i="9"/>
  <c r="X114" i="9"/>
  <c r="X115" i="9"/>
  <c r="U114" i="9"/>
  <c r="V115" i="9"/>
  <c r="U115" i="9"/>
  <c r="Z115" i="9"/>
  <c r="Y116" i="9"/>
  <c r="V114" i="9"/>
  <c r="W116" i="9"/>
  <c r="Q114" i="9"/>
  <c r="R115" i="9"/>
  <c r="P114" i="9"/>
  <c r="Z116" i="9"/>
  <c r="P115" i="9"/>
  <c r="S114" i="9"/>
  <c r="Y115" i="9"/>
  <c r="W115" i="9"/>
  <c r="T115" i="9"/>
  <c r="Z114" i="9"/>
  <c r="Q116" i="9"/>
  <c r="S115" i="9"/>
  <c r="W114" i="9"/>
  <c r="S116" i="9"/>
  <c r="O114" i="9"/>
  <c r="V116" i="9"/>
  <c r="O115" i="9"/>
  <c r="O116" i="9"/>
  <c r="Y114" i="9"/>
  <c r="P116" i="9"/>
  <c r="U116" i="9"/>
  <c r="T116" i="9"/>
  <c r="R114" i="9"/>
  <c r="Q115" i="9"/>
  <c r="T114" i="9"/>
  <c r="X116" i="9"/>
  <c r="S71" i="9"/>
  <c r="Q71" i="9"/>
  <c r="T71" i="9"/>
  <c r="U71" i="9"/>
  <c r="R71" i="9"/>
  <c r="O71" i="9"/>
  <c r="P71" i="9"/>
  <c r="R70" i="9"/>
  <c r="U70" i="9"/>
  <c r="T70" i="9"/>
  <c r="S70" i="9"/>
  <c r="P70" i="9"/>
  <c r="O70" i="9"/>
  <c r="Q70" i="9"/>
  <c r="S69" i="9"/>
  <c r="Q69" i="9"/>
  <c r="P69" i="9"/>
  <c r="O69" i="9"/>
  <c r="T69" i="9"/>
  <c r="R69" i="9"/>
  <c r="U69" i="9"/>
  <c r="V70" i="9"/>
  <c r="V69" i="9"/>
  <c r="V77" i="8"/>
  <c r="V76" i="8"/>
  <c r="V116" i="10"/>
  <c r="O115" i="10"/>
  <c r="Y116" i="10"/>
  <c r="V115" i="10"/>
  <c r="O114" i="10"/>
  <c r="Y115" i="10"/>
  <c r="V114" i="10"/>
  <c r="O116" i="10"/>
  <c r="Y114" i="10"/>
  <c r="X115" i="10"/>
  <c r="R116" i="10"/>
  <c r="X114" i="10"/>
  <c r="U116" i="10"/>
  <c r="R115" i="10"/>
  <c r="X116" i="10"/>
  <c r="U115" i="10"/>
  <c r="R114" i="10"/>
  <c r="U114" i="10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P28" i="10"/>
  <c r="P50" i="10" s="1"/>
  <c r="P38" i="10"/>
  <c r="P49" i="10" s="1"/>
  <c r="P28" i="11"/>
  <c r="P50" i="11" s="1"/>
  <c r="W115" i="8"/>
  <c r="T114" i="8"/>
  <c r="O116" i="8"/>
  <c r="Y114" i="8"/>
  <c r="U115" i="8"/>
  <c r="Z115" i="8"/>
  <c r="Y116" i="8"/>
  <c r="V114" i="8"/>
  <c r="S114" i="8"/>
  <c r="Z116" i="8"/>
  <c r="X115" i="8"/>
  <c r="Z114" i="8"/>
  <c r="X116" i="8"/>
  <c r="P114" i="8"/>
  <c r="Q116" i="8"/>
  <c r="O115" i="8"/>
  <c r="Q114" i="8"/>
  <c r="W114" i="8"/>
  <c r="T115" i="8"/>
  <c r="P116" i="8"/>
  <c r="R116" i="8"/>
  <c r="X114" i="8"/>
  <c r="S116" i="8"/>
  <c r="P115" i="8"/>
  <c r="U116" i="8"/>
  <c r="T116" i="8"/>
  <c r="O114" i="8"/>
  <c r="Q115" i="8"/>
  <c r="V115" i="8"/>
  <c r="S115" i="8"/>
  <c r="U114" i="8"/>
  <c r="R115" i="8"/>
  <c r="V116" i="8"/>
  <c r="W116" i="8"/>
  <c r="R114" i="8"/>
  <c r="Y115" i="8"/>
  <c r="V71" i="9"/>
  <c r="W71" i="11"/>
  <c r="W71" i="10"/>
  <c r="W71" i="9"/>
  <c r="W71" i="8"/>
  <c r="W196" i="1"/>
  <c r="W192" i="1"/>
  <c r="W193" i="1"/>
  <c r="W194" i="1"/>
  <c r="W195" i="1"/>
  <c r="W71" i="2"/>
  <c r="S98" i="2"/>
  <c r="S99" i="2" s="1"/>
  <c r="S92" i="2"/>
  <c r="S93" i="2" s="1"/>
  <c r="S89" i="2"/>
  <c r="S90" i="2" s="1"/>
  <c r="V85" i="10"/>
  <c r="V86" i="10" s="1"/>
  <c r="V87" i="10" s="1"/>
  <c r="U18" i="10"/>
  <c r="P51" i="10"/>
  <c r="U38" i="11"/>
  <c r="V38" i="11"/>
  <c r="U18" i="8"/>
  <c r="V18" i="8"/>
  <c r="V18" i="9"/>
  <c r="U18" i="9"/>
  <c r="V38" i="9"/>
  <c r="U38" i="9"/>
  <c r="V18" i="11"/>
  <c r="U18" i="11"/>
  <c r="V88" i="11"/>
  <c r="V89" i="11" s="1"/>
  <c r="V90" i="11" s="1"/>
  <c r="V94" i="11"/>
  <c r="V95" i="11" s="1"/>
  <c r="V96" i="11" s="1"/>
  <c r="S94" i="2"/>
  <c r="S95" i="2" s="1"/>
  <c r="S96" i="2" s="1"/>
  <c r="X70" i="10"/>
  <c r="X70" i="11"/>
  <c r="X70" i="9"/>
  <c r="X70" i="8"/>
  <c r="X70" i="2"/>
  <c r="Y187" i="1"/>
  <c r="S85" i="2"/>
  <c r="V88" i="8"/>
  <c r="V89" i="8" s="1"/>
  <c r="V90" i="8" s="1"/>
  <c r="Y69" i="9"/>
  <c r="Y69" i="8"/>
  <c r="Y69" i="11"/>
  <c r="Y69" i="10"/>
  <c r="V97" i="2"/>
  <c r="P88" i="2"/>
  <c r="V85" i="2"/>
  <c r="V94" i="2"/>
  <c r="O97" i="2"/>
  <c r="O98" i="2" s="1"/>
  <c r="O99" i="2" s="1"/>
  <c r="Y69" i="2"/>
  <c r="V18" i="2"/>
  <c r="U18" i="2"/>
  <c r="V38" i="2"/>
  <c r="R85" i="2"/>
  <c r="P94" i="2"/>
  <c r="U94" i="2"/>
  <c r="O85" i="2"/>
  <c r="O86" i="2" s="1"/>
  <c r="O87" i="2" s="1"/>
  <c r="T94" i="2"/>
  <c r="U85" i="2"/>
  <c r="T85" i="2"/>
  <c r="T86" i="2" s="1"/>
  <c r="T87" i="2" s="1"/>
  <c r="P97" i="2"/>
  <c r="U97" i="2"/>
  <c r="V91" i="2"/>
  <c r="T88" i="2"/>
  <c r="R88" i="2"/>
  <c r="U88" i="2"/>
  <c r="O88" i="2"/>
  <c r="T91" i="2"/>
  <c r="R94" i="2"/>
  <c r="P91" i="2"/>
  <c r="U91" i="2"/>
  <c r="Q91" i="2"/>
  <c r="O94" i="2"/>
  <c r="R97" i="2"/>
  <c r="R98" i="2" s="1"/>
  <c r="R99" i="2" s="1"/>
  <c r="Q94" i="2"/>
  <c r="T97" i="2"/>
  <c r="R91" i="2"/>
  <c r="P85" i="2"/>
  <c r="Q85" i="2"/>
  <c r="Q97" i="2"/>
  <c r="Q98" i="2" s="1"/>
  <c r="Q99" i="2" s="1"/>
  <c r="Q88" i="2"/>
  <c r="S16" i="1"/>
  <c r="V38" i="8" l="1"/>
  <c r="U38" i="8"/>
  <c r="V79" i="8"/>
  <c r="V94" i="8" s="1"/>
  <c r="V95" i="8" s="1"/>
  <c r="V96" i="8" s="1"/>
  <c r="V38" i="10"/>
  <c r="U38" i="2"/>
  <c r="V78" i="8"/>
  <c r="U38" i="10"/>
  <c r="Y194" i="1"/>
  <c r="Y195" i="1"/>
  <c r="Y71" i="11"/>
  <c r="Y71" i="10"/>
  <c r="Y71" i="9"/>
  <c r="Y71" i="8"/>
  <c r="Y196" i="1"/>
  <c r="Y192" i="1"/>
  <c r="Y193" i="1"/>
  <c r="Y71" i="2"/>
  <c r="W80" i="11"/>
  <c r="W97" i="11" s="1"/>
  <c r="W98" i="11" s="1"/>
  <c r="W99" i="11" s="1"/>
  <c r="W107" i="11" s="1"/>
  <c r="W121" i="11" s="1"/>
  <c r="W79" i="11"/>
  <c r="W77" i="11"/>
  <c r="W88" i="11" s="1"/>
  <c r="W89" i="11" s="1"/>
  <c r="W90" i="11" s="1"/>
  <c r="W104" i="11" s="1"/>
  <c r="W120" i="11" s="1"/>
  <c r="W76" i="11"/>
  <c r="W78" i="11"/>
  <c r="W91" i="11" s="1"/>
  <c r="W92" i="11" s="1"/>
  <c r="W93" i="11" s="1"/>
  <c r="W105" i="11" s="1"/>
  <c r="U80" i="9"/>
  <c r="U79" i="9"/>
  <c r="U77" i="9"/>
  <c r="U88" i="9" s="1"/>
  <c r="U89" i="9" s="1"/>
  <c r="U90" i="9" s="1"/>
  <c r="U76" i="9"/>
  <c r="U78" i="9"/>
  <c r="U91" i="9" s="1"/>
  <c r="U92" i="9" s="1"/>
  <c r="U93" i="9" s="1"/>
  <c r="P80" i="11"/>
  <c r="P79" i="11"/>
  <c r="P77" i="11"/>
  <c r="P88" i="11" s="1"/>
  <c r="P89" i="11" s="1"/>
  <c r="P90" i="11" s="1"/>
  <c r="P76" i="11"/>
  <c r="P85" i="11" s="1"/>
  <c r="P86" i="11" s="1"/>
  <c r="P87" i="11" s="1"/>
  <c r="P78" i="11"/>
  <c r="T80" i="11"/>
  <c r="T79" i="11"/>
  <c r="T77" i="11"/>
  <c r="T88" i="11" s="1"/>
  <c r="T89" i="11" s="1"/>
  <c r="T90" i="11" s="1"/>
  <c r="T76" i="11"/>
  <c r="T85" i="11" s="1"/>
  <c r="T86" i="11" s="1"/>
  <c r="T87" i="11" s="1"/>
  <c r="T78" i="11"/>
  <c r="S80" i="10"/>
  <c r="S97" i="10" s="1"/>
  <c r="S98" i="10" s="1"/>
  <c r="S99" i="10" s="1"/>
  <c r="S79" i="10"/>
  <c r="S77" i="10"/>
  <c r="S76" i="10"/>
  <c r="S78" i="10"/>
  <c r="Q80" i="10"/>
  <c r="Q79" i="10"/>
  <c r="Q94" i="10" s="1"/>
  <c r="Q95" i="10" s="1"/>
  <c r="Q96" i="10" s="1"/>
  <c r="Q77" i="10"/>
  <c r="Q88" i="10" s="1"/>
  <c r="Q89" i="10" s="1"/>
  <c r="Q90" i="10" s="1"/>
  <c r="Q76" i="10"/>
  <c r="Q85" i="10" s="1"/>
  <c r="Q86" i="10" s="1"/>
  <c r="Q87" i="10" s="1"/>
  <c r="Q78" i="10"/>
  <c r="Q91" i="10" s="1"/>
  <c r="Q92" i="10" s="1"/>
  <c r="Q93" i="10" s="1"/>
  <c r="U80" i="8"/>
  <c r="U97" i="8" s="1"/>
  <c r="U98" i="8" s="1"/>
  <c r="U99" i="8" s="1"/>
  <c r="U79" i="8"/>
  <c r="U94" i="8" s="1"/>
  <c r="U95" i="8" s="1"/>
  <c r="U96" i="8" s="1"/>
  <c r="U77" i="8"/>
  <c r="U88" i="8" s="1"/>
  <c r="U89" i="8" s="1"/>
  <c r="U90" i="8" s="1"/>
  <c r="U76" i="8"/>
  <c r="U78" i="8"/>
  <c r="U91" i="8" s="1"/>
  <c r="U92" i="8" s="1"/>
  <c r="U93" i="8" s="1"/>
  <c r="P80" i="8"/>
  <c r="P97" i="8" s="1"/>
  <c r="P98" i="8" s="1"/>
  <c r="P99" i="8" s="1"/>
  <c r="P79" i="8"/>
  <c r="P94" i="8" s="1"/>
  <c r="P95" i="8" s="1"/>
  <c r="P96" i="8" s="1"/>
  <c r="P77" i="8"/>
  <c r="P88" i="8" s="1"/>
  <c r="P89" i="8" s="1"/>
  <c r="P90" i="8" s="1"/>
  <c r="P76" i="8"/>
  <c r="P78" i="8"/>
  <c r="P91" i="8" s="1"/>
  <c r="P92" i="8" s="1"/>
  <c r="P93" i="8" s="1"/>
  <c r="X80" i="11"/>
  <c r="X97" i="11" s="1"/>
  <c r="X98" i="11" s="1"/>
  <c r="X99" i="11" s="1"/>
  <c r="X79" i="11"/>
  <c r="X94" i="11" s="1"/>
  <c r="X95" i="11" s="1"/>
  <c r="X96" i="11" s="1"/>
  <c r="X77" i="11"/>
  <c r="X88" i="11" s="1"/>
  <c r="X89" i="11" s="1"/>
  <c r="X90" i="11" s="1"/>
  <c r="X76" i="11"/>
  <c r="X78" i="11"/>
  <c r="X91" i="11" s="1"/>
  <c r="X92" i="11" s="1"/>
  <c r="X93" i="11" s="1"/>
  <c r="W80" i="8"/>
  <c r="W97" i="8" s="1"/>
  <c r="W98" i="8" s="1"/>
  <c r="W99" i="8" s="1"/>
  <c r="W107" i="8" s="1"/>
  <c r="W121" i="8" s="1"/>
  <c r="W79" i="8"/>
  <c r="W94" i="8" s="1"/>
  <c r="W77" i="8"/>
  <c r="W76" i="8"/>
  <c r="W85" i="8" s="1"/>
  <c r="W78" i="8"/>
  <c r="V80" i="9"/>
  <c r="V97" i="9" s="1"/>
  <c r="V98" i="9" s="1"/>
  <c r="V99" i="9" s="1"/>
  <c r="V79" i="9"/>
  <c r="V94" i="9" s="1"/>
  <c r="V95" i="9" s="1"/>
  <c r="V96" i="9" s="1"/>
  <c r="V77" i="9"/>
  <c r="V88" i="9" s="1"/>
  <c r="V89" i="9" s="1"/>
  <c r="V90" i="9" s="1"/>
  <c r="V76" i="9"/>
  <c r="V85" i="9" s="1"/>
  <c r="V86" i="9" s="1"/>
  <c r="V87" i="9" s="1"/>
  <c r="V78" i="9"/>
  <c r="V91" i="9" s="1"/>
  <c r="V92" i="9" s="1"/>
  <c r="V93" i="9" s="1"/>
  <c r="V105" i="9" s="1"/>
  <c r="V123" i="9" s="1"/>
  <c r="P80" i="9"/>
  <c r="P79" i="9"/>
  <c r="P94" i="9" s="1"/>
  <c r="P95" i="9" s="1"/>
  <c r="P96" i="9" s="1"/>
  <c r="P77" i="9"/>
  <c r="P88" i="9" s="1"/>
  <c r="P89" i="9" s="1"/>
  <c r="P90" i="9" s="1"/>
  <c r="P76" i="9"/>
  <c r="P78" i="9"/>
  <c r="T80" i="9"/>
  <c r="T97" i="9" s="1"/>
  <c r="T98" i="9" s="1"/>
  <c r="T99" i="9" s="1"/>
  <c r="T79" i="9"/>
  <c r="T77" i="9"/>
  <c r="T88" i="9" s="1"/>
  <c r="T89" i="9" s="1"/>
  <c r="T90" i="9" s="1"/>
  <c r="T76" i="9"/>
  <c r="T78" i="9"/>
  <c r="T91" i="9" s="1"/>
  <c r="T92" i="9" s="1"/>
  <c r="T93" i="9" s="1"/>
  <c r="R80" i="11"/>
  <c r="R79" i="11"/>
  <c r="R77" i="11"/>
  <c r="R88" i="11" s="1"/>
  <c r="R89" i="11" s="1"/>
  <c r="R90" i="11" s="1"/>
  <c r="R76" i="11"/>
  <c r="R78" i="11"/>
  <c r="R91" i="11" s="1"/>
  <c r="R92" i="11" s="1"/>
  <c r="R93" i="11" s="1"/>
  <c r="U80" i="10"/>
  <c r="U79" i="10"/>
  <c r="U77" i="10"/>
  <c r="U88" i="10" s="1"/>
  <c r="U89" i="10" s="1"/>
  <c r="U90" i="10" s="1"/>
  <c r="U76" i="10"/>
  <c r="U78" i="10"/>
  <c r="U91" i="10" s="1"/>
  <c r="U92" i="10" s="1"/>
  <c r="U93" i="10" s="1"/>
  <c r="P80" i="10"/>
  <c r="P97" i="10" s="1"/>
  <c r="P98" i="10" s="1"/>
  <c r="P99" i="10" s="1"/>
  <c r="P79" i="10"/>
  <c r="P94" i="10" s="1"/>
  <c r="P95" i="10" s="1"/>
  <c r="P96" i="10" s="1"/>
  <c r="P77" i="10"/>
  <c r="P88" i="10" s="1"/>
  <c r="P89" i="10" s="1"/>
  <c r="P90" i="10" s="1"/>
  <c r="P76" i="10"/>
  <c r="P85" i="10" s="1"/>
  <c r="P86" i="10" s="1"/>
  <c r="P87" i="10" s="1"/>
  <c r="P78" i="10"/>
  <c r="V91" i="8"/>
  <c r="V92" i="8" s="1"/>
  <c r="V93" i="8" s="1"/>
  <c r="T80" i="8"/>
  <c r="T79" i="8"/>
  <c r="T94" i="8" s="1"/>
  <c r="T95" i="8" s="1"/>
  <c r="T96" i="8" s="1"/>
  <c r="T77" i="8"/>
  <c r="T88" i="8" s="1"/>
  <c r="T89" i="8" s="1"/>
  <c r="T90" i="8" s="1"/>
  <c r="T76" i="8"/>
  <c r="T78" i="8"/>
  <c r="O80" i="8"/>
  <c r="O97" i="8" s="1"/>
  <c r="O98" i="8" s="1"/>
  <c r="O99" i="8" s="1"/>
  <c r="O79" i="8"/>
  <c r="O77" i="8"/>
  <c r="O88" i="8" s="1"/>
  <c r="O89" i="8" s="1"/>
  <c r="O90" i="8" s="1"/>
  <c r="O76" i="8"/>
  <c r="O78" i="8"/>
  <c r="O91" i="8" s="1"/>
  <c r="O92" i="8" s="1"/>
  <c r="O93" i="8" s="1"/>
  <c r="X80" i="8"/>
  <c r="X79" i="8"/>
  <c r="X94" i="8" s="1"/>
  <c r="X95" i="8" s="1"/>
  <c r="X96" i="8" s="1"/>
  <c r="X77" i="8"/>
  <c r="X88" i="8" s="1"/>
  <c r="X76" i="8"/>
  <c r="X78" i="8"/>
  <c r="W80" i="9"/>
  <c r="W97" i="9" s="1"/>
  <c r="W98" i="9" s="1"/>
  <c r="W99" i="9" s="1"/>
  <c r="W107" i="9" s="1"/>
  <c r="W121" i="9" s="1"/>
  <c r="W79" i="9"/>
  <c r="W94" i="9" s="1"/>
  <c r="W95" i="9" s="1"/>
  <c r="W96" i="9" s="1"/>
  <c r="W77" i="9"/>
  <c r="W88" i="9" s="1"/>
  <c r="W89" i="9" s="1"/>
  <c r="W90" i="9" s="1"/>
  <c r="W76" i="9"/>
  <c r="W85" i="9" s="1"/>
  <c r="W86" i="9" s="1"/>
  <c r="W87" i="9" s="1"/>
  <c r="W102" i="9" s="1"/>
  <c r="W78" i="9"/>
  <c r="W91" i="9" s="1"/>
  <c r="O80" i="9"/>
  <c r="O79" i="9"/>
  <c r="O77" i="9"/>
  <c r="O76" i="9"/>
  <c r="O78" i="9"/>
  <c r="Q80" i="9"/>
  <c r="Q97" i="9" s="1"/>
  <c r="Q98" i="9" s="1"/>
  <c r="Q99" i="9" s="1"/>
  <c r="Q79" i="9"/>
  <c r="Q94" i="9" s="1"/>
  <c r="Q95" i="9" s="1"/>
  <c r="Q96" i="9" s="1"/>
  <c r="Q77" i="9"/>
  <c r="Q88" i="9" s="1"/>
  <c r="Q89" i="9" s="1"/>
  <c r="Q90" i="9" s="1"/>
  <c r="Q76" i="9"/>
  <c r="Q85" i="9" s="1"/>
  <c r="Q86" i="9" s="1"/>
  <c r="Q87" i="9" s="1"/>
  <c r="Q78" i="9"/>
  <c r="Q91" i="9" s="1"/>
  <c r="Q92" i="9" s="1"/>
  <c r="Q93" i="9" s="1"/>
  <c r="O80" i="11"/>
  <c r="O97" i="11" s="1"/>
  <c r="O98" i="11" s="1"/>
  <c r="O99" i="11" s="1"/>
  <c r="O79" i="11"/>
  <c r="O77" i="11"/>
  <c r="O88" i="11" s="1"/>
  <c r="O89" i="11" s="1"/>
  <c r="O90" i="11" s="1"/>
  <c r="O76" i="11"/>
  <c r="O78" i="11"/>
  <c r="O91" i="11" s="1"/>
  <c r="O92" i="11" s="1"/>
  <c r="O93" i="11" s="1"/>
  <c r="S80" i="11"/>
  <c r="S79" i="11"/>
  <c r="S94" i="11" s="1"/>
  <c r="S95" i="11" s="1"/>
  <c r="S96" i="11" s="1"/>
  <c r="S77" i="11"/>
  <c r="S76" i="11"/>
  <c r="S78" i="11"/>
  <c r="S91" i="11" s="1"/>
  <c r="S92" i="11" s="1"/>
  <c r="S93" i="11" s="1"/>
  <c r="S105" i="11" s="1"/>
  <c r="S122" i="11" s="1"/>
  <c r="S2" i="1"/>
  <c r="R2" i="11"/>
  <c r="R146" i="11" s="1"/>
  <c r="R2" i="10"/>
  <c r="R146" i="10" s="1"/>
  <c r="R2" i="9"/>
  <c r="R146" i="9" s="1"/>
  <c r="R2" i="8"/>
  <c r="R146" i="8" s="1"/>
  <c r="R2" i="7"/>
  <c r="R8" i="7" s="1"/>
  <c r="R2" i="2"/>
  <c r="R146" i="2" s="1"/>
  <c r="O80" i="10"/>
  <c r="O97" i="10" s="1"/>
  <c r="O98" i="10" s="1"/>
  <c r="O99" i="10" s="1"/>
  <c r="O79" i="10"/>
  <c r="O94" i="10" s="1"/>
  <c r="O95" i="10" s="1"/>
  <c r="O96" i="10" s="1"/>
  <c r="O77" i="10"/>
  <c r="O88" i="10" s="1"/>
  <c r="O76" i="10"/>
  <c r="O85" i="10" s="1"/>
  <c r="O86" i="10" s="1"/>
  <c r="O87" i="10" s="1"/>
  <c r="O78" i="10"/>
  <c r="O91" i="10" s="1"/>
  <c r="O92" i="10" s="1"/>
  <c r="O93" i="10" s="1"/>
  <c r="S80" i="8"/>
  <c r="S79" i="8"/>
  <c r="S77" i="8"/>
  <c r="S88" i="8" s="1"/>
  <c r="S89" i="8" s="1"/>
  <c r="S90" i="8" s="1"/>
  <c r="S76" i="8"/>
  <c r="S78" i="8"/>
  <c r="S91" i="8" s="1"/>
  <c r="S92" i="8" s="1"/>
  <c r="S93" i="8" s="1"/>
  <c r="R80" i="8"/>
  <c r="R79" i="8"/>
  <c r="R94" i="8" s="1"/>
  <c r="R95" i="8" s="1"/>
  <c r="R96" i="8" s="1"/>
  <c r="R77" i="8"/>
  <c r="R88" i="8" s="1"/>
  <c r="R89" i="8" s="1"/>
  <c r="R90" i="8" s="1"/>
  <c r="R103" i="8" s="1"/>
  <c r="R119" i="8" s="1"/>
  <c r="R76" i="8"/>
  <c r="R85" i="8" s="1"/>
  <c r="R86" i="8" s="1"/>
  <c r="R87" i="8" s="1"/>
  <c r="R78" i="8"/>
  <c r="R91" i="8" s="1"/>
  <c r="R92" i="8" s="1"/>
  <c r="R93" i="8" s="1"/>
  <c r="X79" i="2"/>
  <c r="X80" i="2"/>
  <c r="X97" i="2" s="1"/>
  <c r="X76" i="2"/>
  <c r="X77" i="2"/>
  <c r="X88" i="2" s="1"/>
  <c r="X78" i="2"/>
  <c r="X80" i="9"/>
  <c r="X97" i="9" s="1"/>
  <c r="X79" i="9"/>
  <c r="X94" i="9" s="1"/>
  <c r="X95" i="9" s="1"/>
  <c r="X96" i="9" s="1"/>
  <c r="X77" i="9"/>
  <c r="X88" i="9" s="1"/>
  <c r="X89" i="9" s="1"/>
  <c r="X90" i="9" s="1"/>
  <c r="X76" i="9"/>
  <c r="X78" i="9"/>
  <c r="X91" i="9" s="1"/>
  <c r="X92" i="9" s="1"/>
  <c r="X93" i="9" s="1"/>
  <c r="W80" i="2"/>
  <c r="W97" i="2" s="1"/>
  <c r="W98" i="2" s="1"/>
  <c r="W99" i="2" s="1"/>
  <c r="W79" i="2"/>
  <c r="W94" i="2" s="1"/>
  <c r="W95" i="2" s="1"/>
  <c r="W96" i="2" s="1"/>
  <c r="W77" i="2"/>
  <c r="W88" i="2" s="1"/>
  <c r="W76" i="2"/>
  <c r="W85" i="2" s="1"/>
  <c r="W86" i="2" s="1"/>
  <c r="W87" i="2" s="1"/>
  <c r="W78" i="2"/>
  <c r="W91" i="2" s="1"/>
  <c r="W80" i="10"/>
  <c r="W79" i="10"/>
  <c r="W94" i="10" s="1"/>
  <c r="W77" i="10"/>
  <c r="W88" i="10" s="1"/>
  <c r="W89" i="10" s="1"/>
  <c r="W90" i="10" s="1"/>
  <c r="W76" i="10"/>
  <c r="W85" i="10" s="1"/>
  <c r="W86" i="10" s="1"/>
  <c r="W87" i="10" s="1"/>
  <c r="W78" i="10"/>
  <c r="U85" i="9"/>
  <c r="U86" i="9" s="1"/>
  <c r="U87" i="9" s="1"/>
  <c r="U97" i="9"/>
  <c r="U98" i="9" s="1"/>
  <c r="U99" i="9" s="1"/>
  <c r="R80" i="9"/>
  <c r="R97" i="9" s="1"/>
  <c r="R98" i="9" s="1"/>
  <c r="R99" i="9" s="1"/>
  <c r="R79" i="9"/>
  <c r="R94" i="9" s="1"/>
  <c r="R95" i="9" s="1"/>
  <c r="R96" i="9" s="1"/>
  <c r="R77" i="9"/>
  <c r="R88" i="9" s="1"/>
  <c r="R89" i="9" s="1"/>
  <c r="R90" i="9" s="1"/>
  <c r="R76" i="9"/>
  <c r="R78" i="9"/>
  <c r="R91" i="9" s="1"/>
  <c r="R92" i="9" s="1"/>
  <c r="R93" i="9" s="1"/>
  <c r="S80" i="9"/>
  <c r="S79" i="9"/>
  <c r="S77" i="9"/>
  <c r="S88" i="9" s="1"/>
  <c r="S89" i="9" s="1"/>
  <c r="S90" i="9" s="1"/>
  <c r="S76" i="9"/>
  <c r="S85" i="9" s="1"/>
  <c r="S86" i="9" s="1"/>
  <c r="S87" i="9" s="1"/>
  <c r="S78" i="9"/>
  <c r="S91" i="9" s="1"/>
  <c r="S92" i="9" s="1"/>
  <c r="S93" i="9" s="1"/>
  <c r="Q80" i="11"/>
  <c r="Q97" i="11" s="1"/>
  <c r="Q98" i="11" s="1"/>
  <c r="Q99" i="11" s="1"/>
  <c r="Q79" i="11"/>
  <c r="Q94" i="11" s="1"/>
  <c r="Q95" i="11" s="1"/>
  <c r="Q96" i="11" s="1"/>
  <c r="Q77" i="11"/>
  <c r="Q88" i="11" s="1"/>
  <c r="Q89" i="11" s="1"/>
  <c r="Q90" i="11" s="1"/>
  <c r="Q76" i="11"/>
  <c r="Q85" i="11" s="1"/>
  <c r="Q86" i="11" s="1"/>
  <c r="Q87" i="11" s="1"/>
  <c r="Q78" i="11"/>
  <c r="U80" i="11"/>
  <c r="U79" i="11"/>
  <c r="U77" i="11"/>
  <c r="U88" i="11" s="1"/>
  <c r="U89" i="11" s="1"/>
  <c r="U90" i="11" s="1"/>
  <c r="U76" i="11"/>
  <c r="U85" i="11" s="1"/>
  <c r="U86" i="11" s="1"/>
  <c r="U87" i="11" s="1"/>
  <c r="U78" i="11"/>
  <c r="U91" i="11" s="1"/>
  <c r="U92" i="11" s="1"/>
  <c r="U93" i="11" s="1"/>
  <c r="V97" i="10"/>
  <c r="V98" i="10" s="1"/>
  <c r="V99" i="10" s="1"/>
  <c r="V107" i="10" s="1"/>
  <c r="V121" i="10" s="1"/>
  <c r="V94" i="10"/>
  <c r="V95" i="10" s="1"/>
  <c r="V96" i="10" s="1"/>
  <c r="T80" i="10"/>
  <c r="T79" i="10"/>
  <c r="T77" i="10"/>
  <c r="T88" i="10" s="1"/>
  <c r="T89" i="10" s="1"/>
  <c r="T90" i="10" s="1"/>
  <c r="T76" i="10"/>
  <c r="T78" i="10"/>
  <c r="R80" i="10"/>
  <c r="R97" i="10" s="1"/>
  <c r="R98" i="10" s="1"/>
  <c r="R99" i="10" s="1"/>
  <c r="R79" i="10"/>
  <c r="R77" i="10"/>
  <c r="R88" i="10" s="1"/>
  <c r="R89" i="10" s="1"/>
  <c r="R90" i="10" s="1"/>
  <c r="R76" i="10"/>
  <c r="R85" i="10" s="1"/>
  <c r="R86" i="10" s="1"/>
  <c r="R87" i="10" s="1"/>
  <c r="R102" i="10" s="1"/>
  <c r="R78" i="10"/>
  <c r="R91" i="10" s="1"/>
  <c r="R92" i="10" s="1"/>
  <c r="R93" i="10" s="1"/>
  <c r="Q80" i="8"/>
  <c r="Q79" i="8"/>
  <c r="Q94" i="8" s="1"/>
  <c r="Q95" i="8" s="1"/>
  <c r="Q96" i="8" s="1"/>
  <c r="Q77" i="8"/>
  <c r="Q88" i="8" s="1"/>
  <c r="Q89" i="8" s="1"/>
  <c r="Q90" i="8" s="1"/>
  <c r="Q76" i="8"/>
  <c r="Q78" i="8"/>
  <c r="X80" i="10"/>
  <c r="X79" i="10"/>
  <c r="X94" i="10" s="1"/>
  <c r="X95" i="10" s="1"/>
  <c r="X96" i="10" s="1"/>
  <c r="X77" i="10"/>
  <c r="X76" i="10"/>
  <c r="X85" i="10" s="1"/>
  <c r="X86" i="10" s="1"/>
  <c r="X87" i="10" s="1"/>
  <c r="X78" i="10"/>
  <c r="U95" i="2"/>
  <c r="U96" i="2" s="1"/>
  <c r="V95" i="2"/>
  <c r="V96" i="2" s="1"/>
  <c r="V106" i="2" s="1"/>
  <c r="R95" i="2"/>
  <c r="R96" i="2" s="1"/>
  <c r="P95" i="2"/>
  <c r="P96" i="2" s="1"/>
  <c r="V98" i="2"/>
  <c r="V99" i="2" s="1"/>
  <c r="T98" i="2"/>
  <c r="T99" i="2" s="1"/>
  <c r="U98" i="2"/>
  <c r="U99" i="2" s="1"/>
  <c r="T95" i="2"/>
  <c r="T96" i="2" s="1"/>
  <c r="Q95" i="2"/>
  <c r="Q96" i="2" s="1"/>
  <c r="P98" i="2"/>
  <c r="P99" i="2" s="1"/>
  <c r="R92" i="2"/>
  <c r="R93" i="2" s="1"/>
  <c r="Q92" i="2"/>
  <c r="Q93" i="2" s="1"/>
  <c r="U92" i="2"/>
  <c r="U93" i="2" s="1"/>
  <c r="T92" i="2"/>
  <c r="T93" i="2" s="1"/>
  <c r="V92" i="2"/>
  <c r="V93" i="2" s="1"/>
  <c r="V105" i="2" s="1"/>
  <c r="P92" i="2"/>
  <c r="P93" i="2" s="1"/>
  <c r="W92" i="2"/>
  <c r="W93" i="2" s="1"/>
  <c r="T89" i="2"/>
  <c r="T90" i="2" s="1"/>
  <c r="T103" i="2" s="1"/>
  <c r="T119" i="2" s="1"/>
  <c r="Q89" i="2"/>
  <c r="Q90" i="2" s="1"/>
  <c r="V89" i="2"/>
  <c r="V90" i="2" s="1"/>
  <c r="P89" i="2"/>
  <c r="P90" i="2" s="1"/>
  <c r="U89" i="2"/>
  <c r="U90" i="2" s="1"/>
  <c r="U104" i="2" s="1"/>
  <c r="U120" i="2" s="1"/>
  <c r="W89" i="2"/>
  <c r="W90" i="2" s="1"/>
  <c r="R89" i="2"/>
  <c r="R90" i="2" s="1"/>
  <c r="R86" i="2"/>
  <c r="R87" i="2" s="1"/>
  <c r="R102" i="2" s="1"/>
  <c r="V86" i="2"/>
  <c r="V87" i="2" s="1"/>
  <c r="V102" i="2" s="1"/>
  <c r="V85" i="8"/>
  <c r="V86" i="8" s="1"/>
  <c r="V87" i="8" s="1"/>
  <c r="V102" i="8" s="1"/>
  <c r="V85" i="11"/>
  <c r="V86" i="11" s="1"/>
  <c r="V87" i="11" s="1"/>
  <c r="V102" i="11" s="1"/>
  <c r="Q86" i="2"/>
  <c r="Q87" i="2" s="1"/>
  <c r="P86" i="2"/>
  <c r="P87" i="2" s="1"/>
  <c r="U86" i="2"/>
  <c r="U87" i="2" s="1"/>
  <c r="S86" i="2"/>
  <c r="S87" i="2" s="1"/>
  <c r="S102" i="2" s="1"/>
  <c r="V28" i="9"/>
  <c r="U28" i="9"/>
  <c r="U28" i="8"/>
  <c r="V28" i="8"/>
  <c r="V28" i="10"/>
  <c r="U28" i="10"/>
  <c r="U28" i="11"/>
  <c r="V28" i="11"/>
  <c r="W94" i="11"/>
  <c r="V105" i="11"/>
  <c r="V102" i="9"/>
  <c r="V106" i="8"/>
  <c r="V107" i="8"/>
  <c r="V121" i="8" s="1"/>
  <c r="R106" i="8"/>
  <c r="V107" i="11"/>
  <c r="V121" i="11" s="1"/>
  <c r="W97" i="10"/>
  <c r="W98" i="10" s="1"/>
  <c r="W99" i="10" s="1"/>
  <c r="X91" i="8"/>
  <c r="X85" i="8"/>
  <c r="X86" i="8" s="1"/>
  <c r="X87" i="8" s="1"/>
  <c r="Y70" i="2"/>
  <c r="Y70" i="10"/>
  <c r="Y70" i="11"/>
  <c r="Y70" i="8"/>
  <c r="Y70" i="9"/>
  <c r="Z187" i="1"/>
  <c r="X85" i="2"/>
  <c r="X86" i="2" s="1"/>
  <c r="X87" i="2" s="1"/>
  <c r="X94" i="2"/>
  <c r="X91" i="2"/>
  <c r="X92" i="2" s="1"/>
  <c r="X93" i="2" s="1"/>
  <c r="X85" i="9"/>
  <c r="X86" i="9" s="1"/>
  <c r="X87" i="9" s="1"/>
  <c r="X97" i="8"/>
  <c r="X98" i="8" s="1"/>
  <c r="X99" i="8" s="1"/>
  <c r="W91" i="10"/>
  <c r="W92" i="10" s="1"/>
  <c r="W93" i="10" s="1"/>
  <c r="X85" i="11"/>
  <c r="X86" i="11" s="1"/>
  <c r="X87" i="11" s="1"/>
  <c r="R107" i="9"/>
  <c r="R121" i="9" s="1"/>
  <c r="X97" i="10"/>
  <c r="X98" i="10" s="1"/>
  <c r="X99" i="10" s="1"/>
  <c r="X88" i="10"/>
  <c r="X89" i="10" s="1"/>
  <c r="X90" i="10" s="1"/>
  <c r="X91" i="10"/>
  <c r="X92" i="10" s="1"/>
  <c r="X93" i="10" s="1"/>
  <c r="O91" i="2"/>
  <c r="R103" i="9"/>
  <c r="R119" i="9" s="1"/>
  <c r="Z69" i="9"/>
  <c r="Z69" i="10"/>
  <c r="Z69" i="8"/>
  <c r="Z69" i="11"/>
  <c r="O95" i="2"/>
  <c r="O96" i="2" s="1"/>
  <c r="O89" i="2"/>
  <c r="O90" i="2" s="1"/>
  <c r="T103" i="9"/>
  <c r="T119" i="9" s="1"/>
  <c r="P107" i="8"/>
  <c r="P121" i="8" s="1"/>
  <c r="V105" i="8"/>
  <c r="V122" i="8" s="1"/>
  <c r="U106" i="8"/>
  <c r="S106" i="11"/>
  <c r="P107" i="10"/>
  <c r="P121" i="10" s="1"/>
  <c r="Q107" i="9"/>
  <c r="Q121" i="9" s="1"/>
  <c r="S105" i="9"/>
  <c r="S122" i="9" s="1"/>
  <c r="T103" i="8"/>
  <c r="T119" i="8" s="1"/>
  <c r="R104" i="11"/>
  <c r="R120" i="11" s="1"/>
  <c r="R103" i="11"/>
  <c r="R119" i="11" s="1"/>
  <c r="Q102" i="11"/>
  <c r="V106" i="11"/>
  <c r="O105" i="11"/>
  <c r="P102" i="11"/>
  <c r="O107" i="11"/>
  <c r="O121" i="11" s="1"/>
  <c r="V103" i="11"/>
  <c r="V119" i="11" s="1"/>
  <c r="V104" i="11"/>
  <c r="V120" i="11" s="1"/>
  <c r="T104" i="11"/>
  <c r="T120" i="11" s="1"/>
  <c r="P104" i="11"/>
  <c r="P120" i="11" s="1"/>
  <c r="R105" i="11"/>
  <c r="V106" i="10"/>
  <c r="O102" i="10"/>
  <c r="R107" i="10"/>
  <c r="R121" i="10" s="1"/>
  <c r="V104" i="10"/>
  <c r="V120" i="10" s="1"/>
  <c r="V103" i="10"/>
  <c r="V119" i="10" s="1"/>
  <c r="P106" i="10"/>
  <c r="V105" i="10"/>
  <c r="V102" i="10"/>
  <c r="O105" i="10"/>
  <c r="V106" i="9"/>
  <c r="R106" i="9"/>
  <c r="Q106" i="9"/>
  <c r="P103" i="9"/>
  <c r="P119" i="9" s="1"/>
  <c r="P104" i="9"/>
  <c r="P120" i="9" s="1"/>
  <c r="S103" i="8"/>
  <c r="S119" i="8" s="1"/>
  <c r="S104" i="8"/>
  <c r="S120" i="8" s="1"/>
  <c r="O103" i="8"/>
  <c r="O119" i="8" s="1"/>
  <c r="O107" i="8"/>
  <c r="O121" i="8" s="1"/>
  <c r="P105" i="8"/>
  <c r="P50" i="2"/>
  <c r="Z69" i="2"/>
  <c r="U28" i="2"/>
  <c r="V28" i="2"/>
  <c r="O107" i="2"/>
  <c r="O121" i="2" s="1"/>
  <c r="S106" i="2"/>
  <c r="O102" i="2"/>
  <c r="T16" i="1"/>
  <c r="W103" i="11" l="1"/>
  <c r="W119" i="11" s="1"/>
  <c r="U105" i="8"/>
  <c r="U122" i="8" s="1"/>
  <c r="U105" i="9"/>
  <c r="S102" i="9"/>
  <c r="Q106" i="10"/>
  <c r="O106" i="10"/>
  <c r="V107" i="9"/>
  <c r="V121" i="9" s="1"/>
  <c r="U107" i="8"/>
  <c r="U121" i="8" s="1"/>
  <c r="Q102" i="9"/>
  <c r="Q105" i="10"/>
  <c r="U105" i="10"/>
  <c r="R105" i="8"/>
  <c r="T104" i="9"/>
  <c r="T120" i="9" s="1"/>
  <c r="R105" i="10"/>
  <c r="P102" i="10"/>
  <c r="U102" i="11"/>
  <c r="T103" i="11"/>
  <c r="T119" i="11" s="1"/>
  <c r="T102" i="11"/>
  <c r="S105" i="8"/>
  <c r="S122" i="8" s="1"/>
  <c r="Q105" i="9"/>
  <c r="Q122" i="9" s="1"/>
  <c r="U105" i="11"/>
  <c r="U123" i="11" s="1"/>
  <c r="R105" i="9"/>
  <c r="R122" i="9" s="1"/>
  <c r="Q104" i="9"/>
  <c r="Q120" i="9" s="1"/>
  <c r="U103" i="10"/>
  <c r="U119" i="10" s="1"/>
  <c r="Q107" i="11"/>
  <c r="Q121" i="11" s="1"/>
  <c r="T107" i="9"/>
  <c r="T121" i="9" s="1"/>
  <c r="T105" i="9"/>
  <c r="O107" i="10"/>
  <c r="U104" i="10"/>
  <c r="U120" i="10" s="1"/>
  <c r="O104" i="8"/>
  <c r="O120" i="8" s="1"/>
  <c r="P106" i="9"/>
  <c r="Q102" i="10"/>
  <c r="P103" i="11"/>
  <c r="P119" i="11" s="1"/>
  <c r="P106" i="8"/>
  <c r="Q103" i="9"/>
  <c r="Q119" i="9" s="1"/>
  <c r="Q106" i="11"/>
  <c r="W102" i="10"/>
  <c r="T104" i="10"/>
  <c r="T120" i="10" s="1"/>
  <c r="T103" i="10"/>
  <c r="T119" i="10" s="1"/>
  <c r="Q103" i="8"/>
  <c r="Q119" i="8" s="1"/>
  <c r="Q104" i="8"/>
  <c r="Q120" i="8" s="1"/>
  <c r="Z195" i="1"/>
  <c r="Z71" i="11"/>
  <c r="Z71" i="10"/>
  <c r="Z71" i="9"/>
  <c r="Z71" i="8"/>
  <c r="Z196" i="1"/>
  <c r="M129" i="1" s="1"/>
  <c r="Z192" i="1"/>
  <c r="Z193" i="1"/>
  <c r="Z194" i="1"/>
  <c r="L129" i="1" s="1"/>
  <c r="Z71" i="2"/>
  <c r="Q106" i="8"/>
  <c r="Q97" i="8"/>
  <c r="Q98" i="8" s="1"/>
  <c r="Q99" i="8" s="1"/>
  <c r="Q107" i="8" s="1"/>
  <c r="Q121" i="8" s="1"/>
  <c r="T85" i="10"/>
  <c r="T86" i="10" s="1"/>
  <c r="T87" i="10" s="1"/>
  <c r="T102" i="10" s="1"/>
  <c r="U97" i="11"/>
  <c r="U98" i="11" s="1"/>
  <c r="U99" i="11" s="1"/>
  <c r="U107" i="11" s="1"/>
  <c r="U121" i="11" s="1"/>
  <c r="R85" i="9"/>
  <c r="R86" i="9" s="1"/>
  <c r="R87" i="9" s="1"/>
  <c r="R102" i="9" s="1"/>
  <c r="R104" i="8"/>
  <c r="R120" i="8" s="1"/>
  <c r="S85" i="8"/>
  <c r="S86" i="8" s="1"/>
  <c r="S87" i="8" s="1"/>
  <c r="S102" i="8" s="1"/>
  <c r="S97" i="11"/>
  <c r="S98" i="11" s="1"/>
  <c r="S99" i="11" s="1"/>
  <c r="S107" i="11" s="1"/>
  <c r="S121" i="11" s="1"/>
  <c r="O94" i="11"/>
  <c r="O95" i="11" s="1"/>
  <c r="O96" i="11" s="1"/>
  <c r="O106" i="11" s="1"/>
  <c r="O85" i="9"/>
  <c r="O86" i="9" s="1"/>
  <c r="O87" i="9" s="1"/>
  <c r="O102" i="9" s="1"/>
  <c r="O105" i="8"/>
  <c r="T106" i="8"/>
  <c r="U85" i="10"/>
  <c r="U86" i="10" s="1"/>
  <c r="U87" i="10" s="1"/>
  <c r="U102" i="10" s="1"/>
  <c r="R97" i="11"/>
  <c r="R98" i="11" s="1"/>
  <c r="R99" i="11" s="1"/>
  <c r="R107" i="11" s="1"/>
  <c r="R121" i="11" s="1"/>
  <c r="T94" i="9"/>
  <c r="T95" i="9" s="1"/>
  <c r="T96" i="9" s="1"/>
  <c r="T106" i="9" s="1"/>
  <c r="S85" i="10"/>
  <c r="S86" i="10" s="1"/>
  <c r="S87" i="10" s="1"/>
  <c r="S102" i="10" s="1"/>
  <c r="T91" i="10"/>
  <c r="T92" i="10" s="1"/>
  <c r="T93" i="10" s="1"/>
  <c r="T105" i="10" s="1"/>
  <c r="T91" i="11"/>
  <c r="T92" i="11" s="1"/>
  <c r="T93" i="11" s="1"/>
  <c r="T105" i="11" s="1"/>
  <c r="P94" i="11"/>
  <c r="P95" i="11" s="1"/>
  <c r="P96" i="11" s="1"/>
  <c r="P106" i="11" s="1"/>
  <c r="Y80" i="10"/>
  <c r="Y79" i="10"/>
  <c r="Y77" i="10"/>
  <c r="Y88" i="10" s="1"/>
  <c r="Y89" i="10" s="1"/>
  <c r="Y90" i="10" s="1"/>
  <c r="Y76" i="10"/>
  <c r="Y78" i="10"/>
  <c r="Y91" i="10" s="1"/>
  <c r="Y92" i="10" s="1"/>
  <c r="Y93" i="10" s="1"/>
  <c r="R94" i="10"/>
  <c r="R95" i="10" s="1"/>
  <c r="R96" i="10" s="1"/>
  <c r="R106" i="10" s="1"/>
  <c r="Q91" i="11"/>
  <c r="Q92" i="11" s="1"/>
  <c r="Q93" i="11" s="1"/>
  <c r="Q105" i="11" s="1"/>
  <c r="S94" i="9"/>
  <c r="S95" i="9" s="1"/>
  <c r="S96" i="9" s="1"/>
  <c r="S106" i="9" s="1"/>
  <c r="S85" i="11"/>
  <c r="S86" i="11" s="1"/>
  <c r="S87" i="11" s="1"/>
  <c r="S102" i="11" s="1"/>
  <c r="O88" i="9"/>
  <c r="O89" i="9" s="1"/>
  <c r="O90" i="9" s="1"/>
  <c r="O103" i="9" s="1"/>
  <c r="O37" i="9" s="1"/>
  <c r="U37" i="9" s="1"/>
  <c r="O85" i="8"/>
  <c r="O86" i="8" s="1"/>
  <c r="O87" i="8" s="1"/>
  <c r="O102" i="8" s="1"/>
  <c r="T91" i="8"/>
  <c r="T92" i="8" s="1"/>
  <c r="T93" i="8" s="1"/>
  <c r="T105" i="8" s="1"/>
  <c r="T97" i="8"/>
  <c r="T98" i="8" s="1"/>
  <c r="T99" i="8" s="1"/>
  <c r="T107" i="8" s="1"/>
  <c r="T121" i="8" s="1"/>
  <c r="R85" i="11"/>
  <c r="R86" i="11" s="1"/>
  <c r="R87" i="11" s="1"/>
  <c r="R102" i="11" s="1"/>
  <c r="S88" i="10"/>
  <c r="S89" i="10" s="1"/>
  <c r="S90" i="10" s="1"/>
  <c r="S104" i="10" s="1"/>
  <c r="S120" i="10" s="1"/>
  <c r="T94" i="10"/>
  <c r="T95" i="10" s="1"/>
  <c r="T96" i="10" s="1"/>
  <c r="P91" i="11"/>
  <c r="P92" i="11" s="1"/>
  <c r="P93" i="11" s="1"/>
  <c r="P105" i="11" s="1"/>
  <c r="P97" i="11"/>
  <c r="P98" i="11" s="1"/>
  <c r="P99" i="11" s="1"/>
  <c r="P107" i="11" s="1"/>
  <c r="P121" i="11" s="1"/>
  <c r="U94" i="9"/>
  <c r="U95" i="9" s="1"/>
  <c r="U96" i="9" s="1"/>
  <c r="U106" i="9" s="1"/>
  <c r="Y80" i="11"/>
  <c r="Y79" i="11"/>
  <c r="Y94" i="11" s="1"/>
  <c r="Y95" i="11" s="1"/>
  <c r="Y96" i="11" s="1"/>
  <c r="Y77" i="11"/>
  <c r="Y76" i="11"/>
  <c r="Y85" i="11" s="1"/>
  <c r="Y86" i="11" s="1"/>
  <c r="Y87" i="11" s="1"/>
  <c r="Y78" i="11"/>
  <c r="T106" i="10"/>
  <c r="S97" i="9"/>
  <c r="S98" i="9" s="1"/>
  <c r="S99" i="9" s="1"/>
  <c r="S107" i="9" s="1"/>
  <c r="S121" i="9" s="1"/>
  <c r="R97" i="8"/>
  <c r="R98" i="8" s="1"/>
  <c r="R99" i="8" s="1"/>
  <c r="R107" i="8" s="1"/>
  <c r="R121" i="8" s="1"/>
  <c r="S94" i="8"/>
  <c r="S95" i="8" s="1"/>
  <c r="S96" i="8" s="1"/>
  <c r="S106" i="8" s="1"/>
  <c r="O89" i="10"/>
  <c r="O90" i="10" s="1"/>
  <c r="S88" i="11"/>
  <c r="S89" i="11" s="1"/>
  <c r="S90" i="11" s="1"/>
  <c r="S103" i="11" s="1"/>
  <c r="S119" i="11" s="1"/>
  <c r="O85" i="11"/>
  <c r="O86" i="11" s="1"/>
  <c r="O87" i="11" s="1"/>
  <c r="O102" i="11" s="1"/>
  <c r="O94" i="9"/>
  <c r="O95" i="9" s="1"/>
  <c r="O96" i="9" s="1"/>
  <c r="O106" i="9" s="1"/>
  <c r="T85" i="8"/>
  <c r="T86" i="8" s="1"/>
  <c r="T87" i="8" s="1"/>
  <c r="T102" i="8" s="1"/>
  <c r="P91" i="10"/>
  <c r="P92" i="10" s="1"/>
  <c r="P93" i="10" s="1"/>
  <c r="P105" i="10" s="1"/>
  <c r="U94" i="10"/>
  <c r="U95" i="10" s="1"/>
  <c r="U96" i="10" s="1"/>
  <c r="U106" i="10" s="1"/>
  <c r="T85" i="9"/>
  <c r="T86" i="9" s="1"/>
  <c r="T87" i="9" s="1"/>
  <c r="T102" i="9" s="1"/>
  <c r="P91" i="9"/>
  <c r="P92" i="9" s="1"/>
  <c r="P93" i="9" s="1"/>
  <c r="P105" i="9" s="1"/>
  <c r="P97" i="9"/>
  <c r="P98" i="9" s="1"/>
  <c r="P99" i="9" s="1"/>
  <c r="P107" i="9" s="1"/>
  <c r="P121" i="9" s="1"/>
  <c r="P85" i="8"/>
  <c r="P86" i="8" s="1"/>
  <c r="P87" i="8" s="1"/>
  <c r="P102" i="8" s="1"/>
  <c r="Q97" i="10"/>
  <c r="Q98" i="10" s="1"/>
  <c r="Q99" i="10" s="1"/>
  <c r="Q107" i="10" s="1"/>
  <c r="Q121" i="10" s="1"/>
  <c r="S94" i="10"/>
  <c r="S95" i="10" s="1"/>
  <c r="S96" i="10" s="1"/>
  <c r="S106" i="10" s="1"/>
  <c r="U107" i="9"/>
  <c r="U121" i="9" s="1"/>
  <c r="Y79" i="2"/>
  <c r="Y80" i="2"/>
  <c r="Y97" i="2" s="1"/>
  <c r="Y77" i="2"/>
  <c r="Y76" i="2"/>
  <c r="Y78" i="2"/>
  <c r="Y80" i="8"/>
  <c r="Y97" i="8" s="1"/>
  <c r="Y98" i="8" s="1"/>
  <c r="Y99" i="8" s="1"/>
  <c r="Y79" i="8"/>
  <c r="Y94" i="8" s="1"/>
  <c r="Y95" i="8" s="1"/>
  <c r="Y96" i="8" s="1"/>
  <c r="Y77" i="8"/>
  <c r="Y88" i="8" s="1"/>
  <c r="Y89" i="8" s="1"/>
  <c r="Y90" i="8" s="1"/>
  <c r="Y76" i="8"/>
  <c r="Y85" i="8" s="1"/>
  <c r="Y86" i="8" s="1"/>
  <c r="Y87" i="8" s="1"/>
  <c r="Y78" i="8"/>
  <c r="Q85" i="8"/>
  <c r="Q86" i="8" s="1"/>
  <c r="Q87" i="8" s="1"/>
  <c r="Q102" i="8" s="1"/>
  <c r="Q91" i="8"/>
  <c r="Q92" i="8" s="1"/>
  <c r="Q93" i="8" s="1"/>
  <c r="Q105" i="8" s="1"/>
  <c r="T97" i="10"/>
  <c r="T98" i="10" s="1"/>
  <c r="T99" i="10" s="1"/>
  <c r="T107" i="10" s="1"/>
  <c r="T121" i="10" s="1"/>
  <c r="U94" i="11"/>
  <c r="U95" i="11" s="1"/>
  <c r="U96" i="11" s="1"/>
  <c r="U106" i="11" s="1"/>
  <c r="R102" i="8"/>
  <c r="S97" i="8"/>
  <c r="S98" i="8" s="1"/>
  <c r="S99" i="8" s="1"/>
  <c r="S107" i="8" s="1"/>
  <c r="S121" i="8" s="1"/>
  <c r="T2" i="1"/>
  <c r="S2" i="8"/>
  <c r="S146" i="8" s="1"/>
  <c r="S2" i="11"/>
  <c r="S146" i="11" s="1"/>
  <c r="S2" i="10"/>
  <c r="S146" i="10" s="1"/>
  <c r="S2" i="9"/>
  <c r="S146" i="9" s="1"/>
  <c r="S2" i="7"/>
  <c r="S8" i="7" s="1"/>
  <c r="S2" i="2"/>
  <c r="S146" i="2" s="1"/>
  <c r="O91" i="9"/>
  <c r="O92" i="9" s="1"/>
  <c r="O93" i="9" s="1"/>
  <c r="O105" i="9" s="1"/>
  <c r="O97" i="9"/>
  <c r="O98" i="9" s="1"/>
  <c r="O99" i="9" s="1"/>
  <c r="O107" i="9" s="1"/>
  <c r="O94" i="8"/>
  <c r="O95" i="8" s="1"/>
  <c r="O96" i="8" s="1"/>
  <c r="O106" i="8" s="1"/>
  <c r="U97" i="10"/>
  <c r="U98" i="10" s="1"/>
  <c r="U99" i="10" s="1"/>
  <c r="U107" i="10" s="1"/>
  <c r="U121" i="10" s="1"/>
  <c r="R94" i="11"/>
  <c r="R95" i="11" s="1"/>
  <c r="R96" i="11" s="1"/>
  <c r="R106" i="11" s="1"/>
  <c r="P85" i="9"/>
  <c r="P86" i="9" s="1"/>
  <c r="P87" i="9" s="1"/>
  <c r="P102" i="9" s="1"/>
  <c r="U85" i="8"/>
  <c r="U86" i="8" s="1"/>
  <c r="U87" i="8" s="1"/>
  <c r="U102" i="8" s="1"/>
  <c r="S91" i="10"/>
  <c r="S92" i="10" s="1"/>
  <c r="S93" i="10" s="1"/>
  <c r="S105" i="10" s="1"/>
  <c r="S107" i="10"/>
  <c r="S121" i="10" s="1"/>
  <c r="T94" i="11"/>
  <c r="T95" i="11" s="1"/>
  <c r="T96" i="11" s="1"/>
  <c r="T106" i="11" s="1"/>
  <c r="T97" i="11"/>
  <c r="T98" i="11" s="1"/>
  <c r="T99" i="11" s="1"/>
  <c r="T107" i="11" s="1"/>
  <c r="T121" i="11" s="1"/>
  <c r="U102" i="9"/>
  <c r="Y80" i="9"/>
  <c r="Y97" i="9" s="1"/>
  <c r="Y98" i="9" s="1"/>
  <c r="Y99" i="9" s="1"/>
  <c r="Y79" i="9"/>
  <c r="Y94" i="9" s="1"/>
  <c r="Y77" i="9"/>
  <c r="Y88" i="9" s="1"/>
  <c r="Y89" i="9" s="1"/>
  <c r="Y90" i="9" s="1"/>
  <c r="Y76" i="9"/>
  <c r="Y78" i="9"/>
  <c r="Y91" i="9" s="1"/>
  <c r="Y92" i="9" s="1"/>
  <c r="Y93" i="9" s="1"/>
  <c r="W103" i="9"/>
  <c r="W119" i="9" s="1"/>
  <c r="W104" i="9"/>
  <c r="W120" i="9" s="1"/>
  <c r="O17" i="10"/>
  <c r="U17" i="10" s="1"/>
  <c r="O121" i="10"/>
  <c r="W95" i="11"/>
  <c r="W96" i="11" s="1"/>
  <c r="W106" i="11" s="1"/>
  <c r="X98" i="2"/>
  <c r="X99" i="2" s="1"/>
  <c r="W95" i="8"/>
  <c r="W96" i="8" s="1"/>
  <c r="W106" i="8" s="1"/>
  <c r="X98" i="9"/>
  <c r="X99" i="9" s="1"/>
  <c r="X95" i="2"/>
  <c r="X96" i="2" s="1"/>
  <c r="W95" i="10"/>
  <c r="W96" i="10" s="1"/>
  <c r="W106" i="10" s="1"/>
  <c r="X92" i="8"/>
  <c r="X93" i="8" s="1"/>
  <c r="W92" i="9"/>
  <c r="W93" i="9" s="1"/>
  <c r="W105" i="9" s="1"/>
  <c r="W91" i="8"/>
  <c r="W92" i="8" s="1"/>
  <c r="W93" i="8" s="1"/>
  <c r="W105" i="8" s="1"/>
  <c r="X89" i="2"/>
  <c r="X90" i="2" s="1"/>
  <c r="W88" i="8"/>
  <c r="X89" i="8"/>
  <c r="X90" i="8" s="1"/>
  <c r="W86" i="8"/>
  <c r="W87" i="8" s="1"/>
  <c r="W102" i="8" s="1"/>
  <c r="W85" i="11"/>
  <c r="W86" i="11" s="1"/>
  <c r="W87" i="11" s="1"/>
  <c r="W102" i="11" s="1"/>
  <c r="S123" i="9"/>
  <c r="U123" i="8"/>
  <c r="V122" i="9"/>
  <c r="X106" i="11"/>
  <c r="S123" i="11"/>
  <c r="W105" i="10"/>
  <c r="X106" i="9"/>
  <c r="X105" i="10"/>
  <c r="X107" i="8"/>
  <c r="X121" i="8" s="1"/>
  <c r="V104" i="8"/>
  <c r="V120" i="8" s="1"/>
  <c r="V103" i="8"/>
  <c r="V119" i="8" s="1"/>
  <c r="V123" i="8"/>
  <c r="S123" i="8"/>
  <c r="X105" i="2"/>
  <c r="U122" i="11"/>
  <c r="X105" i="11"/>
  <c r="X122" i="11" s="1"/>
  <c r="X102" i="8"/>
  <c r="X102" i="10"/>
  <c r="R104" i="9"/>
  <c r="R120" i="9" s="1"/>
  <c r="Y88" i="2"/>
  <c r="Y94" i="2"/>
  <c r="Y91" i="8"/>
  <c r="Y92" i="8" s="1"/>
  <c r="Y93" i="8" s="1"/>
  <c r="Y97" i="11"/>
  <c r="Y98" i="11" s="1"/>
  <c r="Y99" i="11" s="1"/>
  <c r="Y88" i="11"/>
  <c r="Y89" i="11" s="1"/>
  <c r="Y90" i="11" s="1"/>
  <c r="Y91" i="11"/>
  <c r="Y92" i="11" s="1"/>
  <c r="Y93" i="11" s="1"/>
  <c r="R123" i="9"/>
  <c r="Q123" i="9"/>
  <c r="X107" i="11"/>
  <c r="X121" i="11" s="1"/>
  <c r="Z70" i="11"/>
  <c r="Z70" i="10"/>
  <c r="Z70" i="9"/>
  <c r="Z70" i="8"/>
  <c r="Z70" i="2"/>
  <c r="M130" i="1"/>
  <c r="Y97" i="10"/>
  <c r="Y98" i="10" s="1"/>
  <c r="Y99" i="10" s="1"/>
  <c r="Y85" i="10"/>
  <c r="Y86" i="10" s="1"/>
  <c r="Y87" i="10" s="1"/>
  <c r="Y94" i="10"/>
  <c r="Y95" i="10" s="1"/>
  <c r="Y96" i="10" s="1"/>
  <c r="O92" i="2"/>
  <c r="X107" i="10"/>
  <c r="X121" i="10" s="1"/>
  <c r="T104" i="8"/>
  <c r="T120" i="8" s="1"/>
  <c r="O17" i="11"/>
  <c r="U103" i="11"/>
  <c r="U119" i="11" s="1"/>
  <c r="U104" i="11"/>
  <c r="U120" i="11" s="1"/>
  <c r="W122" i="11"/>
  <c r="W123" i="11"/>
  <c r="O104" i="11"/>
  <c r="O120" i="11" s="1"/>
  <c r="O103" i="11"/>
  <c r="O119" i="11" s="1"/>
  <c r="O122" i="11"/>
  <c r="O123" i="11"/>
  <c r="O44" i="11"/>
  <c r="O34" i="11"/>
  <c r="R122" i="11"/>
  <c r="R123" i="11"/>
  <c r="Q104" i="11"/>
  <c r="Q120" i="11" s="1"/>
  <c r="Q103" i="11"/>
  <c r="Q119" i="11" s="1"/>
  <c r="V122" i="11"/>
  <c r="V123" i="11"/>
  <c r="O122" i="10"/>
  <c r="O123" i="10"/>
  <c r="O34" i="10"/>
  <c r="O44" i="10"/>
  <c r="Q104" i="10"/>
  <c r="Q120" i="10" s="1"/>
  <c r="Q103" i="10"/>
  <c r="Q119" i="10" s="1"/>
  <c r="V122" i="10"/>
  <c r="V123" i="10"/>
  <c r="P104" i="10"/>
  <c r="P120" i="10" s="1"/>
  <c r="P103" i="10"/>
  <c r="P119" i="10" s="1"/>
  <c r="U123" i="10"/>
  <c r="U122" i="10"/>
  <c r="R122" i="10"/>
  <c r="R123" i="10"/>
  <c r="Q123" i="10"/>
  <c r="Q122" i="10"/>
  <c r="R103" i="10"/>
  <c r="R119" i="10" s="1"/>
  <c r="R104" i="10"/>
  <c r="R120" i="10" s="1"/>
  <c r="S103" i="9"/>
  <c r="S119" i="9" s="1"/>
  <c r="S104" i="9"/>
  <c r="S120" i="9" s="1"/>
  <c r="V104" i="9"/>
  <c r="V120" i="9" s="1"/>
  <c r="V103" i="9"/>
  <c r="V119" i="9" s="1"/>
  <c r="U123" i="9"/>
  <c r="U122" i="9"/>
  <c r="U104" i="9"/>
  <c r="U120" i="9" s="1"/>
  <c r="U103" i="9"/>
  <c r="U119" i="9" s="1"/>
  <c r="T123" i="9"/>
  <c r="T122" i="9"/>
  <c r="P123" i="8"/>
  <c r="P122" i="8"/>
  <c r="O27" i="8"/>
  <c r="O37" i="8"/>
  <c r="U104" i="8"/>
  <c r="U120" i="8" s="1"/>
  <c r="U103" i="8"/>
  <c r="U119" i="8" s="1"/>
  <c r="O17" i="8"/>
  <c r="P104" i="8"/>
  <c r="P120" i="8" s="1"/>
  <c r="P103" i="8"/>
  <c r="P119" i="8" s="1"/>
  <c r="R122" i="8"/>
  <c r="R123" i="8"/>
  <c r="V122" i="2"/>
  <c r="V123" i="2"/>
  <c r="W102" i="2"/>
  <c r="S107" i="2"/>
  <c r="S121" i="2" s="1"/>
  <c r="V107" i="2"/>
  <c r="V121" i="2" s="1"/>
  <c r="V104" i="2"/>
  <c r="V120" i="2" s="1"/>
  <c r="V103" i="2"/>
  <c r="V119" i="2" s="1"/>
  <c r="P104" i="2"/>
  <c r="P120" i="2" s="1"/>
  <c r="P103" i="2"/>
  <c r="P119" i="2" s="1"/>
  <c r="T104" i="2"/>
  <c r="T120" i="2" s="1"/>
  <c r="U103" i="2"/>
  <c r="U119" i="2" s="1"/>
  <c r="U107" i="2"/>
  <c r="U121" i="2" s="1"/>
  <c r="O106" i="2"/>
  <c r="R105" i="2"/>
  <c r="U105" i="2"/>
  <c r="P102" i="2"/>
  <c r="T106" i="2"/>
  <c r="U102" i="2"/>
  <c r="S105" i="2"/>
  <c r="T102" i="2"/>
  <c r="P106" i="2"/>
  <c r="X102" i="2"/>
  <c r="U106" i="2"/>
  <c r="W106" i="2"/>
  <c r="Q105" i="2"/>
  <c r="O17" i="2"/>
  <c r="U16" i="1"/>
  <c r="O119" i="9" l="1"/>
  <c r="O104" i="9"/>
  <c r="O120" i="9" s="1"/>
  <c r="O103" i="10"/>
  <c r="O119" i="10" s="1"/>
  <c r="O104" i="10"/>
  <c r="O120" i="10" s="1"/>
  <c r="S104" i="11"/>
  <c r="S120" i="11" s="1"/>
  <c r="S103" i="10"/>
  <c r="S119" i="10" s="1"/>
  <c r="O121" i="9"/>
  <c r="O17" i="9"/>
  <c r="P123" i="11"/>
  <c r="P122" i="11"/>
  <c r="S123" i="10"/>
  <c r="S122" i="10"/>
  <c r="Q122" i="8"/>
  <c r="Q123" i="8"/>
  <c r="P122" i="10"/>
  <c r="P123" i="10"/>
  <c r="O44" i="9"/>
  <c r="O49" i="9" s="1"/>
  <c r="O34" i="9"/>
  <c r="O122" i="9"/>
  <c r="O123" i="9"/>
  <c r="T123" i="10"/>
  <c r="T122" i="10"/>
  <c r="P122" i="9"/>
  <c r="P123" i="9"/>
  <c r="Y85" i="2"/>
  <c r="Y86" i="2" s="1"/>
  <c r="Y87" i="2" s="1"/>
  <c r="Y102" i="2" s="1"/>
  <c r="T123" i="8"/>
  <c r="T122" i="8"/>
  <c r="O27" i="9"/>
  <c r="T123" i="11"/>
  <c r="T122" i="11"/>
  <c r="O123" i="8"/>
  <c r="O44" i="8"/>
  <c r="O122" i="8"/>
  <c r="O34" i="8"/>
  <c r="J129" i="1"/>
  <c r="K129" i="1"/>
  <c r="Z80" i="9"/>
  <c r="Z79" i="9"/>
  <c r="Z77" i="9"/>
  <c r="Z76" i="9"/>
  <c r="Z85" i="9" s="1"/>
  <c r="Z86" i="9" s="1"/>
  <c r="Z87" i="9" s="1"/>
  <c r="Z78" i="9"/>
  <c r="Y85" i="9"/>
  <c r="Y86" i="9" s="1"/>
  <c r="Y87" i="9" s="1"/>
  <c r="Y102" i="9" s="1"/>
  <c r="U2" i="1"/>
  <c r="T2" i="11"/>
  <c r="T146" i="11" s="1"/>
  <c r="T2" i="10"/>
  <c r="T146" i="10" s="1"/>
  <c r="T2" i="9"/>
  <c r="T146" i="9" s="1"/>
  <c r="T2" i="8"/>
  <c r="T146" i="8" s="1"/>
  <c r="T2" i="2"/>
  <c r="T146" i="2" s="1"/>
  <c r="T2" i="7"/>
  <c r="T8" i="7" s="1"/>
  <c r="Z80" i="10"/>
  <c r="Z97" i="10" s="1"/>
  <c r="Z98" i="10" s="1"/>
  <c r="Z99" i="10" s="1"/>
  <c r="Z79" i="10"/>
  <c r="Z77" i="10"/>
  <c r="Z88" i="10" s="1"/>
  <c r="Z89" i="10" s="1"/>
  <c r="Z90" i="10" s="1"/>
  <c r="Z76" i="10"/>
  <c r="Z78" i="10"/>
  <c r="Z91" i="10" s="1"/>
  <c r="Z92" i="10" s="1"/>
  <c r="Z93" i="10" s="1"/>
  <c r="Q122" i="11"/>
  <c r="Q123" i="11"/>
  <c r="Z79" i="2"/>
  <c r="Z94" i="2" s="1"/>
  <c r="Z80" i="2"/>
  <c r="Z76" i="2"/>
  <c r="Z77" i="2"/>
  <c r="Z88" i="2" s="1"/>
  <c r="Z78" i="2"/>
  <c r="Z80" i="11"/>
  <c r="Z97" i="11" s="1"/>
  <c r="Z98" i="11" s="1"/>
  <c r="Z99" i="11" s="1"/>
  <c r="Z79" i="11"/>
  <c r="Z77" i="11"/>
  <c r="Z88" i="11" s="1"/>
  <c r="Z89" i="11" s="1"/>
  <c r="Z90" i="11" s="1"/>
  <c r="Z76" i="11"/>
  <c r="Z85" i="11" s="1"/>
  <c r="Z86" i="11" s="1"/>
  <c r="Z87" i="11" s="1"/>
  <c r="Z78" i="11"/>
  <c r="Z91" i="11" s="1"/>
  <c r="Z92" i="11" s="1"/>
  <c r="Z93" i="11" s="1"/>
  <c r="Z80" i="8"/>
  <c r="Z79" i="8"/>
  <c r="Z94" i="8" s="1"/>
  <c r="Z95" i="8" s="1"/>
  <c r="Z96" i="8" s="1"/>
  <c r="Z77" i="8"/>
  <c r="Z88" i="8" s="1"/>
  <c r="Z89" i="8" s="1"/>
  <c r="Z90" i="8" s="1"/>
  <c r="Z76" i="8"/>
  <c r="Z85" i="8" s="1"/>
  <c r="Z86" i="8" s="1"/>
  <c r="Z87" i="8" s="1"/>
  <c r="Z78" i="8"/>
  <c r="O51" i="10"/>
  <c r="Y95" i="2"/>
  <c r="Y96" i="2" s="1"/>
  <c r="Y95" i="9"/>
  <c r="Y96" i="9" s="1"/>
  <c r="Y98" i="2"/>
  <c r="Y99" i="2" s="1"/>
  <c r="Y107" i="2" s="1"/>
  <c r="Y121" i="2" s="1"/>
  <c r="W122" i="8"/>
  <c r="W123" i="8"/>
  <c r="Y91" i="2"/>
  <c r="W89" i="8"/>
  <c r="W90" i="8" s="1"/>
  <c r="Y89" i="2"/>
  <c r="Y90" i="2" s="1"/>
  <c r="O93" i="2"/>
  <c r="O105" i="2" s="1"/>
  <c r="W122" i="9"/>
  <c r="W123" i="9"/>
  <c r="X123" i="11"/>
  <c r="W122" i="10"/>
  <c r="W123" i="10"/>
  <c r="X123" i="10"/>
  <c r="X122" i="10"/>
  <c r="Y106" i="11"/>
  <c r="Y105" i="9"/>
  <c r="Y106" i="8"/>
  <c r="K130" i="1"/>
  <c r="K131" i="1" s="1"/>
  <c r="J130" i="1"/>
  <c r="Y107" i="10"/>
  <c r="Y121" i="10" s="1"/>
  <c r="L130" i="1"/>
  <c r="L131" i="1" s="1"/>
  <c r="Z85" i="10"/>
  <c r="Z86" i="10" s="1"/>
  <c r="Z87" i="10" s="1"/>
  <c r="Z94" i="10"/>
  <c r="Z95" i="10" s="1"/>
  <c r="Z96" i="10" s="1"/>
  <c r="X105" i="8"/>
  <c r="W106" i="9"/>
  <c r="X107" i="9"/>
  <c r="X121" i="9" s="1"/>
  <c r="Y107" i="8"/>
  <c r="Y121" i="8" s="1"/>
  <c r="X106" i="10"/>
  <c r="W107" i="10"/>
  <c r="W121" i="10" s="1"/>
  <c r="X106" i="8"/>
  <c r="X105" i="9"/>
  <c r="X102" i="11"/>
  <c r="Z97" i="2"/>
  <c r="Z97" i="8"/>
  <c r="Z98" i="8" s="1"/>
  <c r="Z99" i="8" s="1"/>
  <c r="Z91" i="8"/>
  <c r="Z92" i="8" s="1"/>
  <c r="Z93" i="8" s="1"/>
  <c r="Y102" i="8"/>
  <c r="Y107" i="9"/>
  <c r="Y121" i="9" s="1"/>
  <c r="Z94" i="9"/>
  <c r="Z88" i="9"/>
  <c r="Z89" i="9" s="1"/>
  <c r="Z90" i="9" s="1"/>
  <c r="Z91" i="9"/>
  <c r="Z92" i="9" s="1"/>
  <c r="Z93" i="9" s="1"/>
  <c r="Z97" i="9"/>
  <c r="Z98" i="9" s="1"/>
  <c r="Z99" i="9" s="1"/>
  <c r="X102" i="9"/>
  <c r="Y105" i="11"/>
  <c r="Y105" i="10"/>
  <c r="Y103" i="11"/>
  <c r="Y119" i="11" s="1"/>
  <c r="Y104" i="11"/>
  <c r="Y120" i="11" s="1"/>
  <c r="Y107" i="11"/>
  <c r="Y121" i="11" s="1"/>
  <c r="Y106" i="10"/>
  <c r="O37" i="11"/>
  <c r="O27" i="11"/>
  <c r="U17" i="11"/>
  <c r="O51" i="11"/>
  <c r="O37" i="10"/>
  <c r="O27" i="10"/>
  <c r="U27" i="8"/>
  <c r="O50" i="8"/>
  <c r="O51" i="8"/>
  <c r="U17" i="8"/>
  <c r="U37" i="8"/>
  <c r="O49" i="8"/>
  <c r="Q122" i="2"/>
  <c r="Q123" i="2"/>
  <c r="U123" i="2"/>
  <c r="U122" i="2"/>
  <c r="X122" i="2"/>
  <c r="X123" i="2"/>
  <c r="R122" i="2"/>
  <c r="R123" i="2"/>
  <c r="S123" i="2"/>
  <c r="S122" i="2"/>
  <c r="O103" i="2"/>
  <c r="O104" i="2"/>
  <c r="W104" i="2"/>
  <c r="W120" i="2" s="1"/>
  <c r="W103" i="2"/>
  <c r="W119" i="2" s="1"/>
  <c r="R107" i="2"/>
  <c r="R121" i="2" s="1"/>
  <c r="R103" i="2"/>
  <c r="R119" i="2" s="1"/>
  <c r="R104" i="2"/>
  <c r="R120" i="2" s="1"/>
  <c r="S103" i="2"/>
  <c r="S119" i="2" s="1"/>
  <c r="S104" i="2"/>
  <c r="S120" i="2" s="1"/>
  <c r="P107" i="2"/>
  <c r="P121" i="2" s="1"/>
  <c r="U17" i="2"/>
  <c r="O51" i="2"/>
  <c r="Q102" i="2"/>
  <c r="Q106" i="2"/>
  <c r="X106" i="2"/>
  <c r="R106" i="2"/>
  <c r="T105" i="2"/>
  <c r="P105" i="2"/>
  <c r="W105" i="2"/>
  <c r="M131" i="1"/>
  <c r="V16" i="1"/>
  <c r="Z94" i="11" l="1"/>
  <c r="Z95" i="11" s="1"/>
  <c r="Z96" i="11" s="1"/>
  <c r="U27" i="9"/>
  <c r="O50" i="9"/>
  <c r="V2" i="1"/>
  <c r="U2" i="11"/>
  <c r="U146" i="11" s="1"/>
  <c r="U2" i="10"/>
  <c r="U146" i="10" s="1"/>
  <c r="U2" i="9"/>
  <c r="U146" i="9" s="1"/>
  <c r="U2" i="8"/>
  <c r="U146" i="8" s="1"/>
  <c r="U2" i="2"/>
  <c r="U146" i="2" s="1"/>
  <c r="U2" i="7"/>
  <c r="U8" i="7" s="1"/>
  <c r="U17" i="9"/>
  <c r="O51" i="9"/>
  <c r="O37" i="2"/>
  <c r="O119" i="2"/>
  <c r="Z95" i="2"/>
  <c r="Z96" i="2" s="1"/>
  <c r="Z106" i="2" s="1"/>
  <c r="O27" i="2"/>
  <c r="U27" i="2" s="1"/>
  <c r="O120" i="2"/>
  <c r="Z98" i="2"/>
  <c r="Z99" i="2" s="1"/>
  <c r="Z107" i="2" s="1"/>
  <c r="Z121" i="2" s="1"/>
  <c r="Z95" i="9"/>
  <c r="Z96" i="9" s="1"/>
  <c r="Z91" i="2"/>
  <c r="Y92" i="2"/>
  <c r="Y93" i="2" s="1"/>
  <c r="Y105" i="2" s="1"/>
  <c r="Z89" i="2"/>
  <c r="Z90" i="2" s="1"/>
  <c r="W104" i="8"/>
  <c r="W120" i="8" s="1"/>
  <c r="W103" i="8"/>
  <c r="W119" i="8" s="1"/>
  <c r="Z85" i="2"/>
  <c r="O122" i="2"/>
  <c r="O34" i="2"/>
  <c r="O50" i="2" s="1"/>
  <c r="O44" i="2"/>
  <c r="O123" i="2"/>
  <c r="Z106" i="11"/>
  <c r="Z106" i="10"/>
  <c r="Z107" i="11"/>
  <c r="Z121" i="11" s="1"/>
  <c r="Z107" i="10"/>
  <c r="Z121" i="10" s="1"/>
  <c r="Z102" i="10"/>
  <c r="Z105" i="8"/>
  <c r="Z122" i="8" s="1"/>
  <c r="Z102" i="11"/>
  <c r="Z105" i="9"/>
  <c r="Z122" i="9" s="1"/>
  <c r="Z107" i="9"/>
  <c r="Z121" i="9" s="1"/>
  <c r="Y104" i="9"/>
  <c r="Y120" i="9" s="1"/>
  <c r="Y103" i="9"/>
  <c r="Y119" i="9" s="1"/>
  <c r="X103" i="11"/>
  <c r="X119" i="11" s="1"/>
  <c r="X104" i="11"/>
  <c r="X120" i="11" s="1"/>
  <c r="X103" i="10"/>
  <c r="X119" i="10" s="1"/>
  <c r="X104" i="10"/>
  <c r="X120" i="10" s="1"/>
  <c r="X104" i="8"/>
  <c r="X120" i="8" s="1"/>
  <c r="X103" i="8"/>
  <c r="X119" i="8" s="1"/>
  <c r="X123" i="9"/>
  <c r="X122" i="9"/>
  <c r="X104" i="9"/>
  <c r="X120" i="9" s="1"/>
  <c r="X103" i="9"/>
  <c r="X119" i="9" s="1"/>
  <c r="W104" i="10"/>
  <c r="W120" i="10" s="1"/>
  <c r="W103" i="10"/>
  <c r="W119" i="10" s="1"/>
  <c r="Y106" i="9"/>
  <c r="Y102" i="11"/>
  <c r="Y105" i="8"/>
  <c r="Y102" i="10"/>
  <c r="X123" i="8"/>
  <c r="X122" i="8"/>
  <c r="Y106" i="2"/>
  <c r="Z106" i="8"/>
  <c r="Z105" i="10"/>
  <c r="Z107" i="8"/>
  <c r="Z121" i="8" s="1"/>
  <c r="Y123" i="9"/>
  <c r="Y122" i="9"/>
  <c r="Z102" i="8"/>
  <c r="Z105" i="11"/>
  <c r="Y122" i="10"/>
  <c r="Y123" i="10"/>
  <c r="Y122" i="11"/>
  <c r="Y123" i="11"/>
  <c r="L132" i="1"/>
  <c r="U37" i="11"/>
  <c r="O49" i="11"/>
  <c r="U27" i="11"/>
  <c r="O50" i="11"/>
  <c r="U27" i="10"/>
  <c r="O50" i="10"/>
  <c r="U37" i="10"/>
  <c r="O49" i="10"/>
  <c r="W123" i="2"/>
  <c r="W122" i="2"/>
  <c r="P122" i="2"/>
  <c r="P123" i="2"/>
  <c r="T123" i="2"/>
  <c r="T122" i="2"/>
  <c r="T107" i="2"/>
  <c r="T121" i="2" s="1"/>
  <c r="Y104" i="2"/>
  <c r="Y120" i="2" s="1"/>
  <c r="Y103" i="2"/>
  <c r="Y119" i="2" s="1"/>
  <c r="Q104" i="2"/>
  <c r="Q120" i="2" s="1"/>
  <c r="Q103" i="2"/>
  <c r="Q119" i="2" s="1"/>
  <c r="W107" i="2"/>
  <c r="W121" i="2" s="1"/>
  <c r="X103" i="2"/>
  <c r="X119" i="2" s="1"/>
  <c r="X104" i="2"/>
  <c r="X120" i="2" s="1"/>
  <c r="X107" i="2"/>
  <c r="X121" i="2" s="1"/>
  <c r="Q107" i="2"/>
  <c r="Q121" i="2" s="1"/>
  <c r="U37" i="2"/>
  <c r="K132" i="1"/>
  <c r="W16" i="1"/>
  <c r="X16" i="1" s="1"/>
  <c r="Y16" i="1" s="1"/>
  <c r="Z16" i="1" s="1"/>
  <c r="K146" i="1" s="1"/>
  <c r="L160" i="1" s="1"/>
  <c r="K95" i="1"/>
  <c r="K94" i="1"/>
  <c r="K143" i="1"/>
  <c r="L157" i="1" s="1"/>
  <c r="K140" i="1"/>
  <c r="L154" i="1" s="1"/>
  <c r="K144" i="1"/>
  <c r="L158" i="1" s="1"/>
  <c r="K27" i="1"/>
  <c r="K93" i="1"/>
  <c r="T22" i="1"/>
  <c r="X22" i="1"/>
  <c r="M132" i="1"/>
  <c r="P22" i="1"/>
  <c r="J131" i="1"/>
  <c r="K92" i="1"/>
  <c r="K139" i="1"/>
  <c r="O49" i="2" l="1"/>
  <c r="W2" i="1"/>
  <c r="V2" i="11"/>
  <c r="V146" i="11" s="1"/>
  <c r="V2" i="10"/>
  <c r="V146" i="10" s="1"/>
  <c r="V2" i="9"/>
  <c r="V146" i="9" s="1"/>
  <c r="V2" i="8"/>
  <c r="V146" i="8" s="1"/>
  <c r="V2" i="7"/>
  <c r="V8" i="7" s="1"/>
  <c r="V2" i="2"/>
  <c r="V146" i="2" s="1"/>
  <c r="Y122" i="2"/>
  <c r="Y123" i="2"/>
  <c r="Z92" i="2"/>
  <c r="Z93" i="2" s="1"/>
  <c r="Z105" i="2" s="1"/>
  <c r="Z86" i="2"/>
  <c r="Z87" i="2" s="1"/>
  <c r="Z102" i="2" s="1"/>
  <c r="X135" i="11"/>
  <c r="X136" i="11" s="1"/>
  <c r="X135" i="10"/>
  <c r="X136" i="10" s="1"/>
  <c r="X135" i="9"/>
  <c r="X136" i="9" s="1"/>
  <c r="X135" i="8"/>
  <c r="X136" i="8" s="1"/>
  <c r="T135" i="11"/>
  <c r="T136" i="11" s="1"/>
  <c r="T135" i="10"/>
  <c r="T136" i="10" s="1"/>
  <c r="T135" i="9"/>
  <c r="T136" i="9" s="1"/>
  <c r="T135" i="8"/>
  <c r="T136" i="8" s="1"/>
  <c r="J139" i="9"/>
  <c r="J139" i="8"/>
  <c r="J139" i="10"/>
  <c r="J139" i="11"/>
  <c r="P135" i="11"/>
  <c r="P136" i="11" s="1"/>
  <c r="P135" i="10"/>
  <c r="P136" i="10" s="1"/>
  <c r="P135" i="9"/>
  <c r="P136" i="9" s="1"/>
  <c r="P135" i="8"/>
  <c r="P136" i="8" s="1"/>
  <c r="Z123" i="9"/>
  <c r="Z123" i="8"/>
  <c r="Y104" i="10"/>
  <c r="Y120" i="10" s="1"/>
  <c r="Y103" i="10"/>
  <c r="Y119" i="10" s="1"/>
  <c r="Z104" i="2"/>
  <c r="Z120" i="2" s="1"/>
  <c r="Z103" i="2"/>
  <c r="Z119" i="2" s="1"/>
  <c r="Z102" i="9"/>
  <c r="Z104" i="10"/>
  <c r="Z120" i="10" s="1"/>
  <c r="Y123" i="8"/>
  <c r="Y122" i="8"/>
  <c r="Z106" i="9"/>
  <c r="Z122" i="11"/>
  <c r="Z123" i="11"/>
  <c r="Z103" i="10"/>
  <c r="Z119" i="10" s="1"/>
  <c r="Z122" i="10"/>
  <c r="Z123" i="10"/>
  <c r="Y103" i="8"/>
  <c r="Y119" i="8" s="1"/>
  <c r="Y104" i="8"/>
  <c r="Y120" i="8" s="1"/>
  <c r="L153" i="1"/>
  <c r="K153" i="1"/>
  <c r="T135" i="2"/>
  <c r="T136" i="2" s="1"/>
  <c r="P135" i="2"/>
  <c r="P136" i="2" s="1"/>
  <c r="X135" i="2"/>
  <c r="X136" i="2" s="1"/>
  <c r="J139" i="2"/>
  <c r="M160" i="1"/>
  <c r="K160" i="1"/>
  <c r="J160" i="1"/>
  <c r="M153" i="1"/>
  <c r="J132" i="1"/>
  <c r="J153" i="1" s="1"/>
  <c r="U22" i="1"/>
  <c r="J27" i="1"/>
  <c r="K138" i="1"/>
  <c r="L152" i="1" s="1"/>
  <c r="K141" i="1"/>
  <c r="L155" i="1" s="1"/>
  <c r="J158" i="1"/>
  <c r="M158" i="1"/>
  <c r="K158" i="1"/>
  <c r="M157" i="1"/>
  <c r="K157" i="1"/>
  <c r="J157" i="1"/>
  <c r="J154" i="1"/>
  <c r="M154" i="1"/>
  <c r="K154" i="1"/>
  <c r="K142" i="1"/>
  <c r="L156" i="1" s="1"/>
  <c r="K96" i="1"/>
  <c r="J107" i="1" s="1"/>
  <c r="K145" i="1"/>
  <c r="L159" i="1" s="1"/>
  <c r="K136" i="1"/>
  <c r="L150" i="1" s="1"/>
  <c r="K135" i="1"/>
  <c r="L149" i="1" s="1"/>
  <c r="K97" i="1"/>
  <c r="K137" i="1"/>
  <c r="L151" i="1" s="1"/>
  <c r="Q22" i="1"/>
  <c r="Z22" i="1"/>
  <c r="S22" i="1"/>
  <c r="V22" i="1"/>
  <c r="O22" i="1"/>
  <c r="Y22" i="1"/>
  <c r="W22" i="1"/>
  <c r="R22" i="1"/>
  <c r="R40" i="2" l="1"/>
  <c r="R40" i="8"/>
  <c r="R40" i="11"/>
  <c r="R40" i="9"/>
  <c r="R40" i="10"/>
  <c r="X2" i="1"/>
  <c r="W2" i="8"/>
  <c r="W146" i="8" s="1"/>
  <c r="W2" i="11"/>
  <c r="W146" i="11" s="1"/>
  <c r="W2" i="10"/>
  <c r="W146" i="10" s="1"/>
  <c r="W2" i="9"/>
  <c r="W146" i="9" s="1"/>
  <c r="W2" i="7"/>
  <c r="W8" i="7" s="1"/>
  <c r="W2" i="2"/>
  <c r="W146" i="2" s="1"/>
  <c r="Z122" i="2"/>
  <c r="Z123" i="2"/>
  <c r="W135" i="8"/>
  <c r="W136" i="8" s="1"/>
  <c r="W135" i="11"/>
  <c r="W136" i="11" s="1"/>
  <c r="W135" i="10"/>
  <c r="W136" i="10" s="1"/>
  <c r="W135" i="9"/>
  <c r="W136" i="9" s="1"/>
  <c r="Q32" i="9"/>
  <c r="Q32" i="8"/>
  <c r="Q42" i="8"/>
  <c r="Q32" i="11"/>
  <c r="Q32" i="10"/>
  <c r="Q22" i="11"/>
  <c r="Q42" i="9"/>
  <c r="Q22" i="8"/>
  <c r="Q42" i="11"/>
  <c r="Q42" i="10"/>
  <c r="Q22" i="10"/>
  <c r="Q22" i="9"/>
  <c r="Y135" i="11"/>
  <c r="Y136" i="11" s="1"/>
  <c r="Y135" i="10"/>
  <c r="Y136" i="10" s="1"/>
  <c r="Y135" i="9"/>
  <c r="Y136" i="9" s="1"/>
  <c r="Y135" i="8"/>
  <c r="Y136" i="8" s="1"/>
  <c r="Z127" i="11"/>
  <c r="Y127" i="11"/>
  <c r="T127" i="11"/>
  <c r="O127" i="11"/>
  <c r="R127" i="10"/>
  <c r="Q127" i="10"/>
  <c r="W127" i="10"/>
  <c r="X127" i="9"/>
  <c r="S127" i="9"/>
  <c r="Z127" i="8"/>
  <c r="Y127" i="8"/>
  <c r="T127" i="8"/>
  <c r="O127" i="8"/>
  <c r="S127" i="8"/>
  <c r="V127" i="11"/>
  <c r="U127" i="11"/>
  <c r="P127" i="11"/>
  <c r="X127" i="10"/>
  <c r="S127" i="10"/>
  <c r="Z127" i="9"/>
  <c r="Y127" i="9"/>
  <c r="T127" i="9"/>
  <c r="O127" i="9"/>
  <c r="V127" i="8"/>
  <c r="U127" i="8"/>
  <c r="P127" i="8"/>
  <c r="R127" i="11"/>
  <c r="Q127" i="11"/>
  <c r="W127" i="11"/>
  <c r="Z127" i="10"/>
  <c r="Y127" i="10"/>
  <c r="T127" i="10"/>
  <c r="O127" i="10"/>
  <c r="V127" i="9"/>
  <c r="U127" i="9"/>
  <c r="P127" i="9"/>
  <c r="R127" i="8"/>
  <c r="Q127" i="8"/>
  <c r="W127" i="8"/>
  <c r="X127" i="8"/>
  <c r="X127" i="11"/>
  <c r="S127" i="11"/>
  <c r="V127" i="10"/>
  <c r="U127" i="10"/>
  <c r="P127" i="10"/>
  <c r="R127" i="9"/>
  <c r="Q127" i="9"/>
  <c r="W127" i="9"/>
  <c r="L161" i="1"/>
  <c r="S41" i="11"/>
  <c r="S41" i="10"/>
  <c r="S41" i="9"/>
  <c r="S41" i="8"/>
  <c r="Z135" i="11"/>
  <c r="Z136" i="11" s="1"/>
  <c r="Z137" i="11" s="1"/>
  <c r="Z135" i="10"/>
  <c r="Z136" i="10" s="1"/>
  <c r="Z137" i="10" s="1"/>
  <c r="Z135" i="9"/>
  <c r="Z136" i="9" s="1"/>
  <c r="Z137" i="9" s="1"/>
  <c r="Z135" i="8"/>
  <c r="Z136" i="8" s="1"/>
  <c r="Z137" i="8" s="1"/>
  <c r="O135" i="11"/>
  <c r="O135" i="10"/>
  <c r="O135" i="9"/>
  <c r="O135" i="8"/>
  <c r="Q135" i="8"/>
  <c r="Q136" i="8" s="1"/>
  <c r="Q135" i="11"/>
  <c r="Q136" i="11" s="1"/>
  <c r="Q135" i="10"/>
  <c r="Q136" i="10" s="1"/>
  <c r="Q135" i="9"/>
  <c r="Q136" i="9" s="1"/>
  <c r="U135" i="11"/>
  <c r="U136" i="11" s="1"/>
  <c r="U135" i="10"/>
  <c r="U136" i="10" s="1"/>
  <c r="U135" i="9"/>
  <c r="U136" i="9" s="1"/>
  <c r="U135" i="8"/>
  <c r="U136" i="8" s="1"/>
  <c r="R135" i="11"/>
  <c r="R136" i="11" s="1"/>
  <c r="R135" i="10"/>
  <c r="R136" i="10" s="1"/>
  <c r="R135" i="9"/>
  <c r="R136" i="9" s="1"/>
  <c r="R135" i="8"/>
  <c r="R136" i="8" s="1"/>
  <c r="V135" i="8"/>
  <c r="V136" i="8" s="1"/>
  <c r="V135" i="11"/>
  <c r="V136" i="11" s="1"/>
  <c r="V135" i="10"/>
  <c r="V136" i="10" s="1"/>
  <c r="V137" i="10" s="1"/>
  <c r="V135" i="9"/>
  <c r="V136" i="9" s="1"/>
  <c r="S135" i="11"/>
  <c r="S136" i="11" s="1"/>
  <c r="S135" i="10"/>
  <c r="S136" i="10" s="1"/>
  <c r="S135" i="9"/>
  <c r="S136" i="9" s="1"/>
  <c r="S135" i="8"/>
  <c r="S136" i="8" s="1"/>
  <c r="Z103" i="8"/>
  <c r="Z119" i="8" s="1"/>
  <c r="Z104" i="8"/>
  <c r="Z120" i="8" s="1"/>
  <c r="Z104" i="9"/>
  <c r="Z120" i="9" s="1"/>
  <c r="Z103" i="9"/>
  <c r="Z119" i="9" s="1"/>
  <c r="Z104" i="11"/>
  <c r="Z120" i="11" s="1"/>
  <c r="Z103" i="11"/>
  <c r="Z119" i="11" s="1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L106" i="1"/>
  <c r="U135" i="2"/>
  <c r="U136" i="2" s="1"/>
  <c r="Q42" i="2"/>
  <c r="Q32" i="2"/>
  <c r="Q22" i="2"/>
  <c r="S41" i="2"/>
  <c r="K151" i="1"/>
  <c r="J151" i="1"/>
  <c r="M151" i="1"/>
  <c r="K159" i="1"/>
  <c r="J159" i="1"/>
  <c r="M159" i="1"/>
  <c r="J106" i="1"/>
  <c r="M149" i="1"/>
  <c r="K149" i="1"/>
  <c r="J149" i="1"/>
  <c r="M156" i="1"/>
  <c r="K156" i="1"/>
  <c r="J156" i="1"/>
  <c r="K106" i="1"/>
  <c r="K105" i="1"/>
  <c r="K107" i="1"/>
  <c r="J22" i="1"/>
  <c r="M150" i="1"/>
  <c r="K150" i="1"/>
  <c r="J150" i="1"/>
  <c r="K155" i="1"/>
  <c r="J155" i="1"/>
  <c r="M155" i="1"/>
  <c r="L105" i="1"/>
  <c r="L107" i="1"/>
  <c r="M152" i="1"/>
  <c r="K152" i="1"/>
  <c r="J152" i="1"/>
  <c r="X137" i="11" l="1"/>
  <c r="V137" i="11"/>
  <c r="X137" i="10"/>
  <c r="V137" i="9"/>
  <c r="X137" i="9"/>
  <c r="S137" i="8"/>
  <c r="V137" i="8"/>
  <c r="V40" i="9"/>
  <c r="U40" i="9"/>
  <c r="R49" i="9"/>
  <c r="V40" i="11"/>
  <c r="U40" i="11"/>
  <c r="R49" i="11"/>
  <c r="Y2" i="1"/>
  <c r="X2" i="11"/>
  <c r="X146" i="11" s="1"/>
  <c r="X2" i="10"/>
  <c r="X146" i="10" s="1"/>
  <c r="X2" i="9"/>
  <c r="X146" i="9" s="1"/>
  <c r="X2" i="8"/>
  <c r="X146" i="8" s="1"/>
  <c r="X2" i="2"/>
  <c r="X146" i="2" s="1"/>
  <c r="X2" i="7"/>
  <c r="X8" i="7" s="1"/>
  <c r="V40" i="8"/>
  <c r="U40" i="8"/>
  <c r="R49" i="8"/>
  <c r="V40" i="10"/>
  <c r="U40" i="10"/>
  <c r="R49" i="10"/>
  <c r="U40" i="2"/>
  <c r="V40" i="2"/>
  <c r="R49" i="2"/>
  <c r="T137" i="9"/>
  <c r="T137" i="11"/>
  <c r="P137" i="8"/>
  <c r="P137" i="10"/>
  <c r="W137" i="8"/>
  <c r="S137" i="9"/>
  <c r="T137" i="10"/>
  <c r="P137" i="11"/>
  <c r="Q34" i="2"/>
  <c r="V34" i="2" s="1"/>
  <c r="U44" i="10"/>
  <c r="U44" i="9"/>
  <c r="Q34" i="11"/>
  <c r="V34" i="11" s="1"/>
  <c r="V44" i="2"/>
  <c r="S31" i="10"/>
  <c r="S31" i="8"/>
  <c r="S31" i="9"/>
  <c r="S31" i="11"/>
  <c r="Q34" i="9"/>
  <c r="U34" i="9" s="1"/>
  <c r="Q34" i="8"/>
  <c r="U34" i="8" s="1"/>
  <c r="U44" i="8"/>
  <c r="S137" i="10"/>
  <c r="R137" i="11"/>
  <c r="U137" i="8"/>
  <c r="Q137" i="9"/>
  <c r="O136" i="8"/>
  <c r="O137" i="8" s="1"/>
  <c r="U41" i="8"/>
  <c r="S49" i="8"/>
  <c r="V41" i="8"/>
  <c r="X137" i="8"/>
  <c r="Y137" i="8"/>
  <c r="U22" i="9"/>
  <c r="V22" i="9"/>
  <c r="U22" i="8"/>
  <c r="V22" i="8"/>
  <c r="U32" i="11"/>
  <c r="V32" i="11"/>
  <c r="W137" i="9"/>
  <c r="R30" i="8"/>
  <c r="R20" i="8"/>
  <c r="R30" i="10"/>
  <c r="R20" i="9"/>
  <c r="R30" i="11"/>
  <c r="R20" i="10"/>
  <c r="R20" i="11"/>
  <c r="R30" i="9"/>
  <c r="Q34" i="10"/>
  <c r="U34" i="10" s="1"/>
  <c r="S137" i="11"/>
  <c r="R137" i="8"/>
  <c r="U137" i="9"/>
  <c r="Q137" i="10"/>
  <c r="O136" i="9"/>
  <c r="O137" i="9" s="1"/>
  <c r="S49" i="9"/>
  <c r="U41" i="9"/>
  <c r="V41" i="9"/>
  <c r="T137" i="8"/>
  <c r="Y137" i="9"/>
  <c r="U22" i="10"/>
  <c r="V22" i="10"/>
  <c r="U42" i="9"/>
  <c r="V42" i="9"/>
  <c r="U42" i="8"/>
  <c r="V42" i="8"/>
  <c r="W137" i="10"/>
  <c r="R137" i="9"/>
  <c r="U137" i="10"/>
  <c r="Q137" i="11"/>
  <c r="O136" i="10"/>
  <c r="O137" i="10" s="1"/>
  <c r="V41" i="10"/>
  <c r="U41" i="10"/>
  <c r="S49" i="10"/>
  <c r="Y137" i="10"/>
  <c r="U42" i="10"/>
  <c r="V42" i="10"/>
  <c r="V22" i="11"/>
  <c r="U22" i="11"/>
  <c r="U32" i="8"/>
  <c r="V32" i="8"/>
  <c r="W137" i="11"/>
  <c r="R137" i="10"/>
  <c r="P137" i="9"/>
  <c r="U137" i="11"/>
  <c r="Q137" i="8"/>
  <c r="O136" i="11"/>
  <c r="O137" i="11" s="1"/>
  <c r="S49" i="11"/>
  <c r="V41" i="11"/>
  <c r="U41" i="11"/>
  <c r="Y137" i="11"/>
  <c r="V42" i="11"/>
  <c r="U42" i="11"/>
  <c r="V32" i="10"/>
  <c r="U32" i="10"/>
  <c r="V32" i="9"/>
  <c r="U32" i="9"/>
  <c r="Y137" i="2"/>
  <c r="V44" i="11"/>
  <c r="U44" i="11"/>
  <c r="V44" i="8"/>
  <c r="S21" i="9"/>
  <c r="S21" i="8"/>
  <c r="S21" i="11"/>
  <c r="S21" i="10"/>
  <c r="X137" i="2"/>
  <c r="W137" i="2"/>
  <c r="J161" i="1"/>
  <c r="P137" i="2"/>
  <c r="U41" i="2"/>
  <c r="V41" i="2"/>
  <c r="S49" i="2"/>
  <c r="U32" i="2"/>
  <c r="V32" i="2"/>
  <c r="U42" i="2"/>
  <c r="V42" i="2"/>
  <c r="U137" i="2"/>
  <c r="T137" i="2"/>
  <c r="Q137" i="2"/>
  <c r="V22" i="2"/>
  <c r="U22" i="2"/>
  <c r="O137" i="2"/>
  <c r="S21" i="2"/>
  <c r="R20" i="2"/>
  <c r="R30" i="2"/>
  <c r="S31" i="2"/>
  <c r="V137" i="2"/>
  <c r="R137" i="2"/>
  <c r="S137" i="2"/>
  <c r="K161" i="1"/>
  <c r="M161" i="1"/>
  <c r="U34" i="11" l="1"/>
  <c r="J138" i="8"/>
  <c r="J140" i="8" s="1"/>
  <c r="R148" i="8" s="1"/>
  <c r="R12" i="7" s="1"/>
  <c r="Z2" i="1"/>
  <c r="Y2" i="11"/>
  <c r="Y146" i="11" s="1"/>
  <c r="Y2" i="10"/>
  <c r="Y146" i="10" s="1"/>
  <c r="Y2" i="9"/>
  <c r="Y146" i="9" s="1"/>
  <c r="Y2" i="8"/>
  <c r="Y146" i="8" s="1"/>
  <c r="Y2" i="2"/>
  <c r="Y146" i="2" s="1"/>
  <c r="Y2" i="7"/>
  <c r="Y8" i="7" s="1"/>
  <c r="J138" i="11"/>
  <c r="J140" i="11" s="1"/>
  <c r="V148" i="11" s="1"/>
  <c r="V18" i="7" s="1"/>
  <c r="J138" i="10"/>
  <c r="J140" i="10" s="1"/>
  <c r="S148" i="10" s="1"/>
  <c r="S16" i="7" s="1"/>
  <c r="U44" i="2"/>
  <c r="V44" i="9"/>
  <c r="V34" i="8"/>
  <c r="V44" i="10"/>
  <c r="V34" i="9"/>
  <c r="J138" i="9"/>
  <c r="J140" i="9" s="1"/>
  <c r="Z148" i="9" s="1"/>
  <c r="Z14" i="7" s="1"/>
  <c r="U34" i="2"/>
  <c r="V34" i="10"/>
  <c r="U148" i="9"/>
  <c r="U14" i="7" s="1"/>
  <c r="R51" i="11"/>
  <c r="V20" i="11"/>
  <c r="U20" i="11"/>
  <c r="R50" i="10"/>
  <c r="V30" i="10"/>
  <c r="U30" i="10"/>
  <c r="S50" i="11"/>
  <c r="V31" i="11"/>
  <c r="U31" i="11"/>
  <c r="U20" i="10"/>
  <c r="V20" i="10"/>
  <c r="R51" i="10"/>
  <c r="V20" i="8"/>
  <c r="U20" i="8"/>
  <c r="R51" i="8"/>
  <c r="S50" i="9"/>
  <c r="V31" i="9"/>
  <c r="U31" i="9"/>
  <c r="R50" i="11"/>
  <c r="U30" i="11"/>
  <c r="V30" i="11"/>
  <c r="U30" i="8"/>
  <c r="R50" i="8"/>
  <c r="V30" i="8"/>
  <c r="V31" i="8"/>
  <c r="S50" i="8"/>
  <c r="U31" i="8"/>
  <c r="R50" i="9"/>
  <c r="V30" i="9"/>
  <c r="U30" i="9"/>
  <c r="R51" i="9"/>
  <c r="V20" i="9"/>
  <c r="U20" i="9"/>
  <c r="S50" i="10"/>
  <c r="V31" i="10"/>
  <c r="U31" i="10"/>
  <c r="Q19" i="11"/>
  <c r="Q19" i="9"/>
  <c r="Q19" i="10"/>
  <c r="Q19" i="8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Q19" i="2"/>
  <c r="J138" i="2"/>
  <c r="J140" i="2" s="1"/>
  <c r="W148" i="9" l="1"/>
  <c r="W14" i="7" s="1"/>
  <c r="Z148" i="8"/>
  <c r="Z12" i="7" s="1"/>
  <c r="P148" i="8"/>
  <c r="P12" i="7" s="1"/>
  <c r="T148" i="9"/>
  <c r="T14" i="7" s="1"/>
  <c r="W148" i="8"/>
  <c r="W12" i="7" s="1"/>
  <c r="V148" i="8"/>
  <c r="V12" i="7" s="1"/>
  <c r="W148" i="11"/>
  <c r="W18" i="7" s="1"/>
  <c r="R148" i="11"/>
  <c r="R18" i="7" s="1"/>
  <c r="U148" i="11"/>
  <c r="U18" i="7" s="1"/>
  <c r="O148" i="11"/>
  <c r="O18" i="7" s="1"/>
  <c r="Z148" i="11"/>
  <c r="Z18" i="7" s="1"/>
  <c r="S148" i="11"/>
  <c r="S18" i="7" s="1"/>
  <c r="W148" i="10"/>
  <c r="W16" i="7" s="1"/>
  <c r="U148" i="10"/>
  <c r="U16" i="7" s="1"/>
  <c r="Y148" i="10"/>
  <c r="Y16" i="7" s="1"/>
  <c r="S148" i="9"/>
  <c r="S14" i="7" s="1"/>
  <c r="Q148" i="9"/>
  <c r="Q14" i="7" s="1"/>
  <c r="R148" i="9"/>
  <c r="R14" i="7" s="1"/>
  <c r="X148" i="8"/>
  <c r="X12" i="7" s="1"/>
  <c r="O148" i="8"/>
  <c r="O12" i="7" s="1"/>
  <c r="Z148" i="10"/>
  <c r="Z16" i="7" s="1"/>
  <c r="Q148" i="10"/>
  <c r="Q16" i="7" s="1"/>
  <c r="X148" i="11"/>
  <c r="X18" i="7" s="1"/>
  <c r="Y148" i="11"/>
  <c r="Y18" i="7" s="1"/>
  <c r="P148" i="11"/>
  <c r="P18" i="7" s="1"/>
  <c r="V148" i="10"/>
  <c r="V16" i="7" s="1"/>
  <c r="O148" i="10"/>
  <c r="O16" i="7" s="1"/>
  <c r="X148" i="10"/>
  <c r="X16" i="7" s="1"/>
  <c r="V148" i="9"/>
  <c r="V14" i="7" s="1"/>
  <c r="X148" i="9"/>
  <c r="X14" i="7" s="1"/>
  <c r="Y148" i="9"/>
  <c r="Y14" i="7" s="1"/>
  <c r="Q148" i="8"/>
  <c r="Q12" i="7" s="1"/>
  <c r="U148" i="8"/>
  <c r="U12" i="7" s="1"/>
  <c r="Y148" i="8"/>
  <c r="Y12" i="7" s="1"/>
  <c r="Q148" i="11"/>
  <c r="Q18" i="7" s="1"/>
  <c r="T148" i="11"/>
  <c r="T18" i="7" s="1"/>
  <c r="P148" i="10"/>
  <c r="P16" i="7" s="1"/>
  <c r="T148" i="10"/>
  <c r="T16" i="7" s="1"/>
  <c r="R148" i="10"/>
  <c r="R16" i="7" s="1"/>
  <c r="P148" i="9"/>
  <c r="P14" i="7" s="1"/>
  <c r="O148" i="9"/>
  <c r="O14" i="7" s="1"/>
  <c r="S148" i="8"/>
  <c r="S12" i="7" s="1"/>
  <c r="T148" i="8"/>
  <c r="T12" i="7" s="1"/>
  <c r="Z2" i="11"/>
  <c r="Z146" i="11" s="1"/>
  <c r="Z2" i="10"/>
  <c r="Z146" i="10" s="1"/>
  <c r="Z2" i="9"/>
  <c r="Z146" i="9" s="1"/>
  <c r="Z2" i="8"/>
  <c r="Z146" i="8" s="1"/>
  <c r="Z2" i="7"/>
  <c r="Z8" i="7" s="1"/>
  <c r="Z2" i="2"/>
  <c r="Z146" i="2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T51" i="10" l="1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U128" i="11" s="1"/>
  <c r="U147" i="11" s="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Z128" i="2" s="1"/>
  <c r="Z147" i="2" s="1"/>
  <c r="Q126" i="2"/>
  <c r="U126" i="2"/>
  <c r="R126" i="2"/>
  <c r="R128" i="8" l="1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U17" i="7"/>
  <c r="U149" i="1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Z149" i="2"/>
  <c r="Z9" i="7"/>
  <c r="R149" i="2" l="1"/>
  <c r="R149" i="9"/>
  <c r="P149" i="9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<sst xmlns="http://schemas.openxmlformats.org/spreadsheetml/2006/main" count="675" uniqueCount="200">
  <si>
    <t>General inputs, timing and costs</t>
  </si>
  <si>
    <t>General inputs</t>
  </si>
  <si>
    <t>Company</t>
  </si>
  <si>
    <t>Powercor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</si>
  <si>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</si>
  <si>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</si>
  <si>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</si>
  <si>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</si>
  <si>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</si>
  <si>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</si>
  <si>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</si>
  <si>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</si>
  <si>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</si>
  <si>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</si>
  <si>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</si>
  <si>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</si>
  <si>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</si>
  <si>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</si>
  <si>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</si>
  <si>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</si>
  <si>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</si>
  <si>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</si>
  <si>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</si>
  <si>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</si>
  <si>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</si>
  <si>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</si>
  <si>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</si>
  <si>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</si>
  <si>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</si>
  <si>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</si>
  <si>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</si>
  <si>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</si>
  <si>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</si>
  <si>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</si>
  <si>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</si>
  <si>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</si>
  <si>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</si>
  <si>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</si>
  <si>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</si>
  <si>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</si>
  <si>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</si>
  <si>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</si>
  <si>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</si>
  <si>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</si>
  <si>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</si>
  <si>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</si>
  <si>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</si>
  <si>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</si>
  <si>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</si>
  <si>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</si>
  <si>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</si>
  <si>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</si>
  <si>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</si>
  <si>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</si>
  <si>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</si>
  <si>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</si>
  <si>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</si>
  <si>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</si>
  <si>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</si>
  <si>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</si>
  <si>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</si>
  <si>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</si>
  <si>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</si>
  <si>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</si>
  <si>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</si>
  <si>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</si>
  <si>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</si>
  <si>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</si>
  <si>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</si>
  <si>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</si>
  <si>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</si>
  <si>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</si>
  <si>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</si>
  <si>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</si>
  <si>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</si>
  <si>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</si>
  <si>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</si>
  <si>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</si>
  <si>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</si>
  <si>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</si>
  <si>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</si>
  <si>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</si>
  <si>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</si>
  <si>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</si>
  <si>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</si>
  <si>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</si>
  <si>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</si>
  <si>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</si>
  <si>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</si>
  <si>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</si>
  <si>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</si>
  <si>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</si>
  <si>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</si>
  <si>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</si>
  <si>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</si>
  <si>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</si>
  <si>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</si>
  <si>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</si>
  <si>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</si>
  <si>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</si>
  <si>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</si>
  <si>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</si>
  <si>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</si>
  <si>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</si>
  <si>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</si>
  <si>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</si>
  <si>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</si>
  <si>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</si>
  <si>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</si>
  <si>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</si>
  <si>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</si>
  <si>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</si>
  <si>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</si>
  <si>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</si>
  <si>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</si>
  <si>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</si>
  <si>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</si>
  <si>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</si>
  <si>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</si>
  <si>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</si>
  <si>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</si>
  <si>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</si>
  <si>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</si>
  <si>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</si>
  <si>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</si>
  <si>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</si>
  <si>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</si>
  <si>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</si>
  <si>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</si>
  <si>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</si>
  <si>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</si>
  <si>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</si>
  <si>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</si>
  <si>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</si>
  <si>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</si>
  <si>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</si>
  <si>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</si>
  <si>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</si>
  <si>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</si>
  <si>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</si>
  <si>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</si>
  <si>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</si>
  <si>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</si>
  <si>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</si>
  <si>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</si>
  <si>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</si>
  <si>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</si>
  <si>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</si>
  <si>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</si>
  <si>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</si>
  <si>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</si>
  <si>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</si>
  <si>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</si>
  <si>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</si>
  <si>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</si>
  <si>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</si>
  <si>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</si>
  <si>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</si>
  <si>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</si>
  <si>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</si>
  <si>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</si>
  <si>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</si>
  <si>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</si>
  <si>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</si>
  <si>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</si>
  <si>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</si>
  <si>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</si>
  <si>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</si>
  <si>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</si>
  <si>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</si>
  <si>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</si>
  <si>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</si>
  <si>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</si>
  <si>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</si>
  <si>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</si>
  <si>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</si>
  <si>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</si>
  <si>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</si>
  <si>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</si>
  <si>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</si>
  <si>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</si>
  <si>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</si>
  <si>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</si>
  <si>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</si>
  <si>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</si>
  <si>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</si>
  <si>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</si>
  <si>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</si>
  <si>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</si>
  <si>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</si>
  <si>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</si>
  <si>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</si>
  <si>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Coincidental</t>
  </si>
  <si>
    <t>Days to connect generators, plus 1 day lead time</t>
  </si>
  <si>
    <t>Adjustment</t>
  </si>
  <si>
    <t>Weighting to 50% PoE</t>
  </si>
  <si>
    <t>Warrnambool Transformer Replacement Risk Monetisation Model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</si>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</sst>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3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21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2" fillId="0" borderId="0" xfId="0" applyFont="1" applyProtection="1">
      <protection locked="0"/>
    </xf>
    <xf numFmtId="166" fontId="12" fillId="0" borderId="6" xfId="0" applyNumberFormat="1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166" fontId="12" fillId="0" borderId="6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8" fillId="5" borderId="1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right"/>
    </xf>
    <xf numFmtId="165" fontId="8" fillId="0" borderId="0" xfId="0" applyNumberFormat="1" applyFont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371109.01343961392</c:v>
                </c:pt>
                <c:pt idx="1">
                  <c:v>413543.60651666071</c:v>
                </c:pt>
                <c:pt idx="2">
                  <c:v>473337.90890922898</c:v>
                </c:pt>
                <c:pt idx="3">
                  <c:v>550999.36438932642</c:v>
                </c:pt>
                <c:pt idx="4">
                  <c:v>620527.8613480319</c:v>
                </c:pt>
                <c:pt idx="5">
                  <c:v>694964.21460576798</c:v>
                </c:pt>
                <c:pt idx="6">
                  <c:v>934428.58117029048</c:v>
                </c:pt>
                <c:pt idx="7">
                  <c:v>1006631.9842337902</c:v>
                </c:pt>
                <c:pt idx="8">
                  <c:v>1084731.9667259753</c:v>
                </c:pt>
                <c:pt idx="9">
                  <c:v>1169219.9538602293</c:v>
                </c:pt>
                <c:pt idx="10">
                  <c:v>1260628.8447489357</c:v>
                </c:pt>
                <c:pt idx="11">
                  <c:v>1359288.124355054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DB9-4CA8-B433-94936F649C8F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149008.9069520359</c:v>
                </c:pt>
                <c:pt idx="1">
                  <c:v>149008.9069520359</c:v>
                </c:pt>
                <c:pt idx="2">
                  <c:v>149008.9069520359</c:v>
                </c:pt>
                <c:pt idx="3">
                  <c:v>149008.9069520359</c:v>
                </c:pt>
                <c:pt idx="4">
                  <c:v>149008.9069520359</c:v>
                </c:pt>
                <c:pt idx="5">
                  <c:v>149008.9069520359</c:v>
                </c:pt>
                <c:pt idx="6">
                  <c:v>149008.9069520359</c:v>
                </c:pt>
                <c:pt idx="7">
                  <c:v>149008.9069520359</c:v>
                </c:pt>
                <c:pt idx="8">
                  <c:v>149008.9069520359</c:v>
                </c:pt>
                <c:pt idx="9">
                  <c:v>149008.9069520359</c:v>
                </c:pt>
                <c:pt idx="10">
                  <c:v>149008.9069520359</c:v>
                </c:pt>
                <c:pt idx="11">
                  <c:v>149008.9069520359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B9-4CA8-B433-94936F649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88288"/>
        <c:axId val="105403904"/>
      </c:lineChart>
      <c:catAx>
        <c:axId val="10538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403904"/>
        <c:crosses val="autoZero"/>
        <c:auto val="1"/>
        <c:lblAlgn val="ctr"/>
        <c:lblOffset val="100"/>
        <c:noMultiLvlLbl val="0"/>
      </c:catAx>
      <c:valAx>
        <c:axId val="10540390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0538828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289643.00583127054</c:v>
                </c:pt>
                <c:pt idx="1">
                  <c:v>322182.60681314406</c:v>
                </c:pt>
                <c:pt idx="2">
                  <c:v>365395.33073313482</c:v>
                </c:pt>
                <c:pt idx="3">
                  <c:v>424647.53748952085</c:v>
                </c:pt>
                <c:pt idx="4">
                  <c:v>481001.6926073567</c:v>
                </c:pt>
                <c:pt idx="5">
                  <c:v>538120.66913370776</c:v>
                </c:pt>
                <c:pt idx="6">
                  <c:v>631021.53965775319</c:v>
                </c:pt>
                <c:pt idx="7">
                  <c:v>679219.67105241877</c:v>
                </c:pt>
                <c:pt idx="8">
                  <c:v>731353.96193575696</c:v>
                </c:pt>
                <c:pt idx="9">
                  <c:v>787752.45469912852</c:v>
                </c:pt>
                <c:pt idx="10">
                  <c:v>848770.87691698282</c:v>
                </c:pt>
                <c:pt idx="11">
                  <c:v>914629.17057077005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721-435F-985D-AA211E10F8DE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163909.79764723947</c:v>
                </c:pt>
                <c:pt idx="1">
                  <c:v>163909.79764723947</c:v>
                </c:pt>
                <c:pt idx="2">
                  <c:v>163909.79764723947</c:v>
                </c:pt>
                <c:pt idx="3">
                  <c:v>163909.79764723947</c:v>
                </c:pt>
                <c:pt idx="4">
                  <c:v>163909.79764723947</c:v>
                </c:pt>
                <c:pt idx="5">
                  <c:v>163909.79764723947</c:v>
                </c:pt>
                <c:pt idx="6">
                  <c:v>163909.79764723947</c:v>
                </c:pt>
                <c:pt idx="7">
                  <c:v>163909.79764723947</c:v>
                </c:pt>
                <c:pt idx="8">
                  <c:v>163909.79764723947</c:v>
                </c:pt>
                <c:pt idx="9">
                  <c:v>163909.79764723947</c:v>
                </c:pt>
                <c:pt idx="10">
                  <c:v>163909.79764723947</c:v>
                </c:pt>
                <c:pt idx="11">
                  <c:v>163909.79764723947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721-435F-985D-AA211E10F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237568"/>
        <c:axId val="216239488"/>
      </c:lineChart>
      <c:catAx>
        <c:axId val="21623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239488"/>
        <c:crosses val="autoZero"/>
        <c:auto val="1"/>
        <c:lblAlgn val="ctr"/>
        <c:lblOffset val="100"/>
        <c:noMultiLvlLbl val="0"/>
      </c:catAx>
      <c:valAx>
        <c:axId val="21623948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1623756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272491.4006004238</c:v>
                </c:pt>
                <c:pt idx="1">
                  <c:v>303965.53057878895</c:v>
                </c:pt>
                <c:pt idx="2">
                  <c:v>346026.65589764726</c:v>
                </c:pt>
                <c:pt idx="3">
                  <c:v>404034.00443359371</c:v>
                </c:pt>
                <c:pt idx="4">
                  <c:v>459042.31027821935</c:v>
                </c:pt>
                <c:pt idx="5">
                  <c:v>514706.06477518269</c:v>
                </c:pt>
                <c:pt idx="6">
                  <c:v>606033.25334014406</c:v>
                </c:pt>
                <c:pt idx="7">
                  <c:v>652529.3902880114</c:v>
                </c:pt>
                <c:pt idx="8">
                  <c:v>702822.69126149954</c:v>
                </c:pt>
                <c:pt idx="9">
                  <c:v>757229.6146690998</c:v>
                </c:pt>
                <c:pt idx="10">
                  <c:v>816093.32647055236</c:v>
                </c:pt>
                <c:pt idx="11">
                  <c:v>879626.00195552467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B4B-4692-89D2-05DB6F40A558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134108.01625683228</c:v>
                </c:pt>
                <c:pt idx="1">
                  <c:v>134108.01625683228</c:v>
                </c:pt>
                <c:pt idx="2">
                  <c:v>134108.01625683228</c:v>
                </c:pt>
                <c:pt idx="3">
                  <c:v>134108.01625683228</c:v>
                </c:pt>
                <c:pt idx="4">
                  <c:v>134108.01625683228</c:v>
                </c:pt>
                <c:pt idx="5">
                  <c:v>134108.01625683228</c:v>
                </c:pt>
                <c:pt idx="6">
                  <c:v>134108.01625683228</c:v>
                </c:pt>
                <c:pt idx="7">
                  <c:v>134108.01625683228</c:v>
                </c:pt>
                <c:pt idx="8">
                  <c:v>134108.01625683228</c:v>
                </c:pt>
                <c:pt idx="9">
                  <c:v>134108.01625683228</c:v>
                </c:pt>
                <c:pt idx="10">
                  <c:v>134108.01625683228</c:v>
                </c:pt>
                <c:pt idx="11">
                  <c:v>134108.01625683228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B4B-4692-89D2-05DB6F40A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106560"/>
        <c:axId val="307108096"/>
      </c:lineChart>
      <c:catAx>
        <c:axId val="30710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7108096"/>
        <c:crosses val="autoZero"/>
        <c:auto val="1"/>
        <c:lblAlgn val="ctr"/>
        <c:lblOffset val="100"/>
        <c:noMultiLvlLbl val="0"/>
      </c:catAx>
      <c:valAx>
        <c:axId val="30710809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0710656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495148.50105733966</c:v>
                </c:pt>
                <c:pt idx="1">
                  <c:v>551209.00344393076</c:v>
                </c:pt>
                <c:pt idx="2">
                  <c:v>625149.17820583773</c:v>
                </c:pt>
                <c:pt idx="3">
                  <c:v>725888.94905702421</c:v>
                </c:pt>
                <c:pt idx="4">
                  <c:v>816463.80040306214</c:v>
                </c:pt>
                <c:pt idx="5">
                  <c:v>1046210.3303193817</c:v>
                </c:pt>
                <c:pt idx="6">
                  <c:v>1229508.054439283</c:v>
                </c:pt>
                <c:pt idx="7">
                  <c:v>1324797.3094562367</c:v>
                </c:pt>
                <c:pt idx="8">
                  <c:v>1427868.4783036716</c:v>
                </c:pt>
                <c:pt idx="9">
                  <c:v>1539370.111333692</c:v>
                </c:pt>
                <c:pt idx="10">
                  <c:v>1660005.4933952624</c:v>
                </c:pt>
                <c:pt idx="11">
                  <c:v>1790209.4568553837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035-49C8-A96C-7CD519C35EDD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163909.79764723947</c:v>
                </c:pt>
                <c:pt idx="1">
                  <c:v>163909.79764723947</c:v>
                </c:pt>
                <c:pt idx="2">
                  <c:v>163909.79764723947</c:v>
                </c:pt>
                <c:pt idx="3">
                  <c:v>163909.79764723947</c:v>
                </c:pt>
                <c:pt idx="4">
                  <c:v>163909.79764723947</c:v>
                </c:pt>
                <c:pt idx="5">
                  <c:v>163909.79764723947</c:v>
                </c:pt>
                <c:pt idx="6">
                  <c:v>163909.79764723947</c:v>
                </c:pt>
                <c:pt idx="7">
                  <c:v>163909.79764723947</c:v>
                </c:pt>
                <c:pt idx="8">
                  <c:v>163909.79764723947</c:v>
                </c:pt>
                <c:pt idx="9">
                  <c:v>163909.79764723947</c:v>
                </c:pt>
                <c:pt idx="10">
                  <c:v>163909.79764723947</c:v>
                </c:pt>
                <c:pt idx="11">
                  <c:v>163909.79764723947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035-49C8-A96C-7CD519C35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41888"/>
        <c:axId val="43943424"/>
      </c:lineChart>
      <c:catAx>
        <c:axId val="4394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43424"/>
        <c:crosses val="autoZero"/>
        <c:auto val="1"/>
        <c:lblAlgn val="ctr"/>
        <c:lblOffset val="100"/>
        <c:noMultiLvlLbl val="0"/>
      </c:catAx>
      <c:valAx>
        <c:axId val="4394342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394188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474931.52640449553</c:v>
                </c:pt>
                <c:pt idx="1">
                  <c:v>529689.78645346523</c:v>
                </c:pt>
                <c:pt idx="2">
                  <c:v>602222.45181398815</c:v>
                </c:pt>
                <c:pt idx="3">
                  <c:v>701440.72928463749</c:v>
                </c:pt>
                <c:pt idx="4">
                  <c:v>790370.65374119626</c:v>
                </c:pt>
                <c:pt idx="5">
                  <c:v>1018338.5789549307</c:v>
                </c:pt>
                <c:pt idx="6">
                  <c:v>1199712.9140137294</c:v>
                </c:pt>
                <c:pt idx="7">
                  <c:v>1292921.9535957074</c:v>
                </c:pt>
                <c:pt idx="8">
                  <c:v>1393743.0236644365</c:v>
                </c:pt>
                <c:pt idx="9">
                  <c:v>1502810.5163707365</c:v>
                </c:pt>
                <c:pt idx="10">
                  <c:v>1620812.3634789269</c:v>
                </c:pt>
                <c:pt idx="11">
                  <c:v>1748173.9047327188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4EB-4394-8F4F-740DF47431F2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134108.01625683228</c:v>
                </c:pt>
                <c:pt idx="1">
                  <c:v>134108.01625683228</c:v>
                </c:pt>
                <c:pt idx="2">
                  <c:v>134108.01625683228</c:v>
                </c:pt>
                <c:pt idx="3">
                  <c:v>134108.01625683228</c:v>
                </c:pt>
                <c:pt idx="4">
                  <c:v>134108.01625683228</c:v>
                </c:pt>
                <c:pt idx="5">
                  <c:v>134108.01625683228</c:v>
                </c:pt>
                <c:pt idx="6">
                  <c:v>134108.01625683228</c:v>
                </c:pt>
                <c:pt idx="7">
                  <c:v>134108.01625683228</c:v>
                </c:pt>
                <c:pt idx="8">
                  <c:v>134108.01625683228</c:v>
                </c:pt>
                <c:pt idx="9">
                  <c:v>134108.01625683228</c:v>
                </c:pt>
                <c:pt idx="10">
                  <c:v>134108.01625683228</c:v>
                </c:pt>
                <c:pt idx="11">
                  <c:v>134108.01625683228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EB-4394-8F4F-740DF4743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53152"/>
        <c:axId val="43954944"/>
      </c:lineChart>
      <c:catAx>
        <c:axId val="4395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54944"/>
        <c:crosses val="autoZero"/>
        <c:auto val="1"/>
        <c:lblAlgn val="ctr"/>
        <c:lblOffset val="100"/>
        <c:noMultiLvlLbl val="0"/>
      </c:catAx>
      <c:valAx>
        <c:axId val="4395494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3953152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zoomScale="80" zoomScaleNormal="80" workbookViewId="0">
      <pane ySplit="3" topLeftCell="A4" activePane="bottomLeft" state="frozen"/>
      <selection pane="bottomLeft" activeCell="A4" sqref="A4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Powercor - Warrnambool Transformer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3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 t="s">
        <v>4</v>
      </c>
      <c r="D9" s="10"/>
      <c r="E9" s="10"/>
      <c r="F9" s="10"/>
      <c r="G9" s="10"/>
      <c r="H9" s="10"/>
      <c r="I9" s="10"/>
      <c r="J9" s="14" t="s">
        <v>196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 t="s">
        <v>5</v>
      </c>
      <c r="D10" s="10"/>
      <c r="E10" s="10"/>
      <c r="F10" s="10"/>
      <c r="G10" s="10"/>
      <c r="H10" s="10"/>
      <c r="I10" s="10"/>
      <c r="J10" s="14">
        <v>2019</v>
      </c>
      <c r="K10" s="117" t="str">
        <f>"FY"&amp;RIGHT(J10,2)&amp;"/"&amp;RIGHT(J10+1,2)</f>
        <v>FY19/20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 t="s">
        <v>6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 t="s">
        <v>7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8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 t="s">
        <v>9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">
        <v>10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 t="s">
        <v>11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3748000</v>
      </c>
      <c r="K21" s="10"/>
      <c r="L21" s="10"/>
      <c r="M21" s="10"/>
      <c r="N21" s="10"/>
      <c r="O21" s="18">
        <v>0</v>
      </c>
      <c r="P21" s="18">
        <v>50000</v>
      </c>
      <c r="Q21" s="18">
        <v>750000</v>
      </c>
      <c r="R21" s="18">
        <v>2948000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 t="s">
        <v>12</v>
      </c>
      <c r="E22" s="10"/>
      <c r="F22" s="10"/>
      <c r="G22" s="10"/>
      <c r="H22" s="10"/>
      <c r="I22" s="10"/>
      <c r="J22" s="19">
        <f>SUM(O22:Z22)</f>
        <v>3883856.7079646019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51812.389380530978</v>
      </c>
      <c r="Q22" s="19">
        <f t="shared" si="2"/>
        <v>777185.84070796461</v>
      </c>
      <c r="R22" s="19">
        <f t="shared" si="2"/>
        <v>3054858.4778761063</v>
      </c>
      <c r="S22" s="19">
        <f t="shared" si="2"/>
        <v>0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 t="s">
        <v>13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14</v>
      </c>
      <c r="K25" s="10" t="s">
        <v>15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16200</v>
      </c>
      <c r="K26" s="18">
        <v>4100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 t="s">
        <v>16</v>
      </c>
      <c r="E27" s="10"/>
      <c r="F27" s="10"/>
      <c r="G27" s="10"/>
      <c r="H27" s="10"/>
      <c r="I27" s="10"/>
      <c r="J27" s="19">
        <f>J26*HLOOKUP($J$10,$O$16:$Z$17,2,0)</f>
        <v>16787.214159292038</v>
      </c>
      <c r="K27" s="19">
        <f>K26*HLOOKUP($J$10,$O$16:$Z$17,2,0)</f>
        <v>4248.61592920354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17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18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 t="s">
        <v>19</v>
      </c>
      <c r="D33" s="10"/>
      <c r="E33" s="10"/>
      <c r="F33" s="10"/>
      <c r="G33" s="10"/>
      <c r="H33" s="10"/>
      <c r="I33" s="10"/>
      <c r="J33" s="20" t="s">
        <v>20</v>
      </c>
      <c r="K33" s="20" t="s">
        <v>21</v>
      </c>
      <c r="L33" s="20" t="s">
        <v>22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23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11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13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24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25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26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27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28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21" t="s">
        <v>29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21" t="s">
        <v>30</v>
      </c>
      <c r="E45" s="22"/>
      <c r="F45" s="22"/>
      <c r="G45" s="22"/>
      <c r="H45" s="22"/>
      <c r="I45" s="23"/>
      <c r="J45" s="20" t="s">
        <v>20</v>
      </c>
      <c r="K45" s="20" t="s">
        <v>22</v>
      </c>
      <c r="L45" s="20" t="s">
        <v>22</v>
      </c>
      <c r="M45" s="20" t="s">
        <v>20</v>
      </c>
      <c r="N45" s="20" t="s">
        <v>20</v>
      </c>
      <c r="O45" s="20" t="s">
        <v>20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21" t="s">
        <v>31</v>
      </c>
      <c r="E46" s="22"/>
      <c r="F46" s="22"/>
      <c r="G46" s="22"/>
      <c r="H46" s="22"/>
      <c r="I46" s="23"/>
      <c r="J46" s="20" t="s">
        <v>20</v>
      </c>
      <c r="K46" s="20" t="s">
        <v>20</v>
      </c>
      <c r="L46" s="20" t="s">
        <v>20</v>
      </c>
      <c r="M46" s="20" t="s">
        <v>20</v>
      </c>
      <c r="N46" s="20" t="s">
        <v>20</v>
      </c>
      <c r="O46" s="20" t="s">
        <v>20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21" t="s">
        <v>32</v>
      </c>
      <c r="E47" s="22"/>
      <c r="F47" s="22"/>
      <c r="G47" s="22"/>
      <c r="H47" s="22"/>
      <c r="I47" s="23"/>
      <c r="J47" s="20" t="s">
        <v>22</v>
      </c>
      <c r="K47" s="20" t="s">
        <v>22</v>
      </c>
      <c r="L47" s="20" t="s">
        <v>22</v>
      </c>
      <c r="M47" s="20" t="s">
        <v>22</v>
      </c>
      <c r="N47" s="20" t="s">
        <v>22</v>
      </c>
      <c r="O47" s="20" t="s">
        <v>22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21" t="s">
        <v>33</v>
      </c>
      <c r="E48" s="22"/>
      <c r="F48" s="22"/>
      <c r="G48" s="22"/>
      <c r="H48" s="22"/>
      <c r="I48" s="23"/>
      <c r="J48" s="20" t="s">
        <v>22</v>
      </c>
      <c r="K48" s="20" t="s">
        <v>20</v>
      </c>
      <c r="L48" s="20" t="s">
        <v>20</v>
      </c>
      <c r="M48" s="20" t="s">
        <v>22</v>
      </c>
      <c r="N48" s="20" t="s">
        <v>22</v>
      </c>
      <c r="O48" s="20" t="s">
        <v>22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8"/>
      <c r="B50" s="8" t="s">
        <v>34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ht="13.15" x14ac:dyDescent="0.4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ht="13.15" x14ac:dyDescent="0.4">
      <c r="A52" s="8"/>
      <c r="B52" s="8"/>
      <c r="C52" s="9" t="s">
        <v>28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ht="13.15" x14ac:dyDescent="0.4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ht="13.15" x14ac:dyDescent="0.4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ht="13.15" x14ac:dyDescent="0.4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ht="13.15" x14ac:dyDescent="0.4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ht="13.15" x14ac:dyDescent="0.4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ht="13.15" x14ac:dyDescent="0.4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ht="13.15" x14ac:dyDescent="0.4">
      <c r="A59" s="11" t="s">
        <v>35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ht="13.15" x14ac:dyDescent="0.4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ht="13.15" x14ac:dyDescent="0.4">
      <c r="A61" s="8"/>
      <c r="B61" s="8" t="s">
        <v>36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ht="13.15" x14ac:dyDescent="0.4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ht="13.15" x14ac:dyDescent="0.4">
      <c r="A63" s="8"/>
      <c r="B63" s="8"/>
      <c r="C63" s="9" t="s">
        <v>37</v>
      </c>
      <c r="D63" s="10"/>
      <c r="E63" s="10"/>
      <c r="F63" s="10"/>
      <c r="G63" s="10"/>
      <c r="H63" s="10"/>
      <c r="I63" s="10"/>
      <c r="J63" s="10" t="s">
        <v>38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ht="13.15" x14ac:dyDescent="0.4">
      <c r="A64" s="8"/>
      <c r="B64" s="8"/>
      <c r="C64" s="9"/>
      <c r="D64" s="21" t="s">
        <v>39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0.38164589384529235</v>
      </c>
      <c r="P64" s="15">
        <v>0.41112449658597383</v>
      </c>
      <c r="Q64" s="15">
        <v>0.44298600906986285</v>
      </c>
      <c r="R64" s="15">
        <v>0.47742775438998342</v>
      </c>
      <c r="S64" s="15">
        <v>0.51466363968686701</v>
      </c>
      <c r="T64" s="15">
        <v>0.55492556325170728</v>
      </c>
      <c r="U64" s="15">
        <v>0.59846494176060949</v>
      </c>
      <c r="V64" s="15">
        <v>0.64555436793814291</v>
      </c>
      <c r="W64" s="15">
        <v>0.69648940983357865</v>
      </c>
      <c r="X64" s="15">
        <v>0.7515905638546424</v>
      </c>
      <c r="Y64" s="15">
        <v>0.81120537474781351</v>
      </c>
      <c r="Z64" s="15">
        <v>0.87554872515271265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ht="13.15" x14ac:dyDescent="0.4">
      <c r="A65" s="8"/>
      <c r="B65" s="8"/>
      <c r="C65" s="9"/>
      <c r="D65" s="21" t="s">
        <v>40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2.0518596443295286E-3</v>
      </c>
      <c r="P65" s="15">
        <v>2.210346755838569E-3</v>
      </c>
      <c r="Q65" s="15">
        <v>2.3816452100530261E-3</v>
      </c>
      <c r="R65" s="15">
        <v>2.566815883817115E-3</v>
      </c>
      <c r="S65" s="15">
        <v>2.7670088155207903E-3</v>
      </c>
      <c r="T65" s="15">
        <v>2.9834707701704693E-3</v>
      </c>
      <c r="U65" s="15">
        <v>3.2175534503258571E-3</v>
      </c>
      <c r="V65" s="15">
        <v>3.4707224082695851E-3</v>
      </c>
      <c r="W65" s="15">
        <v>3.7445667195353687E-3</v>
      </c>
      <c r="X65" s="15">
        <v>4.0408094830894749E-3</v>
      </c>
      <c r="Y65" s="15">
        <v>4.3613192190742663E-3</v>
      </c>
      <c r="Z65" s="15">
        <v>4.7072512104984554E-3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ht="13.15" x14ac:dyDescent="0.4">
      <c r="A66" s="8"/>
      <c r="B66" s="8"/>
      <c r="C66" s="9"/>
      <c r="D66" s="21" t="s">
        <v>41</v>
      </c>
      <c r="E66" s="22"/>
      <c r="F66" s="22"/>
      <c r="G66" s="22"/>
      <c r="H66" s="22"/>
      <c r="I66" s="23"/>
      <c r="J66" s="30">
        <v>3</v>
      </c>
      <c r="K66" s="29"/>
      <c r="L66" s="29"/>
      <c r="M66" s="29"/>
      <c r="N66" s="29"/>
      <c r="O66" s="15">
        <v>2.0518596443295286E-3</v>
      </c>
      <c r="P66" s="15">
        <v>2.210346755838569E-3</v>
      </c>
      <c r="Q66" s="15">
        <v>2.3816452100530261E-3</v>
      </c>
      <c r="R66" s="15">
        <v>2.566815883817115E-3</v>
      </c>
      <c r="S66" s="15">
        <v>2.7670088155207903E-3</v>
      </c>
      <c r="T66" s="15">
        <v>2.9834707701704693E-3</v>
      </c>
      <c r="U66" s="15">
        <v>3.2175534503258571E-3</v>
      </c>
      <c r="V66" s="15">
        <v>3.4707224082695851E-3</v>
      </c>
      <c r="W66" s="15">
        <v>3.7445667195353687E-3</v>
      </c>
      <c r="X66" s="15">
        <v>4.0408094830894749E-3</v>
      </c>
      <c r="Y66" s="15">
        <v>4.3613192190742663E-3</v>
      </c>
      <c r="Z66" s="15">
        <v>4.7072512104984554E-3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ht="13.15" x14ac:dyDescent="0.4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ht="13.15" x14ac:dyDescent="0.4">
      <c r="A68" s="8"/>
      <c r="B68" s="8" t="s">
        <v>42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ht="13.15" x14ac:dyDescent="0.4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65" x14ac:dyDescent="0.4">
      <c r="A70" s="8"/>
      <c r="B70" s="8"/>
      <c r="C70" s="9" t="s">
        <v>43</v>
      </c>
      <c r="D70" s="10"/>
      <c r="E70" s="10"/>
      <c r="F70" s="10"/>
      <c r="G70" s="10"/>
      <c r="H70" s="10"/>
      <c r="I70" s="10"/>
      <c r="J70" s="31" t="s">
        <v>44</v>
      </c>
      <c r="K70" s="31" t="s">
        <v>45</v>
      </c>
      <c r="L70" s="31" t="s">
        <v>46</v>
      </c>
      <c r="M70" s="31" t="s">
        <v>47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ht="13.15" x14ac:dyDescent="0.4">
      <c r="A71" s="8"/>
      <c r="B71" s="8"/>
      <c r="C71" s="9"/>
      <c r="D71" s="10" t="s">
        <v>48</v>
      </c>
      <c r="E71" s="10"/>
      <c r="F71" s="10"/>
      <c r="G71" s="10"/>
      <c r="H71" s="10"/>
      <c r="I71" s="10"/>
      <c r="J71" s="18">
        <v>58186</v>
      </c>
      <c r="K71" s="18">
        <v>26450</v>
      </c>
      <c r="L71" s="15">
        <v>0.2</v>
      </c>
      <c r="M71" s="19">
        <f>K71*J71/$J$75*L71*$W$17</f>
        <v>1404.9718117046884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ht="13.15" x14ac:dyDescent="0.4">
      <c r="A72" s="8"/>
      <c r="B72" s="8"/>
      <c r="C72" s="9"/>
      <c r="D72" s="10" t="s">
        <v>49</v>
      </c>
      <c r="E72" s="10"/>
      <c r="F72" s="10"/>
      <c r="G72" s="10"/>
      <c r="H72" s="10"/>
      <c r="I72" s="10"/>
      <c r="J72" s="18">
        <v>15590</v>
      </c>
      <c r="K72" s="18">
        <v>50930</v>
      </c>
      <c r="L72" s="15">
        <v>0.15</v>
      </c>
      <c r="M72" s="19">
        <f>K72*J72/$J$75*L72*$W$17</f>
        <v>543.6313414458732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ht="13.15" x14ac:dyDescent="0.4">
      <c r="A73" s="8"/>
      <c r="B73" s="8"/>
      <c r="C73" s="9"/>
      <c r="D73" s="10" t="s">
        <v>50</v>
      </c>
      <c r="E73" s="10"/>
      <c r="F73" s="10"/>
      <c r="G73" s="10"/>
      <c r="H73" s="10"/>
      <c r="I73" s="10"/>
      <c r="J73" s="18">
        <v>145450</v>
      </c>
      <c r="K73" s="18">
        <v>47770</v>
      </c>
      <c r="L73" s="15">
        <v>0.4</v>
      </c>
      <c r="M73" s="19">
        <f>K73*J73/$J$75*L73*$W$17</f>
        <v>12685.932449200736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ht="13.15" x14ac:dyDescent="0.4">
      <c r="A74" s="8"/>
      <c r="B74" s="8"/>
      <c r="C74" s="9"/>
      <c r="D74" s="29" t="s">
        <v>51</v>
      </c>
      <c r="E74" s="29"/>
      <c r="F74" s="29"/>
      <c r="G74" s="29"/>
      <c r="H74" s="29"/>
      <c r="I74" s="29"/>
      <c r="J74" s="18">
        <v>12514</v>
      </c>
      <c r="K74" s="18">
        <v>47070</v>
      </c>
      <c r="L74" s="15">
        <v>0.8</v>
      </c>
      <c r="M74" s="19">
        <f>K74*J74/$J$75*L74*$W$17</f>
        <v>2150.9175952360406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ht="13.15" x14ac:dyDescent="0.4">
      <c r="A75" s="8"/>
      <c r="B75" s="8"/>
      <c r="C75" s="9"/>
      <c r="D75" s="10" t="s">
        <v>52</v>
      </c>
      <c r="E75" s="10"/>
      <c r="F75" s="10"/>
      <c r="G75" s="10"/>
      <c r="H75" s="10"/>
      <c r="I75" s="10"/>
      <c r="J75" s="32">
        <f>SUM(J71:J74)</f>
        <v>231740</v>
      </c>
      <c r="K75" s="32">
        <f>SUMPRODUCT(J71:J74,K71:K74)/J75</f>
        <v>42591.692759126607</v>
      </c>
      <c r="L75" s="33">
        <f>M75/(K75*$W$17)</f>
        <v>0.37257501836680318</v>
      </c>
      <c r="M75" s="34">
        <f>SUMPRODUCT(J71:J74,K71:K74,L71:L74)/J75*W17</f>
        <v>16785.453197587336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53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54</v>
      </c>
      <c r="D79" s="10"/>
      <c r="E79" s="10"/>
      <c r="F79" s="10"/>
      <c r="G79" s="10"/>
      <c r="H79" s="10"/>
      <c r="I79" s="10"/>
      <c r="J79" s="14">
        <v>3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55</v>
      </c>
      <c r="D80" s="10"/>
      <c r="E80" s="10"/>
      <c r="F80" s="10"/>
      <c r="G80" s="10"/>
      <c r="H80" s="10"/>
      <c r="I80" s="10"/>
      <c r="J80" s="18">
        <v>98.9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56</v>
      </c>
      <c r="E81" s="10"/>
      <c r="F81" s="10"/>
      <c r="G81" s="10"/>
      <c r="H81" s="10"/>
      <c r="I81" s="10"/>
      <c r="J81" s="18">
        <v>59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57</v>
      </c>
      <c r="E82" s="10"/>
      <c r="F82" s="10"/>
      <c r="G82" s="10"/>
      <c r="H82" s="10"/>
      <c r="I82" s="10"/>
      <c r="J82" s="18">
        <v>19.05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58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59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60</v>
      </c>
      <c r="E85" s="29"/>
      <c r="F85" s="29"/>
      <c r="G85" s="29"/>
      <c r="H85" s="29"/>
      <c r="I85" s="29"/>
      <c r="J85" s="18">
        <v>12.3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61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62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63</v>
      </c>
      <c r="D91" s="10"/>
      <c r="E91" s="10"/>
      <c r="F91" s="10"/>
      <c r="G91" s="10"/>
      <c r="H91" s="10"/>
      <c r="I91" s="10"/>
      <c r="J91" s="10" t="s">
        <v>64</v>
      </c>
      <c r="K91" s="10" t="s">
        <v>65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66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67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68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69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70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71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72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35" t="str">
        <f>D66</f>
        <v>Catastrophic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73</v>
      </c>
      <c r="E100" s="10"/>
      <c r="F100" s="10"/>
      <c r="G100" s="10"/>
      <c r="H100" s="10"/>
      <c r="I100" s="10"/>
      <c r="J100" s="18">
        <v>500</v>
      </c>
      <c r="K100" s="18">
        <v>4050</v>
      </c>
      <c r="L100" s="19">
        <f>K100*$J$79</f>
        <v>12150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74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8">
        <v>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75</v>
      </c>
      <c r="E102" s="10"/>
      <c r="F102" s="10"/>
      <c r="G102" s="10"/>
      <c r="H102" s="10"/>
      <c r="I102" s="10"/>
      <c r="J102" s="18">
        <v>0.05</v>
      </c>
      <c r="K102" s="18">
        <v>2.5</v>
      </c>
      <c r="L102" s="18">
        <v>5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76</v>
      </c>
      <c r="E103" s="10"/>
      <c r="F103" s="10"/>
      <c r="G103" s="10"/>
      <c r="H103" s="10"/>
      <c r="I103" s="10"/>
      <c r="J103" s="18">
        <v>10</v>
      </c>
      <c r="K103" s="18">
        <v>405</v>
      </c>
      <c r="L103" s="19">
        <f>K103*$J$79</f>
        <v>1215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77</v>
      </c>
      <c r="E104" s="29"/>
      <c r="F104" s="29"/>
      <c r="G104" s="29"/>
      <c r="H104" s="29"/>
      <c r="I104" s="29"/>
      <c r="J104" s="18">
        <v>2</v>
      </c>
      <c r="K104" s="18">
        <v>3</v>
      </c>
      <c r="L104" s="18">
        <v>5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78</v>
      </c>
      <c r="E105" s="10"/>
      <c r="F105" s="10"/>
      <c r="G105" s="10"/>
      <c r="H105" s="10"/>
      <c r="I105" s="10"/>
      <c r="J105" s="36">
        <f>SUMPRODUCT($K$94:$K$96,J102:J104)</f>
        <v>11709.6</v>
      </c>
      <c r="K105" s="36">
        <f t="shared" ref="K105:L105" si="8">SUMPRODUCT($K$94:$K$96,K102:K104)</f>
        <v>446830.04601769918</v>
      </c>
      <c r="L105" s="36">
        <f t="shared" si="8"/>
        <v>1312925.9469026548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79</v>
      </c>
      <c r="E106" s="10"/>
      <c r="F106" s="10"/>
      <c r="G106" s="10"/>
      <c r="H106" s="10"/>
      <c r="I106" s="10"/>
      <c r="J106" s="19">
        <f>SUMPRODUCT($K$93:$K$96,J101:J104)</f>
        <v>11709.6</v>
      </c>
      <c r="K106" s="19">
        <f t="shared" ref="K106:L106" si="9">SUMPRODUCT($K$93:$K$96,K101:K104)</f>
        <v>446830.04601769918</v>
      </c>
      <c r="L106" s="19">
        <f t="shared" si="9"/>
        <v>1312925.9469026548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80</v>
      </c>
      <c r="E107" s="29"/>
      <c r="F107" s="29"/>
      <c r="G107" s="29"/>
      <c r="H107" s="29"/>
      <c r="I107" s="29"/>
      <c r="J107" s="19">
        <f>SUMPRODUCT($K$92:$K$96,J100:J104)</f>
        <v>63521.989380530969</v>
      </c>
      <c r="K107" s="19">
        <f t="shared" ref="K107:L107" si="10">SUMPRODUCT($K$92:$K$96,K100:K104)</f>
        <v>866510.40000000014</v>
      </c>
      <c r="L107" s="19">
        <f t="shared" si="10"/>
        <v>2571967.0088495575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81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82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83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84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85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86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87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88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89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90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91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92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93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94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37" t="s">
        <v>192</v>
      </c>
      <c r="M125" s="37" t="str">
        <f>L99</f>
        <v>Catastrophic</v>
      </c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95</v>
      </c>
      <c r="E126" s="29"/>
      <c r="F126" s="29"/>
      <c r="G126" s="29"/>
      <c r="H126" s="29"/>
      <c r="I126" s="29"/>
      <c r="J126" s="18">
        <v>0</v>
      </c>
      <c r="K126" s="18">
        <v>0</v>
      </c>
      <c r="L126" s="18">
        <v>0</v>
      </c>
      <c r="M126" s="18">
        <v>0</v>
      </c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96</v>
      </c>
      <c r="E128" s="10"/>
      <c r="F128" s="10"/>
      <c r="G128" s="10"/>
      <c r="H128" s="10"/>
      <c r="I128" s="10"/>
      <c r="J128" s="18">
        <f>200/24/7</f>
        <v>1.1904761904761905</v>
      </c>
      <c r="K128" s="18">
        <v>6</v>
      </c>
      <c r="L128" s="18">
        <v>6</v>
      </c>
      <c r="M128" s="18">
        <v>12</v>
      </c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97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AVERAGE(O193:Z193)</f>
        <v>0</v>
      </c>
      <c r="L129" s="19">
        <f>AVERAGE(O194:Z194)</f>
        <v>21.355166666666662</v>
      </c>
      <c r="M129" s="19">
        <f>AVERAGE(O196:Z196)</f>
        <v>40.405166666666652</v>
      </c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98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0</v>
      </c>
      <c r="L130" s="19">
        <f t="shared" ref="L130" si="13">ROUNDUP(L129/$J$114,0)</f>
        <v>22</v>
      </c>
      <c r="M130" s="19">
        <f>ROUNDUP(M129/$J$114,0)</f>
        <v>41</v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99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0</v>
      </c>
      <c r="L131" s="19">
        <f>ROUNDUP(L130/$J$115,0)</f>
        <v>6</v>
      </c>
      <c r="M131" s="19">
        <f>ROUNDUP(M130/$J$115,0)</f>
        <v>11</v>
      </c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100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4">ROUNDUP(K131/$J$118,0)</f>
        <v>0</v>
      </c>
      <c r="L132" s="19">
        <f t="shared" ref="L132" si="15">ROUNDUP(L131/$J$118,0)</f>
        <v>2</v>
      </c>
      <c r="M132" s="19">
        <f>ROUNDUP(M131/$J$118,0)</f>
        <v>4</v>
      </c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101</v>
      </c>
      <c r="D134" s="10"/>
      <c r="E134" s="10"/>
      <c r="F134" s="10"/>
      <c r="G134" s="10"/>
      <c r="H134" s="10"/>
      <c r="I134" s="10"/>
      <c r="J134" s="10" t="s">
        <v>64</v>
      </c>
      <c r="K134" s="10" t="s">
        <v>65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102</v>
      </c>
      <c r="E135" s="10"/>
      <c r="F135" s="10"/>
      <c r="G135" s="10"/>
      <c r="H135" s="10"/>
      <c r="I135" s="10"/>
      <c r="J135" s="18">
        <v>7000</v>
      </c>
      <c r="K135" s="19">
        <f t="shared" ref="K135:K146" si="16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103</v>
      </c>
      <c r="E136" s="10"/>
      <c r="F136" s="10"/>
      <c r="G136" s="10"/>
      <c r="H136" s="10"/>
      <c r="I136" s="10"/>
      <c r="J136" s="18">
        <v>1.5</v>
      </c>
      <c r="K136" s="19">
        <f t="shared" si="16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104</v>
      </c>
      <c r="E137" s="10"/>
      <c r="F137" s="10"/>
      <c r="G137" s="10"/>
      <c r="H137" s="10"/>
      <c r="I137" s="10"/>
      <c r="J137" s="18">
        <v>150</v>
      </c>
      <c r="K137" s="19">
        <f t="shared" si="16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105</v>
      </c>
      <c r="E138" s="10"/>
      <c r="F138" s="10"/>
      <c r="G138" s="10"/>
      <c r="H138" s="10"/>
      <c r="I138" s="10"/>
      <c r="J138" s="18">
        <v>10000</v>
      </c>
      <c r="K138" s="19">
        <f t="shared" si="16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106</v>
      </c>
      <c r="E139" s="10"/>
      <c r="F139" s="10"/>
      <c r="G139" s="10"/>
      <c r="H139" s="10"/>
      <c r="I139" s="10"/>
      <c r="J139" s="18">
        <v>7000</v>
      </c>
      <c r="K139" s="19">
        <f t="shared" si="16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107</v>
      </c>
      <c r="E140" s="10"/>
      <c r="F140" s="10"/>
      <c r="G140" s="10"/>
      <c r="H140" s="10"/>
      <c r="I140" s="10"/>
      <c r="J140" s="18">
        <v>2000</v>
      </c>
      <c r="K140" s="19">
        <f t="shared" si="16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108</v>
      </c>
      <c r="E141" s="10"/>
      <c r="F141" s="10"/>
      <c r="G141" s="10"/>
      <c r="H141" s="10"/>
      <c r="I141" s="10"/>
      <c r="J141" s="18">
        <v>3000</v>
      </c>
      <c r="K141" s="19">
        <f t="shared" si="16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109</v>
      </c>
      <c r="E142" s="10"/>
      <c r="F142" s="10"/>
      <c r="G142" s="10"/>
      <c r="H142" s="10"/>
      <c r="I142" s="10"/>
      <c r="J142" s="18">
        <v>2000</v>
      </c>
      <c r="K142" s="19">
        <f t="shared" si="16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110</v>
      </c>
      <c r="E143" s="10"/>
      <c r="F143" s="10"/>
      <c r="G143" s="10"/>
      <c r="H143" s="10"/>
      <c r="I143" s="10"/>
      <c r="J143" s="18">
        <v>2500</v>
      </c>
      <c r="K143" s="19">
        <f t="shared" si="16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111</v>
      </c>
      <c r="E144" s="10"/>
      <c r="F144" s="10"/>
      <c r="G144" s="10"/>
      <c r="H144" s="10"/>
      <c r="I144" s="10"/>
      <c r="J144" s="18">
        <v>4000</v>
      </c>
      <c r="K144" s="19">
        <f t="shared" si="16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112</v>
      </c>
      <c r="E145" s="10"/>
      <c r="F145" s="10"/>
      <c r="G145" s="10"/>
      <c r="H145" s="10"/>
      <c r="I145" s="10"/>
      <c r="J145" s="18">
        <v>2500</v>
      </c>
      <c r="K145" s="19">
        <f t="shared" si="16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113</v>
      </c>
      <c r="E146" s="29"/>
      <c r="F146" s="29"/>
      <c r="G146" s="29"/>
      <c r="H146" s="29"/>
      <c r="I146" s="29"/>
      <c r="J146" s="18">
        <v>3000</v>
      </c>
      <c r="K146" s="19">
        <f t="shared" si="16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114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37" t="str">
        <f>L125</f>
        <v>Coincidental</v>
      </c>
      <c r="M148" s="37" t="str">
        <f>M125</f>
        <v>Catastrophic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115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0</v>
      </c>
      <c r="L149" s="19">
        <f>IFERROR((L130*$K135)*(L128+(L132/L128)),0)</f>
        <v>1010687.0088495576</v>
      </c>
      <c r="M149" s="19">
        <f>IFERROR((M130*$K135)*(M128+(M132/M128)),0)</f>
        <v>3667971.7522123898</v>
      </c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116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0</v>
      </c>
      <c r="L150" s="19">
        <f>(L128*$J$120*$J$123)*(L129*$L$75*$J$119*$K136)</f>
        <v>3365858.6089573032</v>
      </c>
      <c r="M150" s="19">
        <f>(M128*$J$120*$J$123)*(M129*$L$75*$J$119*$K136)</f>
        <v>12736784.516286112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117</v>
      </c>
      <c r="E151" s="10"/>
      <c r="F151" s="10"/>
      <c r="G151" s="10"/>
      <c r="H151" s="10"/>
      <c r="I151" s="10"/>
      <c r="J151" s="19">
        <f t="shared" ref="J151:K151" si="17">($K137*$J$122*$J$121*J131)
+($K137*J131*$J$123*J128*$J$120)</f>
        <v>0</v>
      </c>
      <c r="K151" s="19">
        <f t="shared" si="17"/>
        <v>0</v>
      </c>
      <c r="L151" s="19">
        <f t="shared" ref="L151" si="18">($K137*$J$122*$J$121*L131)
+($K137*L131*$J$123*L128*$J$120)</f>
        <v>1014693.8336283187</v>
      </c>
      <c r="M151" s="19">
        <f>($K137*$J$122*$J$121*M131)
+($K137*M131*$J$123*M128*$J$120)</f>
        <v>3583759.3486725669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118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0</v>
      </c>
      <c r="L152" s="19">
        <f>$K138*L128*$J$120*L131</f>
        <v>2611344.4247787609</v>
      </c>
      <c r="M152" s="19">
        <f>$K138*M128*$J$120*M131</f>
        <v>9574929.5575221237</v>
      </c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119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0</v>
      </c>
      <c r="L153" s="19">
        <f>IFERROR((L131*$J$117*$K139)*(L128+(L132/L128)),0)</f>
        <v>275641.91150442482</v>
      </c>
      <c r="M153" s="19">
        <f>IFERROR((M131*$J$117*$K139)*(M128+(M132/M128)),0)</f>
        <v>984089.98230088514</v>
      </c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120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0</v>
      </c>
      <c r="L154" s="19">
        <f>$K140*L131</f>
        <v>12434.973451327434</v>
      </c>
      <c r="M154" s="19">
        <f>$K140*M131</f>
        <v>22797.451327433628</v>
      </c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121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0</v>
      </c>
      <c r="L155" s="19">
        <f>$K141*L128*L131</f>
        <v>111914.76106194692</v>
      </c>
      <c r="M155" s="19">
        <f>$K141*M128*M131</f>
        <v>410354.12389380537</v>
      </c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122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0</v>
      </c>
      <c r="L156" s="19">
        <f>$K142*L131</f>
        <v>12434.973451327434</v>
      </c>
      <c r="M156" s="19">
        <f>$K142*M131</f>
        <v>22797.451327433628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123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0</v>
      </c>
      <c r="L157" s="19">
        <f>$K143*L131</f>
        <v>15543.716814159292</v>
      </c>
      <c r="M157" s="19">
        <f>$K143*M131</f>
        <v>28496.814159292036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124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0</v>
      </c>
      <c r="L158" s="19">
        <f>$K144*L131</f>
        <v>24869.946902654869</v>
      </c>
      <c r="M158" s="19">
        <f>$K144*M131</f>
        <v>45594.902654867255</v>
      </c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125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0</v>
      </c>
      <c r="L159" s="19">
        <f>$K145*L131</f>
        <v>15543.716814159292</v>
      </c>
      <c r="M159" s="19">
        <f>$K145*M131</f>
        <v>28496.814159292036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126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0</v>
      </c>
      <c r="L160" s="19">
        <f>$K146*L131</f>
        <v>18652.460176991153</v>
      </c>
      <c r="M160" s="19">
        <f>$K146*M131</f>
        <v>34196.176991150445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52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9">IF(OR(K126&gt;0,K128=0),0,SUM(K149:K160))</f>
        <v>0</v>
      </c>
      <c r="L161" s="17">
        <f t="shared" ref="L161" si="20">IF(OR(L126&gt;0,L128=0),0,SUM(L149:L160))</f>
        <v>8489620.336390933</v>
      </c>
      <c r="M161" s="19">
        <f>IF(OR(M126&gt;0,M128=0),0,SUM(M149:M160))</f>
        <v>31140268.891507354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127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128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129</v>
      </c>
      <c r="D167" s="10"/>
      <c r="E167" s="10"/>
      <c r="F167" s="10"/>
      <c r="G167" s="10"/>
      <c r="H167" s="10"/>
      <c r="I167" s="10"/>
      <c r="J167" s="31" t="s">
        <v>130</v>
      </c>
      <c r="K167" s="31" t="s">
        <v>131</v>
      </c>
      <c r="L167" s="31" t="s">
        <v>132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133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134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21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135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21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136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22">K148</f>
        <v>Major</v>
      </c>
      <c r="L172" s="37" t="str">
        <f>M148</f>
        <v>Catastrophic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1.1723329425556858E-2</v>
      </c>
      <c r="K173" s="24">
        <v>4.1031652989448997E-2</v>
      </c>
      <c r="L173" s="28">
        <f>K173</f>
        <v>4.1031652989448997E-2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23">D169</f>
        <v>Serious</v>
      </c>
      <c r="E174" s="10"/>
      <c r="F174" s="10"/>
      <c r="G174" s="10"/>
      <c r="H174" s="10"/>
      <c r="I174" s="10"/>
      <c r="J174" s="24">
        <v>2.3446658851113715E-3</v>
      </c>
      <c r="K174" s="24">
        <v>8.2063305978897997E-3</v>
      </c>
      <c r="L174" s="28">
        <f t="shared" ref="L174:L175" si="24">K174</f>
        <v>8.2063305978897997E-3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23"/>
        <v>Fataility</v>
      </c>
      <c r="E175" s="29"/>
      <c r="F175" s="29"/>
      <c r="G175" s="29"/>
      <c r="H175" s="29"/>
      <c r="I175" s="29"/>
      <c r="J175" s="24">
        <v>2.3446658851113716E-4</v>
      </c>
      <c r="K175" s="24">
        <v>8.2063305978897995E-4</v>
      </c>
      <c r="L175" s="28">
        <f t="shared" si="24"/>
        <v>8.2063305978897995E-4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137</v>
      </c>
      <c r="E177" s="10"/>
      <c r="F177" s="10"/>
      <c r="G177" s="10"/>
      <c r="H177" s="10"/>
      <c r="I177" s="10"/>
      <c r="J177" s="19">
        <f>SUMPRODUCT($L$168:$L$170,J$173:J$175)</f>
        <v>8261.6387603969597</v>
      </c>
      <c r="K177" s="19">
        <f t="shared" ref="K177:L177" si="25">SUMPRODUCT($L$168:$L$170,K$173:K$175)</f>
        <v>28915.735661389357</v>
      </c>
      <c r="L177" s="19">
        <f t="shared" si="25"/>
        <v>28915.735661389357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138</v>
      </c>
      <c r="E178" s="29"/>
      <c r="F178" s="29"/>
      <c r="G178" s="29"/>
      <c r="H178" s="29"/>
      <c r="I178" s="29"/>
      <c r="J178" s="38">
        <f>J177/SUM($L$168:$L$170)</f>
        <v>5.2166432441893803E-4</v>
      </c>
      <c r="K178" s="38">
        <f t="shared" ref="K178:L178" si="26">K177/SUM($L$168:$L$170)</f>
        <v>1.825825135466283E-3</v>
      </c>
      <c r="L178" s="38">
        <f t="shared" si="26"/>
        <v>1.825825135466283E-3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139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140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141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49.722000000000001</v>
      </c>
      <c r="P185" s="18">
        <v>50.829000000000001</v>
      </c>
      <c r="Q185" s="18">
        <v>52.927999999999997</v>
      </c>
      <c r="R185" s="18">
        <v>54.759</v>
      </c>
      <c r="S185" s="18">
        <v>57.465000000000003</v>
      </c>
      <c r="T185" s="18">
        <v>58.552</v>
      </c>
      <c r="U185" s="18">
        <v>60.923999999999999</v>
      </c>
      <c r="V185" s="18">
        <v>60.923999999999999</v>
      </c>
      <c r="W185" s="18">
        <v>60.923999999999999</v>
      </c>
      <c r="X185" s="18">
        <v>60.923999999999999</v>
      </c>
      <c r="Y185" s="18">
        <v>60.923999999999999</v>
      </c>
      <c r="Z185" s="18">
        <v>60.923999999999999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44.816000000000003</v>
      </c>
      <c r="P186" s="18">
        <v>45.594000000000001</v>
      </c>
      <c r="Q186" s="18">
        <v>46.667000000000002</v>
      </c>
      <c r="R186" s="18">
        <v>48.884999999999998</v>
      </c>
      <c r="S186" s="18">
        <v>49.566000000000003</v>
      </c>
      <c r="T186" s="18">
        <v>50.767000000000003</v>
      </c>
      <c r="U186" s="18">
        <v>53.598999999999997</v>
      </c>
      <c r="V186" s="18">
        <v>53.598999999999997</v>
      </c>
      <c r="W186" s="18">
        <v>53.598999999999997</v>
      </c>
      <c r="X186" s="18">
        <v>53.598999999999997</v>
      </c>
      <c r="Y186" s="18">
        <v>53.598999999999997</v>
      </c>
      <c r="Z186" s="18">
        <v>53.598999999999997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195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46.287800000000004</v>
      </c>
      <c r="P187" s="19">
        <f t="shared" ref="P187:Z187" si="27">P185*(1-$J$187)
+P186*$J$187</f>
        <v>47.164500000000004</v>
      </c>
      <c r="Q187" s="19">
        <f t="shared" si="27"/>
        <v>48.545299999999997</v>
      </c>
      <c r="R187" s="19">
        <f t="shared" si="27"/>
        <v>50.647199999999998</v>
      </c>
      <c r="S187" s="19">
        <f t="shared" si="27"/>
        <v>51.935699999999997</v>
      </c>
      <c r="T187" s="19">
        <f t="shared" si="27"/>
        <v>53.102500000000006</v>
      </c>
      <c r="U187" s="19">
        <f t="shared" si="27"/>
        <v>55.796499999999995</v>
      </c>
      <c r="V187" s="19">
        <f t="shared" si="27"/>
        <v>55.796499999999995</v>
      </c>
      <c r="W187" s="19">
        <f t="shared" si="27"/>
        <v>55.796499999999995</v>
      </c>
      <c r="X187" s="19">
        <f t="shared" si="27"/>
        <v>55.796499999999995</v>
      </c>
      <c r="Y187" s="19">
        <f t="shared" si="27"/>
        <v>55.796499999999995</v>
      </c>
      <c r="Z187" s="19">
        <f t="shared" si="27"/>
        <v>55.796499999999995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142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148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8">MAX(0,P$187-$J$85-$J80)</f>
        <v>0</v>
      </c>
      <c r="Q192" s="19">
        <f t="shared" si="28"/>
        <v>0</v>
      </c>
      <c r="R192" s="19">
        <f t="shared" si="28"/>
        <v>0</v>
      </c>
      <c r="S192" s="19">
        <f t="shared" si="28"/>
        <v>0</v>
      </c>
      <c r="T192" s="19">
        <f t="shared" si="28"/>
        <v>0</v>
      </c>
      <c r="U192" s="19">
        <f t="shared" si="28"/>
        <v>0</v>
      </c>
      <c r="V192" s="19">
        <f t="shared" si="28"/>
        <v>0</v>
      </c>
      <c r="W192" s="19">
        <f t="shared" si="28"/>
        <v>0</v>
      </c>
      <c r="X192" s="19">
        <f t="shared" si="28"/>
        <v>0</v>
      </c>
      <c r="Y192" s="19">
        <f t="shared" si="28"/>
        <v>0</v>
      </c>
      <c r="Z192" s="19">
        <f t="shared" si="28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144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9">MAX(0,P$187-$J$85-$J81)</f>
        <v>0</v>
      </c>
      <c r="Q193" s="19">
        <f t="shared" si="29"/>
        <v>0</v>
      </c>
      <c r="R193" s="19">
        <f t="shared" si="29"/>
        <v>0</v>
      </c>
      <c r="S193" s="19">
        <f t="shared" si="29"/>
        <v>0</v>
      </c>
      <c r="T193" s="19">
        <f t="shared" si="29"/>
        <v>0</v>
      </c>
      <c r="U193" s="19">
        <f t="shared" si="29"/>
        <v>0</v>
      </c>
      <c r="V193" s="19">
        <f t="shared" si="29"/>
        <v>0</v>
      </c>
      <c r="W193" s="19">
        <f t="shared" si="29"/>
        <v>0</v>
      </c>
      <c r="X193" s="19">
        <f t="shared" si="29"/>
        <v>0</v>
      </c>
      <c r="Y193" s="19">
        <f t="shared" si="29"/>
        <v>0</v>
      </c>
      <c r="Z193" s="19">
        <f t="shared" si="29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145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14.937800000000006</v>
      </c>
      <c r="P194" s="19">
        <f t="shared" ref="P194:Z194" si="30">MAX(0,P$187-$J$85-$J82)</f>
        <v>15.814500000000006</v>
      </c>
      <c r="Q194" s="19">
        <f t="shared" si="30"/>
        <v>17.1953</v>
      </c>
      <c r="R194" s="19">
        <f t="shared" si="30"/>
        <v>19.2972</v>
      </c>
      <c r="S194" s="19">
        <f t="shared" si="30"/>
        <v>20.585699999999999</v>
      </c>
      <c r="T194" s="19">
        <f t="shared" si="30"/>
        <v>21.752500000000008</v>
      </c>
      <c r="U194" s="19">
        <f t="shared" si="30"/>
        <v>24.446499999999997</v>
      </c>
      <c r="V194" s="19">
        <f t="shared" si="30"/>
        <v>24.446499999999997</v>
      </c>
      <c r="W194" s="19">
        <f t="shared" si="30"/>
        <v>24.446499999999997</v>
      </c>
      <c r="X194" s="19">
        <f t="shared" si="30"/>
        <v>24.446499999999997</v>
      </c>
      <c r="Y194" s="19">
        <f t="shared" si="30"/>
        <v>24.446499999999997</v>
      </c>
      <c r="Z194" s="19">
        <f t="shared" si="30"/>
        <v>24.446499999999997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33.987800000000007</v>
      </c>
      <c r="P195" s="19">
        <f t="shared" ref="P195:Z195" si="31">MAX(0,P$187-$J$85-$J83)</f>
        <v>34.864500000000007</v>
      </c>
      <c r="Q195" s="19">
        <f t="shared" si="31"/>
        <v>36.2453</v>
      </c>
      <c r="R195" s="19">
        <f t="shared" si="31"/>
        <v>38.347200000000001</v>
      </c>
      <c r="S195" s="19">
        <f t="shared" si="31"/>
        <v>39.6357</v>
      </c>
      <c r="T195" s="19">
        <f t="shared" si="31"/>
        <v>40.802500000000009</v>
      </c>
      <c r="U195" s="19">
        <f t="shared" si="31"/>
        <v>43.496499999999997</v>
      </c>
      <c r="V195" s="19">
        <f t="shared" si="31"/>
        <v>43.496499999999997</v>
      </c>
      <c r="W195" s="19">
        <f t="shared" si="31"/>
        <v>43.496499999999997</v>
      </c>
      <c r="X195" s="19">
        <f t="shared" si="31"/>
        <v>43.496499999999997</v>
      </c>
      <c r="Y195" s="19">
        <f t="shared" si="31"/>
        <v>43.496499999999997</v>
      </c>
      <c r="Z195" s="19">
        <f t="shared" si="31"/>
        <v>43.496499999999997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147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33.987800000000007</v>
      </c>
      <c r="P196" s="19">
        <f t="shared" ref="P196:Z196" si="32">MAX(0,P$187-$J$85-$J84)</f>
        <v>34.864500000000007</v>
      </c>
      <c r="Q196" s="19">
        <f t="shared" si="32"/>
        <v>36.2453</v>
      </c>
      <c r="R196" s="19">
        <f t="shared" si="32"/>
        <v>38.347200000000001</v>
      </c>
      <c r="S196" s="19">
        <f t="shared" si="32"/>
        <v>39.6357</v>
      </c>
      <c r="T196" s="19">
        <f t="shared" si="32"/>
        <v>40.802500000000009</v>
      </c>
      <c r="U196" s="19">
        <f t="shared" si="32"/>
        <v>43.496499999999997</v>
      </c>
      <c r="V196" s="19">
        <f t="shared" si="32"/>
        <v>43.496499999999997</v>
      </c>
      <c r="W196" s="19">
        <f t="shared" si="32"/>
        <v>43.496499999999997</v>
      </c>
      <c r="X196" s="19">
        <f t="shared" si="32"/>
        <v>43.496499999999997</v>
      </c>
      <c r="Y196" s="19">
        <f t="shared" si="32"/>
        <v>43.496499999999997</v>
      </c>
      <c r="Z196" s="19">
        <f t="shared" si="32"/>
        <v>43.496499999999997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149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disablePrompts="1"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80" zoomScaleNormal="80" workbookViewId="0">
      <pane ySplit="3" topLeftCell="A7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Warrnambool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118"/>
      <c r="E17" s="51"/>
      <c r="F17" s="51"/>
      <c r="G17" s="51"/>
      <c r="H17" s="51"/>
      <c r="I17" s="62">
        <f>INDEX(Inputs!$J$64:$J$66,MATCH('Base Case'!J17,Inputs!$D$64:$D$66,0))</f>
        <v>3</v>
      </c>
      <c r="J17" s="100" t="s">
        <v>41</v>
      </c>
      <c r="K17" s="101" t="s">
        <v>197</v>
      </c>
      <c r="L17" s="102"/>
      <c r="M17" s="102"/>
      <c r="N17" s="103"/>
      <c r="O17" s="63">
        <f>O107</f>
        <v>41076045.085605048</v>
      </c>
      <c r="P17" s="64">
        <v>0</v>
      </c>
      <c r="Q17" s="64">
        <v>0</v>
      </c>
      <c r="R17" s="64">
        <v>0</v>
      </c>
      <c r="S17" s="65">
        <v>0</v>
      </c>
      <c r="T17" s="66">
        <v>0.2</v>
      </c>
      <c r="U17" s="63">
        <f>SUM(O17:S17)*T17</f>
        <v>8215209.0171210095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118"/>
      <c r="E18" s="51"/>
      <c r="F18" s="51"/>
      <c r="G18" s="51"/>
      <c r="H18" s="51"/>
      <c r="I18" s="68">
        <f>INDEX(Inputs!$J$64:$J$66,MATCH('Base Case'!J18,Inputs!$D$64:$D$66,0))</f>
        <v>3</v>
      </c>
      <c r="J18" s="104" t="s">
        <v>41</v>
      </c>
      <c r="K18" s="105" t="s">
        <v>128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6"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118"/>
      <c r="E19" s="51"/>
      <c r="F19" s="51"/>
      <c r="G19" s="51"/>
      <c r="H19" s="51"/>
      <c r="I19" s="68">
        <f>INDEX(Inputs!$J$64:$J$66,MATCH('Base Case'!J19,Inputs!$D$64:$D$66,0))</f>
        <v>3</v>
      </c>
      <c r="J19" s="104" t="s">
        <v>41</v>
      </c>
      <c r="K19" s="105" t="s">
        <v>198</v>
      </c>
      <c r="L19" s="106"/>
      <c r="M19" s="106"/>
      <c r="N19" s="107"/>
      <c r="O19" s="69">
        <v>0</v>
      </c>
      <c r="P19" s="71">
        <v>0</v>
      </c>
      <c r="Q19" s="70">
        <f>Inputs!$M$161*$I$11</f>
        <v>31140268.891507354</v>
      </c>
      <c r="R19" s="71">
        <v>0</v>
      </c>
      <c r="S19" s="72">
        <v>0</v>
      </c>
      <c r="T19" s="76">
        <v>0.2</v>
      </c>
      <c r="U19" s="74">
        <f t="shared" si="0"/>
        <v>6228053.7783014709</v>
      </c>
      <c r="V19" s="75">
        <f t="shared" si="1"/>
        <v>6228053.7783014709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118"/>
      <c r="E20" s="51"/>
      <c r="F20" s="51"/>
      <c r="G20" s="51"/>
      <c r="H20" s="51"/>
      <c r="I20" s="68">
        <f>INDEX(Inputs!$J$64:$J$66,MATCH('Base Case'!J20,Inputs!$D$64:$D$66,0))</f>
        <v>3</v>
      </c>
      <c r="J20" s="104" t="s">
        <v>41</v>
      </c>
      <c r="K20" s="105" t="s">
        <v>199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11651570.123893805</v>
      </c>
      <c r="S20" s="72">
        <v>0</v>
      </c>
      <c r="T20" s="76">
        <v>0.2</v>
      </c>
      <c r="U20" s="74">
        <f t="shared" si="0"/>
        <v>2330314.024778761</v>
      </c>
      <c r="V20" s="75">
        <f t="shared" si="1"/>
        <v>2330314.024778761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118"/>
      <c r="E21" s="51"/>
      <c r="F21" s="51"/>
      <c r="G21" s="51"/>
      <c r="H21" s="51"/>
      <c r="I21" s="68">
        <f>INDEX(Inputs!$J$64:$J$66,MATCH('Base Case'!J21,Inputs!$D$64:$D$66,0))</f>
        <v>3</v>
      </c>
      <c r="J21" s="104" t="s">
        <v>41</v>
      </c>
      <c r="K21" s="105" t="s">
        <v>62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2571967.0088495575</v>
      </c>
      <c r="T21" s="76">
        <v>0.2</v>
      </c>
      <c r="U21" s="74">
        <f t="shared" si="0"/>
        <v>514393.40176991152</v>
      </c>
      <c r="V21" s="75">
        <f t="shared" si="1"/>
        <v>514393.40176991152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118"/>
      <c r="E22" s="51"/>
      <c r="F22" s="51"/>
      <c r="G22" s="51"/>
      <c r="H22" s="51"/>
      <c r="I22" s="68">
        <f>INDEX(Inputs!$J$64:$J$66,MATCH('Base Case'!J22,Inputs!$D$64:$D$66,0))</f>
        <v>3</v>
      </c>
      <c r="J22" s="104" t="s">
        <v>41</v>
      </c>
      <c r="K22" s="105" t="s">
        <v>161</v>
      </c>
      <c r="L22" s="106"/>
      <c r="M22" s="106"/>
      <c r="N22" s="107"/>
      <c r="O22" s="69">
        <v>0</v>
      </c>
      <c r="P22" s="71">
        <v>0</v>
      </c>
      <c r="Q22" s="70">
        <f>Inputs!$K$97*$I$11</f>
        <v>51812.389380530978</v>
      </c>
      <c r="R22" s="71">
        <v>0</v>
      </c>
      <c r="S22" s="72">
        <v>0</v>
      </c>
      <c r="T22" s="76">
        <v>0.2</v>
      </c>
      <c r="U22" s="74">
        <f t="shared" si="0"/>
        <v>10362.477876106197</v>
      </c>
      <c r="V22" s="75">
        <f t="shared" si="1"/>
        <v>10362.477876106197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118"/>
      <c r="E23" s="51"/>
      <c r="F23" s="51"/>
      <c r="G23" s="51"/>
      <c r="H23" s="51"/>
      <c r="I23" s="68">
        <f>INDEX(Inputs!$J$64:$J$66,MATCH('Base Case'!J23,Inputs!$D$64:$D$66,0))</f>
        <v>3</v>
      </c>
      <c r="J23" s="104" t="s">
        <v>41</v>
      </c>
      <c r="K23" s="105" t="s">
        <v>162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6"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118"/>
      <c r="E24" s="51"/>
      <c r="F24" s="51"/>
      <c r="G24" s="51"/>
      <c r="H24" s="51"/>
      <c r="I24" s="68">
        <f>INDEX(Inputs!$J$64:$J$66,MATCH('Base Case'!J24,Inputs!$D$64:$D$66,0))</f>
        <v>3</v>
      </c>
      <c r="J24" s="104" t="s">
        <v>41</v>
      </c>
      <c r="K24" s="105" t="s">
        <v>164</v>
      </c>
      <c r="L24" s="106"/>
      <c r="M24" s="106"/>
      <c r="N24" s="107"/>
      <c r="O24" s="69">
        <v>0</v>
      </c>
      <c r="P24" s="114">
        <v>0</v>
      </c>
      <c r="Q24" s="114">
        <v>0</v>
      </c>
      <c r="R24" s="114">
        <v>0</v>
      </c>
      <c r="S24" s="119">
        <v>0</v>
      </c>
      <c r="T24" s="120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118"/>
      <c r="E25" s="51"/>
      <c r="F25" s="51"/>
      <c r="G25" s="51"/>
      <c r="H25" s="51"/>
      <c r="I25" s="68">
        <f>INDEX(Inputs!$J$64:$J$66,MATCH('Base Case'!J25,Inputs!$D$64:$D$66,0))</f>
        <v>3</v>
      </c>
      <c r="J25" s="104" t="s">
        <v>41</v>
      </c>
      <c r="K25" s="105" t="s">
        <v>163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118"/>
      <c r="E26" s="51"/>
      <c r="F26" s="51"/>
      <c r="G26" s="51"/>
      <c r="H26" s="51"/>
      <c r="I26" s="78">
        <f>INDEX(Inputs!$J$64:$J$66,MATCH('Base Case'!J26,Inputs!$D$64:$D$66,0))</f>
        <v>3</v>
      </c>
      <c r="J26" s="108" t="s">
        <v>41</v>
      </c>
      <c r="K26" s="109" t="s">
        <v>163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82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40</v>
      </c>
      <c r="K27" s="101" t="s">
        <v>197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1-T17-T34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40</v>
      </c>
      <c r="K28" s="105" t="s">
        <v>128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1-T18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40</v>
      </c>
      <c r="K29" s="105" t="s">
        <v>198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40</v>
      </c>
      <c r="K30" s="105" t="s">
        <v>199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3883856.7079646019</v>
      </c>
      <c r="S30" s="72">
        <v>0</v>
      </c>
      <c r="T30" s="76">
        <v>0.8</v>
      </c>
      <c r="U30" s="74">
        <f t="shared" si="0"/>
        <v>3107085.3663716819</v>
      </c>
      <c r="V30" s="75">
        <f t="shared" si="1"/>
        <v>3107085.3663716819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40</v>
      </c>
      <c r="K31" s="105" t="s">
        <v>62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866510.40000000014</v>
      </c>
      <c r="T31" s="76">
        <v>0.8</v>
      </c>
      <c r="U31" s="74">
        <f t="shared" si="0"/>
        <v>693208.32000000018</v>
      </c>
      <c r="V31" s="75">
        <f t="shared" si="1"/>
        <v>693208.32000000018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40</v>
      </c>
      <c r="K32" s="105" t="s">
        <v>161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0.8</v>
      </c>
      <c r="U32" s="74">
        <f t="shared" si="0"/>
        <v>41449.911504424788</v>
      </c>
      <c r="V32" s="75">
        <f t="shared" si="1"/>
        <v>41449.911504424788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40</v>
      </c>
      <c r="K33" s="105" t="s">
        <v>162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04" t="s">
        <v>40</v>
      </c>
      <c r="K34" s="105" t="s">
        <v>164</v>
      </c>
      <c r="L34" s="106"/>
      <c r="M34" s="106"/>
      <c r="N34" s="107"/>
      <c r="O34" s="74">
        <f>O105</f>
        <v>15044264.566495214</v>
      </c>
      <c r="P34" s="71">
        <v>0</v>
      </c>
      <c r="Q34" s="70">
        <f>Inputs!$L$161*$I$11</f>
        <v>8489620.336390933</v>
      </c>
      <c r="R34" s="71">
        <v>0</v>
      </c>
      <c r="S34" s="72">
        <v>0</v>
      </c>
      <c r="T34" s="76">
        <v>0.04</v>
      </c>
      <c r="U34" s="74">
        <f t="shared" si="0"/>
        <v>941355.39611544576</v>
      </c>
      <c r="V34" s="75">
        <f t="shared" si="1"/>
        <v>339584.81345563731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40</v>
      </c>
      <c r="K35" s="105" t="s">
        <v>163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40</v>
      </c>
      <c r="K36" s="109" t="s">
        <v>163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39</v>
      </c>
      <c r="K37" s="101" t="s">
        <v>197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1-T44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39</v>
      </c>
      <c r="K38" s="105" t="s">
        <v>128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39</v>
      </c>
      <c r="K39" s="105" t="s">
        <v>198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39</v>
      </c>
      <c r="K40" s="105" t="s">
        <v>199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16787.214159292038</v>
      </c>
      <c r="S40" s="72">
        <v>0</v>
      </c>
      <c r="T40" s="76">
        <v>1</v>
      </c>
      <c r="U40" s="74">
        <f t="shared" si="0"/>
        <v>16787.214159292038</v>
      </c>
      <c r="V40" s="75">
        <f t="shared" si="1"/>
        <v>16787.214159292038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39</v>
      </c>
      <c r="K41" s="105" t="s">
        <v>62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63521.989380530969</v>
      </c>
      <c r="T41" s="76">
        <v>1</v>
      </c>
      <c r="U41" s="74">
        <f t="shared" si="0"/>
        <v>63521.989380530969</v>
      </c>
      <c r="V41" s="75">
        <f t="shared" si="1"/>
        <v>63521.989380530969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39</v>
      </c>
      <c r="K42" s="105" t="s">
        <v>161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39</v>
      </c>
      <c r="K43" s="105" t="s">
        <v>162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04" t="s">
        <v>39</v>
      </c>
      <c r="K44" s="105" t="s">
        <v>164</v>
      </c>
      <c r="L44" s="106"/>
      <c r="M44" s="106"/>
      <c r="N44" s="107"/>
      <c r="O44" s="74">
        <f>O105</f>
        <v>15044264.566495214</v>
      </c>
      <c r="P44" s="71">
        <v>0</v>
      </c>
      <c r="Q44" s="70">
        <f>SUM(Inputs!$J$161,Inputs!$L$161*(Inputs!$J$128/Inputs!$L$128))*$I$11</f>
        <v>1684448.4794426453</v>
      </c>
      <c r="R44" s="71">
        <v>0</v>
      </c>
      <c r="S44" s="72">
        <v>0</v>
      </c>
      <c r="T44" s="73">
        <f>T34</f>
        <v>0.04</v>
      </c>
      <c r="U44" s="74">
        <f t="shared" si="0"/>
        <v>669148.52183751436</v>
      </c>
      <c r="V44" s="75">
        <f t="shared" si="1"/>
        <v>67377.939177705819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39</v>
      </c>
      <c r="K45" s="105" t="s">
        <v>163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39</v>
      </c>
      <c r="K46" s="109" t="s">
        <v>163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15044264.566495214</v>
      </c>
      <c r="P49" s="70">
        <f t="shared" ref="P49:V49" si="2">SUMIF($I$17:$I$46,$I49,P$17:P$46)</f>
        <v>8261.6387603969597</v>
      </c>
      <c r="Q49" s="70">
        <f t="shared" si="2"/>
        <v>1736260.8688231762</v>
      </c>
      <c r="R49" s="70">
        <f t="shared" si="2"/>
        <v>16787.214159292038</v>
      </c>
      <c r="S49" s="70">
        <f t="shared" si="2"/>
        <v>63521.989380530969</v>
      </c>
      <c r="T49" s="56">
        <f>U49/SUM(O49:S49)</f>
        <v>4.7989041036675263E-2</v>
      </c>
      <c r="U49" s="70">
        <f t="shared" si="2"/>
        <v>809531.75351826532</v>
      </c>
      <c r="V49" s="70">
        <f t="shared" si="2"/>
        <v>207761.17085845678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15044264.566495214</v>
      </c>
      <c r="P50" s="70">
        <f t="shared" si="3"/>
        <v>28915.735661389357</v>
      </c>
      <c r="Q50" s="70">
        <f t="shared" si="3"/>
        <v>8541432.7257714644</v>
      </c>
      <c r="R50" s="70">
        <f t="shared" si="3"/>
        <v>3883856.7079646019</v>
      </c>
      <c r="S50" s="70">
        <f t="shared" si="3"/>
        <v>866510.40000000014</v>
      </c>
      <c r="T50" s="56">
        <f t="shared" ref="T50:T51" si="4">U50/SUM(O50:S50)</f>
        <v>0.16944244485611051</v>
      </c>
      <c r="U50" s="70">
        <f t="shared" si="3"/>
        <v>4806231.5825206637</v>
      </c>
      <c r="V50" s="70">
        <f t="shared" si="3"/>
        <v>4204460.9998608558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41076045.085605048</v>
      </c>
      <c r="P51" s="70">
        <f t="shared" si="3"/>
        <v>28915.735661389357</v>
      </c>
      <c r="Q51" s="70">
        <f t="shared" si="3"/>
        <v>31192081.280887883</v>
      </c>
      <c r="R51" s="70">
        <f t="shared" si="3"/>
        <v>11651570.123893805</v>
      </c>
      <c r="S51" s="70">
        <f t="shared" si="3"/>
        <v>2571967.0088495575</v>
      </c>
      <c r="T51" s="56">
        <f t="shared" si="4"/>
        <v>0.19999999999999998</v>
      </c>
      <c r="U51" s="70">
        <f t="shared" si="3"/>
        <v>17304115.846979532</v>
      </c>
      <c r="V51" s="70">
        <f t="shared" si="3"/>
        <v>9088906.8298585266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22919879.183018461</v>
      </c>
      <c r="V52" s="88">
        <f>SUM(V49:V51)</f>
        <v>13501129.000577839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98.9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59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19.05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12.3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49.722000000000001</v>
      </c>
      <c r="P69" s="70">
        <f>Inputs!P185*$I$12</f>
        <v>50.829000000000001</v>
      </c>
      <c r="Q69" s="70">
        <f>Inputs!Q185*$I$12</f>
        <v>52.927999999999997</v>
      </c>
      <c r="R69" s="70">
        <f>Inputs!R185*$I$12</f>
        <v>54.759</v>
      </c>
      <c r="S69" s="70">
        <f>Inputs!S185*$I$12</f>
        <v>57.465000000000003</v>
      </c>
      <c r="T69" s="70">
        <f>Inputs!T185*$I$12</f>
        <v>58.552</v>
      </c>
      <c r="U69" s="70">
        <f>Inputs!U185*$I$12</f>
        <v>60.923999999999999</v>
      </c>
      <c r="V69" s="70">
        <f>Inputs!V185*$I$12</f>
        <v>60.923999999999999</v>
      </c>
      <c r="W69" s="70">
        <f>Inputs!W185*$I$12</f>
        <v>60.923999999999999</v>
      </c>
      <c r="X69" s="70">
        <f>Inputs!X185*$I$12</f>
        <v>60.923999999999999</v>
      </c>
      <c r="Y69" s="70">
        <f>Inputs!Y185*$I$12</f>
        <v>60.923999999999999</v>
      </c>
      <c r="Z69" s="70">
        <f>Inputs!Z185*$I$12</f>
        <v>60.923999999999999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44.816000000000003</v>
      </c>
      <c r="P70" s="70">
        <f>Inputs!P186*$I$12</f>
        <v>45.594000000000001</v>
      </c>
      <c r="Q70" s="70">
        <f>Inputs!Q186*$I$12</f>
        <v>46.667000000000002</v>
      </c>
      <c r="R70" s="70">
        <f>Inputs!R186*$I$12</f>
        <v>48.884999999999998</v>
      </c>
      <c r="S70" s="70">
        <f>Inputs!S186*$I$12</f>
        <v>49.566000000000003</v>
      </c>
      <c r="T70" s="70">
        <f>Inputs!T186*$I$12</f>
        <v>50.767000000000003</v>
      </c>
      <c r="U70" s="70">
        <f>Inputs!U186*$I$12</f>
        <v>53.598999999999997</v>
      </c>
      <c r="V70" s="70">
        <f>Inputs!V186*$I$12</f>
        <v>53.598999999999997</v>
      </c>
      <c r="W70" s="70">
        <f>Inputs!W186*$I$12</f>
        <v>53.598999999999997</v>
      </c>
      <c r="X70" s="70">
        <f>Inputs!X186*$I$12</f>
        <v>53.598999999999997</v>
      </c>
      <c r="Y70" s="70">
        <f>Inputs!Y186*$I$12</f>
        <v>53.598999999999997</v>
      </c>
      <c r="Z70" s="70">
        <f>Inputs!Z186*$I$12</f>
        <v>53.598999999999997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46.287800000000004</v>
      </c>
      <c r="P71" s="70">
        <f>Inputs!P187*$I$12</f>
        <v>47.164500000000004</v>
      </c>
      <c r="Q71" s="70">
        <f>Inputs!Q187*$I$12</f>
        <v>48.545299999999997</v>
      </c>
      <c r="R71" s="70">
        <f>Inputs!R187*$I$12</f>
        <v>50.647199999999998</v>
      </c>
      <c r="S71" s="70">
        <f>Inputs!S187*$I$12</f>
        <v>51.935699999999997</v>
      </c>
      <c r="T71" s="70">
        <f>Inputs!T187*$I$12</f>
        <v>53.102500000000006</v>
      </c>
      <c r="U71" s="70">
        <f>Inputs!U187*$I$12</f>
        <v>55.796499999999995</v>
      </c>
      <c r="V71" s="70">
        <f>Inputs!V187*$I$12</f>
        <v>55.796499999999995</v>
      </c>
      <c r="W71" s="70">
        <f>Inputs!W187*$I$12</f>
        <v>55.796499999999995</v>
      </c>
      <c r="X71" s="70">
        <f>Inputs!X187*$I$12</f>
        <v>55.796499999999995</v>
      </c>
      <c r="Y71" s="70">
        <f>Inputs!Y187*$I$12</f>
        <v>55.796499999999995</v>
      </c>
      <c r="Z71" s="70">
        <f>Inputs!Z187*$I$12</f>
        <v>55.796499999999995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ref="P77:Z77" si="6">MAX(0,P$71-$J$64-$J60)</f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14.937800000000006</v>
      </c>
      <c r="P78" s="70">
        <f t="shared" ref="P78:Z78" si="7">MAX(0,P$71-$J$64-$J61)</f>
        <v>15.814500000000006</v>
      </c>
      <c r="Q78" s="70">
        <f t="shared" si="7"/>
        <v>17.1953</v>
      </c>
      <c r="R78" s="70">
        <f t="shared" si="7"/>
        <v>19.2972</v>
      </c>
      <c r="S78" s="70">
        <f t="shared" si="7"/>
        <v>20.585699999999999</v>
      </c>
      <c r="T78" s="70">
        <f t="shared" si="7"/>
        <v>21.752500000000008</v>
      </c>
      <c r="U78" s="70">
        <f t="shared" si="7"/>
        <v>24.446499999999997</v>
      </c>
      <c r="V78" s="70">
        <f t="shared" si="7"/>
        <v>24.446499999999997</v>
      </c>
      <c r="W78" s="70">
        <f t="shared" si="7"/>
        <v>24.446499999999997</v>
      </c>
      <c r="X78" s="70">
        <f t="shared" si="7"/>
        <v>24.446499999999997</v>
      </c>
      <c r="Y78" s="70">
        <f t="shared" si="7"/>
        <v>24.446499999999997</v>
      </c>
      <c r="Z78" s="70">
        <f t="shared" si="7"/>
        <v>24.446499999999997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33.987800000000007</v>
      </c>
      <c r="P79" s="70">
        <f t="shared" ref="P79:Z79" si="8">MAX(0,P$71-$J$64-$J62)</f>
        <v>34.864500000000007</v>
      </c>
      <c r="Q79" s="70">
        <f t="shared" si="8"/>
        <v>36.2453</v>
      </c>
      <c r="R79" s="70">
        <f t="shared" si="8"/>
        <v>38.347200000000001</v>
      </c>
      <c r="S79" s="70">
        <f t="shared" si="8"/>
        <v>39.6357</v>
      </c>
      <c r="T79" s="70">
        <f t="shared" si="8"/>
        <v>40.802500000000009</v>
      </c>
      <c r="U79" s="70">
        <f t="shared" si="8"/>
        <v>43.496499999999997</v>
      </c>
      <c r="V79" s="70">
        <f t="shared" si="8"/>
        <v>43.496499999999997</v>
      </c>
      <c r="W79" s="70">
        <f t="shared" si="8"/>
        <v>43.496499999999997</v>
      </c>
      <c r="X79" s="70">
        <f t="shared" si="8"/>
        <v>43.496499999999997</v>
      </c>
      <c r="Y79" s="70">
        <f t="shared" si="8"/>
        <v>43.496499999999997</v>
      </c>
      <c r="Z79" s="70">
        <f t="shared" si="8"/>
        <v>43.496499999999997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33.987800000000007</v>
      </c>
      <c r="P80" s="70">
        <f t="shared" ref="P80:Z80" si="9">MAX(0,P$71-$J$64-$J63)</f>
        <v>34.864500000000007</v>
      </c>
      <c r="Q80" s="70">
        <f t="shared" si="9"/>
        <v>36.2453</v>
      </c>
      <c r="R80" s="70">
        <f t="shared" si="9"/>
        <v>38.347200000000001</v>
      </c>
      <c r="S80" s="70">
        <f t="shared" si="9"/>
        <v>39.6357</v>
      </c>
      <c r="T80" s="70">
        <f t="shared" si="9"/>
        <v>40.802500000000009</v>
      </c>
      <c r="U80" s="70">
        <f t="shared" si="9"/>
        <v>43.496499999999997</v>
      </c>
      <c r="V80" s="70">
        <f t="shared" si="9"/>
        <v>43.496499999999997</v>
      </c>
      <c r="W80" s="70">
        <f t="shared" si="9"/>
        <v>43.496499999999997</v>
      </c>
      <c r="X80" s="70">
        <f t="shared" si="9"/>
        <v>43.496499999999997</v>
      </c>
      <c r="Y80" s="70">
        <f t="shared" si="9"/>
        <v>43.496499999999997</v>
      </c>
      <c r="Z80" s="70">
        <f t="shared" si="9"/>
        <v>43.496499999999997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193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194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4</v>
      </c>
      <c r="V91" s="70">
        <f>ROUNDUP(ROUNDUP(V78/Inputs!$J$114,0)/(Inputs!$J$118*Inputs!$J$115*Inputs!$J$114),0)+1</f>
        <v>4</v>
      </c>
      <c r="W91" s="70">
        <f>ROUNDUP(ROUNDUP(W78/Inputs!$J$114,0)/(Inputs!$J$118*Inputs!$J$115*Inputs!$J$114),0)+1</f>
        <v>4</v>
      </c>
      <c r="X91" s="70">
        <f>ROUNDUP(ROUNDUP(X78/Inputs!$J$114,0)/(Inputs!$J$118*Inputs!$J$115*Inputs!$J$114),0)+1</f>
        <v>4</v>
      </c>
      <c r="Y91" s="70">
        <f>ROUNDUP(ROUNDUP(Y78/Inputs!$J$114,0)/(Inputs!$J$118*Inputs!$J$115*Inputs!$J$114),0)+1</f>
        <v>4</v>
      </c>
      <c r="Z91" s="70">
        <f>ROUNDUP(ROUNDUP(Z78/Inputs!$J$114,0)/(Inputs!$J$118*Inputs!$J$115*Inputs!$J$114),0)+1</f>
        <v>4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1</v>
      </c>
      <c r="V92" s="70">
        <f t="shared" si="15"/>
        <v>1</v>
      </c>
      <c r="W92" s="70">
        <f t="shared" si="15"/>
        <v>1</v>
      </c>
      <c r="X92" s="70">
        <f t="shared" si="15"/>
        <v>1</v>
      </c>
      <c r="Y92" s="70">
        <f t="shared" si="15"/>
        <v>1</v>
      </c>
      <c r="Z92" s="70">
        <f t="shared" si="15"/>
        <v>1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3</v>
      </c>
      <c r="V93" s="93">
        <f t="shared" si="16"/>
        <v>3</v>
      </c>
      <c r="W93" s="93">
        <f t="shared" si="16"/>
        <v>3</v>
      </c>
      <c r="X93" s="93">
        <f t="shared" si="16"/>
        <v>3</v>
      </c>
      <c r="Y93" s="93">
        <f t="shared" si="16"/>
        <v>3</v>
      </c>
      <c r="Z93" s="93">
        <f t="shared" si="16"/>
        <v>3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7">MAX(0,((P94-1)-1)/2)</f>
        <v>1</v>
      </c>
      <c r="Q95" s="70">
        <f t="shared" si="17"/>
        <v>1.5</v>
      </c>
      <c r="R95" s="70">
        <f t="shared" si="17"/>
        <v>1.5</v>
      </c>
      <c r="S95" s="70">
        <f t="shared" si="17"/>
        <v>1.5</v>
      </c>
      <c r="T95" s="70">
        <f t="shared" si="17"/>
        <v>1.5</v>
      </c>
      <c r="U95" s="70">
        <f t="shared" si="17"/>
        <v>1.5</v>
      </c>
      <c r="V95" s="70">
        <f t="shared" si="17"/>
        <v>1.5</v>
      </c>
      <c r="W95" s="70">
        <f t="shared" si="17"/>
        <v>1.5</v>
      </c>
      <c r="X95" s="70">
        <f t="shared" si="17"/>
        <v>1.5</v>
      </c>
      <c r="Y95" s="70">
        <f t="shared" si="17"/>
        <v>1.5</v>
      </c>
      <c r="Z95" s="70">
        <f t="shared" si="17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8">IFERROR((P94-P95)/P94,0)*MAX(0,P94)</f>
        <v>3</v>
      </c>
      <c r="Q96" s="93">
        <f t="shared" si="18"/>
        <v>3.5</v>
      </c>
      <c r="R96" s="93">
        <f t="shared" si="18"/>
        <v>3.5</v>
      </c>
      <c r="S96" s="93">
        <f t="shared" si="18"/>
        <v>3.5</v>
      </c>
      <c r="T96" s="93">
        <f t="shared" si="18"/>
        <v>3.5</v>
      </c>
      <c r="U96" s="93">
        <f t="shared" si="18"/>
        <v>3.5</v>
      </c>
      <c r="V96" s="93">
        <f t="shared" si="18"/>
        <v>3.5</v>
      </c>
      <c r="W96" s="93">
        <f t="shared" si="18"/>
        <v>3.5</v>
      </c>
      <c r="X96" s="93">
        <f t="shared" si="18"/>
        <v>3.5</v>
      </c>
      <c r="Y96" s="93">
        <f t="shared" si="18"/>
        <v>3.5</v>
      </c>
      <c r="Z96" s="93">
        <f t="shared" si="18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9">MAX(0,((P97-1)-1)/2)</f>
        <v>1</v>
      </c>
      <c r="Q98" s="70">
        <f t="shared" si="19"/>
        <v>1.5</v>
      </c>
      <c r="R98" s="70">
        <f t="shared" si="19"/>
        <v>1.5</v>
      </c>
      <c r="S98" s="70">
        <f t="shared" si="19"/>
        <v>1.5</v>
      </c>
      <c r="T98" s="70">
        <f t="shared" si="19"/>
        <v>1.5</v>
      </c>
      <c r="U98" s="70">
        <f t="shared" si="19"/>
        <v>1.5</v>
      </c>
      <c r="V98" s="70">
        <f t="shared" si="19"/>
        <v>1.5</v>
      </c>
      <c r="W98" s="70">
        <f t="shared" si="19"/>
        <v>1.5</v>
      </c>
      <c r="X98" s="70">
        <f t="shared" si="19"/>
        <v>1.5</v>
      </c>
      <c r="Y98" s="70">
        <f t="shared" si="19"/>
        <v>1.5</v>
      </c>
      <c r="Z98" s="70">
        <f t="shared" si="19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20">IFERROR((P97-P98)/P97,0)*MAX(0,P97)</f>
        <v>3</v>
      </c>
      <c r="Q99" s="93">
        <f t="shared" si="20"/>
        <v>3.5</v>
      </c>
      <c r="R99" s="93">
        <f t="shared" si="20"/>
        <v>3.5</v>
      </c>
      <c r="S99" s="93">
        <f t="shared" si="20"/>
        <v>3.5</v>
      </c>
      <c r="T99" s="93">
        <f t="shared" si="20"/>
        <v>3.5</v>
      </c>
      <c r="U99" s="112">
        <f t="shared" si="20"/>
        <v>3.5</v>
      </c>
      <c r="V99" s="93">
        <f t="shared" si="20"/>
        <v>3.5</v>
      </c>
      <c r="W99" s="93">
        <f t="shared" si="20"/>
        <v>3.5</v>
      </c>
      <c r="X99" s="93">
        <f t="shared" si="20"/>
        <v>3.5</v>
      </c>
      <c r="Y99" s="93">
        <f t="shared" si="20"/>
        <v>3.5</v>
      </c>
      <c r="Z99" s="93">
        <f t="shared" si="20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15044264.566495214</v>
      </c>
      <c r="P105" s="70">
        <f>P78*Inputs!$M$75*IF(Inputs!$M$126&gt;0,Inputs!$M$126,P93*Inputs!$J$123)*$I$13</f>
        <v>15927212.975594701</v>
      </c>
      <c r="Q105" s="70">
        <f>Q78*Inputs!$M$75*IF(Inputs!$M$126&gt;0,Inputs!$M$126,Q93*Inputs!$J$123)*$I$13</f>
        <v>17317854.202108413</v>
      </c>
      <c r="R105" s="70">
        <f>R78*Inputs!$M$75*IF(Inputs!$M$126&gt;0,Inputs!$M$126,R93*Inputs!$J$123)*$I$13</f>
        <v>19434734.84666894</v>
      </c>
      <c r="S105" s="70">
        <f>S78*Inputs!$M$75*IF(Inputs!$M$126&gt;0,Inputs!$M$126,S93*Inputs!$J$123)*$I$13</f>
        <v>20732418.233374417</v>
      </c>
      <c r="T105" s="70">
        <f>T78*Inputs!$M$75*IF(Inputs!$M$126&gt;0,Inputs!$M$126,T93*Inputs!$J$123)*$I$13</f>
        <v>21907534.240831122</v>
      </c>
      <c r="U105" s="70">
        <f>U78*Inputs!$M$75*IF(Inputs!$M$126&gt;0,Inputs!$M$126,U93*Inputs!$J$123)*$I$13</f>
        <v>29544881.874826949</v>
      </c>
      <c r="V105" s="70">
        <f>V78*Inputs!$M$75*IF(Inputs!$M$126&gt;0,Inputs!$M$126,V93*Inputs!$J$123)*$I$13</f>
        <v>29544881.874826949</v>
      </c>
      <c r="W105" s="70">
        <f>W78*Inputs!$M$75*IF(Inputs!$M$126&gt;0,Inputs!$M$126,W93*Inputs!$J$123)*$I$13</f>
        <v>29544881.874826949</v>
      </c>
      <c r="X105" s="70">
        <f>X78*Inputs!$M$75*IF(Inputs!$M$126&gt;0,Inputs!$M$126,X93*Inputs!$J$123)*$I$13</f>
        <v>29544881.874826949</v>
      </c>
      <c r="Y105" s="70">
        <f>Y78*Inputs!$M$75*IF(Inputs!$M$126&gt;0,Inputs!$M$126,Y93*Inputs!$J$123)*$I$13</f>
        <v>29544881.874826949</v>
      </c>
      <c r="Z105" s="70">
        <f>Z78*Inputs!$M$75*IF(Inputs!$M$126&gt;0,Inputs!$M$126,Z93*Inputs!$J$123)*$I$13</f>
        <v>29544881.874826949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41076045.085605048</v>
      </c>
      <c r="P106" s="70">
        <f>P79*Inputs!$M$75*IF(Inputs!$M$126&gt;0,Inputs!$M$126,P96*Inputs!$J$123)*$I$13</f>
        <v>42135583.176524438</v>
      </c>
      <c r="Q106" s="70">
        <f>Q79*Inputs!$M$75*IF(Inputs!$M$126&gt;0,Inputs!$M$126,Q96*Inputs!$J$123)*$I$13</f>
        <v>51105078.089731038</v>
      </c>
      <c r="R106" s="70">
        <f>R79*Inputs!$M$75*IF(Inputs!$M$126&gt;0,Inputs!$M$126,R96*Inputs!$J$123)*$I$13</f>
        <v>54068710.992115773</v>
      </c>
      <c r="S106" s="70">
        <f>S79*Inputs!$M$75*IF(Inputs!$M$126&gt;0,Inputs!$M$126,S96*Inputs!$J$123)*$I$13</f>
        <v>55885467.733503439</v>
      </c>
      <c r="T106" s="70">
        <f>T79*Inputs!$M$75*IF(Inputs!$M$126&gt;0,Inputs!$M$126,T96*Inputs!$J$123)*$I$13</f>
        <v>57530630.143942825</v>
      </c>
      <c r="U106" s="70">
        <f>U79*Inputs!$M$75*IF(Inputs!$M$126&gt;0,Inputs!$M$126,U96*Inputs!$J$123)*$I$13</f>
        <v>61329111.060744032</v>
      </c>
      <c r="V106" s="70">
        <f>V79*Inputs!$M$75*IF(Inputs!$M$126&gt;0,Inputs!$M$126,V96*Inputs!$J$123)*$I$13</f>
        <v>61329111.060744032</v>
      </c>
      <c r="W106" s="70">
        <f>W79*Inputs!$M$75*IF(Inputs!$M$126&gt;0,Inputs!$M$126,W96*Inputs!$J$123)*$I$13</f>
        <v>61329111.060744032</v>
      </c>
      <c r="X106" s="70">
        <f>X79*Inputs!$M$75*IF(Inputs!$M$126&gt;0,Inputs!$M$126,X96*Inputs!$J$123)*$I$13</f>
        <v>61329111.060744032</v>
      </c>
      <c r="Y106" s="70">
        <f>Y79*Inputs!$M$75*IF(Inputs!$M$126&gt;0,Inputs!$M$126,Y96*Inputs!$J$123)*$I$13</f>
        <v>61329111.060744032</v>
      </c>
      <c r="Z106" s="70">
        <f>Z79*Inputs!$M$75*IF(Inputs!$M$126&gt;0,Inputs!$M$126,Z96*Inputs!$J$123)*$I$13</f>
        <v>61329111.060744032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41076045.085605048</v>
      </c>
      <c r="P107" s="70">
        <f>P80*Inputs!$M$75*IF(Inputs!$M$126&gt;0,Inputs!$M$126,P99*Inputs!$J$123)*$I$13</f>
        <v>42135583.176524438</v>
      </c>
      <c r="Q107" s="70">
        <f>Q80*Inputs!$M$75*IF(Inputs!$M$126&gt;0,Inputs!$M$126,Q99*Inputs!$J$123)*$I$13</f>
        <v>51105078.089731038</v>
      </c>
      <c r="R107" s="70">
        <f>R80*Inputs!$M$75*IF(Inputs!$M$126&gt;0,Inputs!$M$126,R99*Inputs!$J$123)*$I$13</f>
        <v>54068710.992115773</v>
      </c>
      <c r="S107" s="70">
        <f>S80*Inputs!$M$75*IF(Inputs!$M$126&gt;0,Inputs!$M$126,S99*Inputs!$J$123)*$I$13</f>
        <v>55885467.733503439</v>
      </c>
      <c r="T107" s="70">
        <f>T80*Inputs!$M$75*IF(Inputs!$M$126&gt;0,Inputs!$M$126,T99*Inputs!$J$123)*$I$13</f>
        <v>57530630.143942825</v>
      </c>
      <c r="U107" s="70">
        <f>U80*Inputs!$M$75*IF(Inputs!$M$126&gt;0,Inputs!$M$126,U99*Inputs!$J$123)*$I$13</f>
        <v>61329111.060744032</v>
      </c>
      <c r="V107" s="70">
        <f>V80*Inputs!$M$75*IF(Inputs!$M$126&gt;0,Inputs!$M$126,V99*Inputs!$J$123)*$I$13</f>
        <v>61329111.060744032</v>
      </c>
      <c r="W107" s="70">
        <f>W80*Inputs!$M$75*IF(Inputs!$M$126&gt;0,Inputs!$M$126,W99*Inputs!$J$123)*$I$13</f>
        <v>61329111.060744032</v>
      </c>
      <c r="X107" s="70">
        <f>X80*Inputs!$M$75*IF(Inputs!$M$126&gt;0,Inputs!$M$126,X99*Inputs!$J$123)*$I$13</f>
        <v>61329111.060744032</v>
      </c>
      <c r="Y107" s="70">
        <f>Y80*Inputs!$M$75*IF(Inputs!$M$126&gt;0,Inputs!$M$126,Y99*Inputs!$J$123)*$I$13</f>
        <v>61329111.060744032</v>
      </c>
      <c r="Z107" s="70">
        <f>Z80*Inputs!$M$75*IF(Inputs!$M$126&gt;0,Inputs!$M$126,Z99*Inputs!$J$123)*$I$13</f>
        <v>61329111.060744032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0.38164589384529235</v>
      </c>
      <c r="P114" s="56">
        <f>Inputs!P64*$I$9</f>
        <v>0.41112449658597383</v>
      </c>
      <c r="Q114" s="56">
        <f>Inputs!Q64*$I$9</f>
        <v>0.44298600906986285</v>
      </c>
      <c r="R114" s="56">
        <f>Inputs!R64*$I$9</f>
        <v>0.47742775438998342</v>
      </c>
      <c r="S114" s="56">
        <f>Inputs!S64*$I$9</f>
        <v>0.51466363968686701</v>
      </c>
      <c r="T114" s="56">
        <f>Inputs!T64*$I$9</f>
        <v>0.55492556325170728</v>
      </c>
      <c r="U114" s="56">
        <f>Inputs!U64*$I$9</f>
        <v>0.59846494176060949</v>
      </c>
      <c r="V114" s="56">
        <f>Inputs!V64*$I$9</f>
        <v>0.64555436793814291</v>
      </c>
      <c r="W114" s="56">
        <f>Inputs!W64*$I$9</f>
        <v>0.69648940983357865</v>
      </c>
      <c r="X114" s="56">
        <f>Inputs!X64*$I$9</f>
        <v>0.7515905638546424</v>
      </c>
      <c r="Y114" s="56">
        <f>Inputs!Y64*$I$9</f>
        <v>0.81120537474781351</v>
      </c>
      <c r="Z114" s="56">
        <f>Inputs!Z64*$I$9</f>
        <v>0.87554872515271265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2.0518596443295286E-3</v>
      </c>
      <c r="P115" s="56">
        <f>Inputs!P65*$I$9</f>
        <v>2.210346755838569E-3</v>
      </c>
      <c r="Q115" s="56">
        <f>Inputs!Q65*$I$9</f>
        <v>2.3816452100530261E-3</v>
      </c>
      <c r="R115" s="56">
        <f>Inputs!R65*$I$9</f>
        <v>2.566815883817115E-3</v>
      </c>
      <c r="S115" s="56">
        <f>Inputs!S65*$I$9</f>
        <v>2.7670088155207903E-3</v>
      </c>
      <c r="T115" s="56">
        <f>Inputs!T65*$I$9</f>
        <v>2.9834707701704693E-3</v>
      </c>
      <c r="U115" s="56">
        <f>Inputs!U65*$I$9</f>
        <v>3.2175534503258571E-3</v>
      </c>
      <c r="V115" s="56">
        <f>Inputs!V65*$I$9</f>
        <v>3.4707224082695851E-3</v>
      </c>
      <c r="W115" s="56">
        <f>Inputs!W65*$I$9</f>
        <v>3.7445667195353687E-3</v>
      </c>
      <c r="X115" s="56">
        <f>Inputs!X65*$I$9</f>
        <v>4.0408094830894749E-3</v>
      </c>
      <c r="Y115" s="56">
        <f>Inputs!Y65*$I$9</f>
        <v>4.3613192190742663E-3</v>
      </c>
      <c r="Z115" s="56">
        <f>Inputs!Z65*$I$9</f>
        <v>4.7072512104984554E-3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2.0518596443295286E-3</v>
      </c>
      <c r="P116" s="56">
        <f>Inputs!P66*$I$9</f>
        <v>2.210346755838569E-3</v>
      </c>
      <c r="Q116" s="56">
        <f>Inputs!Q66*$I$9</f>
        <v>2.3816452100530261E-3</v>
      </c>
      <c r="R116" s="56">
        <f>Inputs!R66*$I$9</f>
        <v>2.566815883817115E-3</v>
      </c>
      <c r="S116" s="56">
        <f>Inputs!S66*$I$9</f>
        <v>2.7670088155207903E-3</v>
      </c>
      <c r="T116" s="56">
        <f>Inputs!T66*$I$9</f>
        <v>2.9834707701704693E-3</v>
      </c>
      <c r="U116" s="56">
        <f>Inputs!U66*$I$9</f>
        <v>3.2175534503258571E-3</v>
      </c>
      <c r="V116" s="56">
        <f>Inputs!V66*$I$9</f>
        <v>3.4707224082695851E-3</v>
      </c>
      <c r="W116" s="56">
        <f>Inputs!W66*$I$9</f>
        <v>3.7445667195353687E-3</v>
      </c>
      <c r="X116" s="56">
        <f>Inputs!X66*$I$9</f>
        <v>4.0408094830894749E-3</v>
      </c>
      <c r="Y116" s="56">
        <f>Inputs!Y66*$I$9</f>
        <v>4.3613192190742663E-3</v>
      </c>
      <c r="Z116" s="56">
        <f>Inputs!Z66*$I$9</f>
        <v>4.7072512104984554E-3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21">P103*P114*$T$37</f>
        <v>0</v>
      </c>
      <c r="Q119" s="70">
        <f t="shared" si="21"/>
        <v>0</v>
      </c>
      <c r="R119" s="70">
        <f t="shared" si="21"/>
        <v>0</v>
      </c>
      <c r="S119" s="70">
        <f t="shared" si="21"/>
        <v>0</v>
      </c>
      <c r="T119" s="70">
        <f t="shared" si="21"/>
        <v>0</v>
      </c>
      <c r="U119" s="70">
        <f t="shared" si="21"/>
        <v>0</v>
      </c>
      <c r="V119" s="70">
        <f t="shared" si="21"/>
        <v>0</v>
      </c>
      <c r="W119" s="70">
        <f t="shared" si="21"/>
        <v>0</v>
      </c>
      <c r="X119" s="70">
        <f t="shared" si="21"/>
        <v>0</v>
      </c>
      <c r="Y119" s="70">
        <f t="shared" si="21"/>
        <v>0</v>
      </c>
      <c r="Z119" s="70">
        <f t="shared" si="21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4">P104*P115*$T$27</f>
        <v>0</v>
      </c>
      <c r="Q120" s="70">
        <f t="shared" si="24"/>
        <v>0</v>
      </c>
      <c r="R120" s="70">
        <f t="shared" si="24"/>
        <v>0</v>
      </c>
      <c r="S120" s="70">
        <f t="shared" si="24"/>
        <v>0</v>
      </c>
      <c r="T120" s="70">
        <f t="shared" si="24"/>
        <v>0</v>
      </c>
      <c r="U120" s="70">
        <f t="shared" si="24"/>
        <v>0</v>
      </c>
      <c r="V120" s="70">
        <f t="shared" si="24"/>
        <v>0</v>
      </c>
      <c r="W120" s="70">
        <f t="shared" si="24"/>
        <v>0</v>
      </c>
      <c r="X120" s="70">
        <f t="shared" si="24"/>
        <v>0</v>
      </c>
      <c r="Y120" s="70">
        <f t="shared" si="24"/>
        <v>0</v>
      </c>
      <c r="Z120" s="70">
        <f t="shared" si="24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16856.455851962652</v>
      </c>
      <c r="P121" s="70">
        <f t="shared" ref="P121:Z121" si="25">P107*P116*$T$17</f>
        <v>18626.849915919396</v>
      </c>
      <c r="Q121" s="70">
        <f t="shared" si="25"/>
        <v>24342.832888358756</v>
      </c>
      <c r="R121" s="70">
        <f t="shared" si="25"/>
        <v>27756.885238415965</v>
      </c>
      <c r="S121" s="70">
        <f t="shared" si="25"/>
        <v>30927.116375621339</v>
      </c>
      <c r="T121" s="70">
        <f t="shared" si="25"/>
        <v>34328.1906847883</v>
      </c>
      <c r="U121" s="70">
        <f t="shared" si="25"/>
        <v>39465.938579782931</v>
      </c>
      <c r="V121" s="70">
        <f t="shared" si="25"/>
        <v>42571.264007555677</v>
      </c>
      <c r="W121" s="70">
        <f t="shared" si="25"/>
        <v>45930.189643350117</v>
      </c>
      <c r="X121" s="70">
        <f t="shared" si="25"/>
        <v>49563.850712740415</v>
      </c>
      <c r="Y121" s="70">
        <f t="shared" si="25"/>
        <v>53495.166151592624</v>
      </c>
      <c r="Z121" s="70">
        <f t="shared" si="25"/>
        <v>57738.306455896323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229663.27190900501</v>
      </c>
      <c r="P122" s="88">
        <f t="shared" ref="P122:Z122" si="26">P105*P114*$T$44</f>
        <v>261922.69666435849</v>
      </c>
      <c r="Q122" s="88">
        <f t="shared" si="26"/>
        <v>306862.68474583043</v>
      </c>
      <c r="R122" s="88">
        <f t="shared" si="26"/>
        <v>371147.27260039642</v>
      </c>
      <c r="S122" s="88">
        <f t="shared" si="26"/>
        <v>426808.87309995369</v>
      </c>
      <c r="T122" s="88">
        <f t="shared" si="26"/>
        <v>486282.03112197097</v>
      </c>
      <c r="U122" s="88">
        <f t="shared" si="26"/>
        <v>707263.04042169591</v>
      </c>
      <c r="V122" s="88">
        <f t="shared" si="26"/>
        <v>762913.10178044019</v>
      </c>
      <c r="W122" s="88">
        <f t="shared" si="26"/>
        <v>823107.89362404065</v>
      </c>
      <c r="X122" s="88">
        <f t="shared" si="26"/>
        <v>888226.17709279968</v>
      </c>
      <c r="Y122" s="88">
        <f t="shared" si="26"/>
        <v>958678.6789259552</v>
      </c>
      <c r="Z122" s="88">
        <f t="shared" si="26"/>
        <v>1034719.346411689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1234.748773704328</v>
      </c>
      <c r="P123" s="70">
        <f t="shared" ref="P123:Z123" si="27">P105*P115*$T$34</f>
        <v>1408.1865412062284</v>
      </c>
      <c r="Q123" s="70">
        <f t="shared" si="27"/>
        <v>1649.7993803539271</v>
      </c>
      <c r="R123" s="70">
        <f t="shared" si="27"/>
        <v>1995.4154440881528</v>
      </c>
      <c r="S123" s="70">
        <f t="shared" si="27"/>
        <v>2294.6713607524393</v>
      </c>
      <c r="T123" s="70">
        <f t="shared" si="27"/>
        <v>2614.4195221611344</v>
      </c>
      <c r="U123" s="70">
        <f t="shared" si="27"/>
        <v>3802.4894646327734</v>
      </c>
      <c r="V123" s="70">
        <f t="shared" si="27"/>
        <v>4101.6833429055923</v>
      </c>
      <c r="W123" s="70">
        <f t="shared" si="27"/>
        <v>4425.3112560432292</v>
      </c>
      <c r="X123" s="70">
        <f t="shared" si="27"/>
        <v>4775.4095542623636</v>
      </c>
      <c r="Y123" s="70">
        <f t="shared" si="27"/>
        <v>5154.1864458384689</v>
      </c>
      <c r="Z123" s="70">
        <f t="shared" si="27"/>
        <v>5563.0072387725213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79291.197758620241</v>
      </c>
      <c r="P124" s="88">
        <f t="shared" si="28"/>
        <v>85415.706779295535</v>
      </c>
      <c r="Q124" s="88">
        <f t="shared" si="28"/>
        <v>92035.291918269664</v>
      </c>
      <c r="R124" s="88">
        <f t="shared" si="28"/>
        <v>99190.949252386679</v>
      </c>
      <c r="S124" s="88">
        <f t="shared" si="28"/>
        <v>106927.12037961841</v>
      </c>
      <c r="T124" s="88">
        <f t="shared" si="28"/>
        <v>115291.98476046333</v>
      </c>
      <c r="U124" s="88">
        <f t="shared" si="28"/>
        <v>124337.77701792237</v>
      </c>
      <c r="V124" s="88">
        <f t="shared" si="28"/>
        <v>134121.13133561958</v>
      </c>
      <c r="W124" s="88">
        <f t="shared" si="28"/>
        <v>144703.45527753988</v>
      </c>
      <c r="X124" s="88">
        <f t="shared" si="28"/>
        <v>156151.33555260825</v>
      </c>
      <c r="Y124" s="88">
        <f t="shared" si="28"/>
        <v>168536.97846427895</v>
      </c>
      <c r="Z124" s="88">
        <f t="shared" si="28"/>
        <v>181905.02828135676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8626.9638517718704</v>
      </c>
      <c r="P125" s="70">
        <f t="shared" si="29"/>
        <v>9293.316731092229</v>
      </c>
      <c r="Q125" s="70">
        <f t="shared" si="29"/>
        <v>10013.534401173363</v>
      </c>
      <c r="R125" s="70">
        <f t="shared" si="29"/>
        <v>10792.077277332433</v>
      </c>
      <c r="S125" s="70">
        <f t="shared" si="29"/>
        <v>11633.780651128343</v>
      </c>
      <c r="T125" s="70">
        <f t="shared" si="29"/>
        <v>12543.886497406569</v>
      </c>
      <c r="U125" s="70">
        <f t="shared" si="29"/>
        <v>13528.077996862799</v>
      </c>
      <c r="V125" s="70">
        <f t="shared" si="29"/>
        <v>14592.517006912616</v>
      </c>
      <c r="W125" s="70">
        <f t="shared" si="29"/>
        <v>15743.884733663361</v>
      </c>
      <c r="X125" s="70">
        <f t="shared" si="29"/>
        <v>16989.425879517603</v>
      </c>
      <c r="Y125" s="70">
        <f t="shared" si="29"/>
        <v>18336.996564541358</v>
      </c>
      <c r="Z125" s="70">
        <f t="shared" si="29"/>
        <v>19791.454131088558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18649.161135257738</v>
      </c>
      <c r="P126" s="70">
        <f t="shared" si="30"/>
        <v>20089.635725496806</v>
      </c>
      <c r="Q126" s="70">
        <f t="shared" si="30"/>
        <v>21646.551415950795</v>
      </c>
      <c r="R126" s="70">
        <f t="shared" si="30"/>
        <v>23329.550417414728</v>
      </c>
      <c r="S126" s="70">
        <f t="shared" si="30"/>
        <v>25149.085321665661</v>
      </c>
      <c r="T126" s="70">
        <f t="shared" si="30"/>
        <v>27116.487859685658</v>
      </c>
      <c r="U126" s="70">
        <f t="shared" si="30"/>
        <v>29244.04353010155</v>
      </c>
      <c r="V126" s="70">
        <f t="shared" si="30"/>
        <v>31545.072601064465</v>
      </c>
      <c r="W126" s="70">
        <f t="shared" si="30"/>
        <v>34034.018032045948</v>
      </c>
      <c r="X126" s="70">
        <f t="shared" si="30"/>
        <v>36726.540909009032</v>
      </c>
      <c r="Y126" s="70">
        <f t="shared" si="30"/>
        <v>39639.624037437352</v>
      </c>
      <c r="Z126" s="70">
        <f t="shared" si="30"/>
        <v>42783.767676959229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16787.214159292038</v>
      </c>
      <c r="P127" s="70">
        <f>Inputs!$J$27*$I$11</f>
        <v>16787.214159292038</v>
      </c>
      <c r="Q127" s="70">
        <f>Inputs!$J$27*$I$11</f>
        <v>16787.214159292038</v>
      </c>
      <c r="R127" s="70">
        <f>Inputs!$J$27*$I$11</f>
        <v>16787.214159292038</v>
      </c>
      <c r="S127" s="70">
        <f>Inputs!$J$27*$I$11</f>
        <v>16787.214159292038</v>
      </c>
      <c r="T127" s="70">
        <f>Inputs!$J$27*$I$11</f>
        <v>16787.214159292038</v>
      </c>
      <c r="U127" s="70">
        <f>Inputs!$J$27*$I$11</f>
        <v>16787.214159292038</v>
      </c>
      <c r="V127" s="70">
        <f>Inputs!$J$27*$I$11</f>
        <v>16787.214159292038</v>
      </c>
      <c r="W127" s="70">
        <f>Inputs!$J$27*$I$11</f>
        <v>16787.214159292038</v>
      </c>
      <c r="X127" s="70">
        <f>Inputs!$J$27*$I$11</f>
        <v>16787.214159292038</v>
      </c>
      <c r="Y127" s="70">
        <f>Inputs!$J$27*$I$11</f>
        <v>16787.214159292038</v>
      </c>
      <c r="Z127" s="70">
        <f>Inputs!$J$27*$I$11</f>
        <v>16787.214159292038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371109.01343961392</v>
      </c>
      <c r="P128" s="98">
        <f t="shared" ref="P128:Z128" si="31">SUM(P119:P127)</f>
        <v>413543.60651666071</v>
      </c>
      <c r="Q128" s="98">
        <f t="shared" si="31"/>
        <v>473337.90890922898</v>
      </c>
      <c r="R128" s="98">
        <f t="shared" si="31"/>
        <v>550999.36438932642</v>
      </c>
      <c r="S128" s="98">
        <f t="shared" si="31"/>
        <v>620527.8613480319</v>
      </c>
      <c r="T128" s="98">
        <f t="shared" si="31"/>
        <v>694964.21460576798</v>
      </c>
      <c r="U128" s="98">
        <f t="shared" si="31"/>
        <v>934428.58117029048</v>
      </c>
      <c r="V128" s="98">
        <f t="shared" si="31"/>
        <v>1006631.9842337902</v>
      </c>
      <c r="W128" s="98">
        <f t="shared" si="31"/>
        <v>1084731.9667259753</v>
      </c>
      <c r="X128" s="98">
        <f t="shared" si="31"/>
        <v>1169219.9538602293</v>
      </c>
      <c r="Y128" s="98">
        <f t="shared" si="31"/>
        <v>1260628.8447489357</v>
      </c>
      <c r="Z128" s="98">
        <f t="shared" si="31"/>
        <v>1359288.124355054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51812.389380530978</v>
      </c>
      <c r="Q135" s="70">
        <f>Inputs!Q22*'Base Case'!$I$10</f>
        <v>777185.84070796461</v>
      </c>
      <c r="R135" s="70">
        <f>Inputs!R22*'Base Case'!$I$10</f>
        <v>3054858.4778761063</v>
      </c>
      <c r="S135" s="70">
        <f>Inputs!S22*'Base Case'!$I$10</f>
        <v>0</v>
      </c>
      <c r="T135" s="70">
        <f>Inputs!T22*'Base Case'!$I$10</f>
        <v>0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1</v>
      </c>
      <c r="Q136" s="70">
        <f t="shared" si="32"/>
        <v>1</v>
      </c>
      <c r="R136" s="70">
        <f t="shared" si="32"/>
        <v>1</v>
      </c>
      <c r="S136" s="70">
        <f t="shared" si="32"/>
        <v>0</v>
      </c>
      <c r="T136" s="70">
        <f t="shared" si="32"/>
        <v>0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144760.29102283236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4248.61592920354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149008.9069520359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371109.01343961392</v>
      </c>
      <c r="P147" s="70">
        <f t="shared" ref="P147:Z147" si="34">P128</f>
        <v>413543.60651666071</v>
      </c>
      <c r="Q147" s="70">
        <f t="shared" si="34"/>
        <v>473337.90890922898</v>
      </c>
      <c r="R147" s="70">
        <f t="shared" si="34"/>
        <v>550999.36438932642</v>
      </c>
      <c r="S147" s="70">
        <f t="shared" si="34"/>
        <v>620527.8613480319</v>
      </c>
      <c r="T147" s="70">
        <f t="shared" si="34"/>
        <v>694964.21460576798</v>
      </c>
      <c r="U147" s="70">
        <f t="shared" si="34"/>
        <v>934428.58117029048</v>
      </c>
      <c r="V147" s="70">
        <f t="shared" si="34"/>
        <v>1006631.9842337902</v>
      </c>
      <c r="W147" s="70">
        <f t="shared" si="34"/>
        <v>1084731.9667259753</v>
      </c>
      <c r="X147" s="70">
        <f t="shared" si="34"/>
        <v>1169219.9538602293</v>
      </c>
      <c r="Y147" s="70">
        <f t="shared" si="34"/>
        <v>1260628.8447489357</v>
      </c>
      <c r="Z147" s="70">
        <f t="shared" si="34"/>
        <v>1359288.124355054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149008.9069520359</v>
      </c>
      <c r="P148" s="70">
        <f t="shared" ref="P148:Z148" si="35">$J$140</f>
        <v>149008.9069520359</v>
      </c>
      <c r="Q148" s="70">
        <f t="shared" si="35"/>
        <v>149008.9069520359</v>
      </c>
      <c r="R148" s="70">
        <f t="shared" si="35"/>
        <v>149008.9069520359</v>
      </c>
      <c r="S148" s="70">
        <f t="shared" si="35"/>
        <v>149008.9069520359</v>
      </c>
      <c r="T148" s="70">
        <f t="shared" si="35"/>
        <v>149008.9069520359</v>
      </c>
      <c r="U148" s="70">
        <f t="shared" si="35"/>
        <v>149008.9069520359</v>
      </c>
      <c r="V148" s="70">
        <f t="shared" si="35"/>
        <v>149008.9069520359</v>
      </c>
      <c r="W148" s="70">
        <f t="shared" si="35"/>
        <v>149008.9069520359</v>
      </c>
      <c r="X148" s="70">
        <f t="shared" si="35"/>
        <v>149008.9069520359</v>
      </c>
      <c r="Y148" s="70">
        <f t="shared" si="35"/>
        <v>149008.9069520359</v>
      </c>
      <c r="Z148" s="70">
        <f t="shared" si="35"/>
        <v>149008.9069520359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Warrnambool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34451084.667362057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6890216.9334724117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34254295.780658089</v>
      </c>
      <c r="R19" s="71">
        <v>0</v>
      </c>
      <c r="S19" s="72">
        <v>0</v>
      </c>
      <c r="T19" s="73">
        <f>'Base Case'!$T19</f>
        <v>0.2</v>
      </c>
      <c r="U19" s="74">
        <f t="shared" si="0"/>
        <v>6850859.1561316177</v>
      </c>
      <c r="V19" s="75">
        <f t="shared" si="1"/>
        <v>6850859.1561316177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11442041.518443622</v>
      </c>
      <c r="P34" s="71">
        <v>0</v>
      </c>
      <c r="Q34" s="70">
        <f>Inputs!$L$161*$I$11</f>
        <v>9338582.3700300269</v>
      </c>
      <c r="R34" s="71">
        <v>0</v>
      </c>
      <c r="S34" s="72">
        <v>0</v>
      </c>
      <c r="T34" s="73">
        <f>'Base Case'!$T34</f>
        <v>0.04</v>
      </c>
      <c r="U34" s="74">
        <f t="shared" si="0"/>
        <v>831224.95553894597</v>
      </c>
      <c r="V34" s="75">
        <f t="shared" si="1"/>
        <v>373543.29480120109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18465.935575221243</v>
      </c>
      <c r="S40" s="72">
        <v>0</v>
      </c>
      <c r="T40" s="73">
        <f>'Base Case'!$T40</f>
        <v>1</v>
      </c>
      <c r="U40" s="74">
        <f t="shared" si="0"/>
        <v>18465.935575221243</v>
      </c>
      <c r="V40" s="75">
        <f t="shared" si="1"/>
        <v>18465.935575221243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11442041.518443622</v>
      </c>
      <c r="P44" s="71">
        <v>0</v>
      </c>
      <c r="Q44" s="70">
        <f>SUM(Inputs!$J$161,Inputs!$L$161*(Inputs!$J$128/Inputs!$L$128))*$I$11</f>
        <v>1852893.3273869101</v>
      </c>
      <c r="R44" s="71">
        <v>0</v>
      </c>
      <c r="S44" s="72">
        <v>0</v>
      </c>
      <c r="T44" s="73">
        <f>'Base Case'!$T44</f>
        <v>0.04</v>
      </c>
      <c r="U44" s="74">
        <f t="shared" si="0"/>
        <v>531797.39383322129</v>
      </c>
      <c r="V44" s="75">
        <f t="shared" si="1"/>
        <v>74115.733095476404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11442041.518443622</v>
      </c>
      <c r="P49" s="70">
        <f t="shared" ref="P49:V49" si="2">SUMIF($I$17:$I$46,$I49,P$17:P$46)</f>
        <v>8261.6387603969597</v>
      </c>
      <c r="Q49" s="70">
        <f t="shared" si="2"/>
        <v>1909886.9557054942</v>
      </c>
      <c r="R49" s="70">
        <f t="shared" si="2"/>
        <v>18465.935575221243</v>
      </c>
      <c r="S49" s="70">
        <f t="shared" si="2"/>
        <v>57169.790442477875</v>
      </c>
      <c r="T49" s="56">
        <f>U49/SUM(O49:S49)</f>
        <v>5.0066768875564147E-2</v>
      </c>
      <c r="U49" s="70">
        <f t="shared" si="2"/>
        <v>672688.38692990143</v>
      </c>
      <c r="V49" s="70">
        <f t="shared" si="2"/>
        <v>215006.72619215655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11442041.518443622</v>
      </c>
      <c r="P50" s="70">
        <f t="shared" si="3"/>
        <v>28915.735661389357</v>
      </c>
      <c r="Q50" s="70">
        <f t="shared" si="3"/>
        <v>9395575.9983486105</v>
      </c>
      <c r="R50" s="70">
        <f t="shared" si="3"/>
        <v>4272242.3787610624</v>
      </c>
      <c r="S50" s="70">
        <f t="shared" si="3"/>
        <v>779859.3600000001</v>
      </c>
      <c r="T50" s="56">
        <f t="shared" ref="T50:T51" si="4">U50/SUM(O50:S50)</f>
        <v>0.190659494198162</v>
      </c>
      <c r="U50" s="70">
        <f t="shared" si="3"/>
        <v>4941633.8377317749</v>
      </c>
      <c r="V50" s="70">
        <f t="shared" si="3"/>
        <v>4483952.1769940304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34451084.667362057</v>
      </c>
      <c r="P51" s="70">
        <f t="shared" si="3"/>
        <v>28915.735661389357</v>
      </c>
      <c r="Q51" s="70">
        <f t="shared" si="3"/>
        <v>34311289.408976674</v>
      </c>
      <c r="R51" s="70">
        <f t="shared" si="3"/>
        <v>12816727.136283187</v>
      </c>
      <c r="S51" s="70">
        <f t="shared" si="3"/>
        <v>2314770.307964602</v>
      </c>
      <c r="T51" s="56">
        <f t="shared" si="4"/>
        <v>0.19999999999999996</v>
      </c>
      <c r="U51" s="70">
        <f t="shared" si="3"/>
        <v>16784557.451249581</v>
      </c>
      <c r="V51" s="70">
        <f t="shared" si="3"/>
        <v>9894340.5177771691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22398879.675911255</v>
      </c>
      <c r="V52" s="88">
        <f>SUM(V49:V51)</f>
        <v>14593299.420963356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98.9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59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19.05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12.3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47.235900000000001</v>
      </c>
      <c r="P69" s="70">
        <f>Inputs!P185*$I$12</f>
        <v>48.287549999999996</v>
      </c>
      <c r="Q69" s="70">
        <f>Inputs!Q185*$I$12</f>
        <v>50.281599999999997</v>
      </c>
      <c r="R69" s="70">
        <f>Inputs!R185*$I$12</f>
        <v>52.021049999999995</v>
      </c>
      <c r="S69" s="70">
        <f>Inputs!S185*$I$12</f>
        <v>54.591749999999998</v>
      </c>
      <c r="T69" s="70">
        <f>Inputs!T185*$I$12</f>
        <v>55.624399999999994</v>
      </c>
      <c r="U69" s="70">
        <f>Inputs!U185*$I$12</f>
        <v>57.877799999999993</v>
      </c>
      <c r="V69" s="70">
        <f>Inputs!V185*$I$12</f>
        <v>57.877799999999993</v>
      </c>
      <c r="W69" s="70">
        <f>Inputs!W185*$I$12</f>
        <v>57.877799999999993</v>
      </c>
      <c r="X69" s="70">
        <f>Inputs!X185*$I$12</f>
        <v>57.877799999999993</v>
      </c>
      <c r="Y69" s="70">
        <f>Inputs!Y185*$I$12</f>
        <v>57.877799999999993</v>
      </c>
      <c r="Z69" s="70">
        <f>Inputs!Z185*$I$12</f>
        <v>57.877799999999993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42.575200000000002</v>
      </c>
      <c r="P70" s="70">
        <f>Inputs!P186*$I$12</f>
        <v>43.314299999999996</v>
      </c>
      <c r="Q70" s="70">
        <f>Inputs!Q186*$I$12</f>
        <v>44.333649999999999</v>
      </c>
      <c r="R70" s="70">
        <f>Inputs!R186*$I$12</f>
        <v>46.440749999999994</v>
      </c>
      <c r="S70" s="70">
        <f>Inputs!S186*$I$12</f>
        <v>47.087699999999998</v>
      </c>
      <c r="T70" s="70">
        <f>Inputs!T186*$I$12</f>
        <v>48.228650000000002</v>
      </c>
      <c r="U70" s="70">
        <f>Inputs!U186*$I$12</f>
        <v>50.919049999999991</v>
      </c>
      <c r="V70" s="70">
        <f>Inputs!V186*$I$12</f>
        <v>50.919049999999991</v>
      </c>
      <c r="W70" s="70">
        <f>Inputs!W186*$I$12</f>
        <v>50.919049999999991</v>
      </c>
      <c r="X70" s="70">
        <f>Inputs!X186*$I$12</f>
        <v>50.919049999999991</v>
      </c>
      <c r="Y70" s="70">
        <f>Inputs!Y186*$I$12</f>
        <v>50.919049999999991</v>
      </c>
      <c r="Z70" s="70">
        <f>Inputs!Z186*$I$12</f>
        <v>50.919049999999991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43.973410000000001</v>
      </c>
      <c r="P71" s="70">
        <f>Inputs!P187*$I$12</f>
        <v>44.806274999999999</v>
      </c>
      <c r="Q71" s="70">
        <f>Inputs!Q187*$I$12</f>
        <v>46.118034999999992</v>
      </c>
      <c r="R71" s="70">
        <f>Inputs!R187*$I$12</f>
        <v>48.114839999999994</v>
      </c>
      <c r="S71" s="70">
        <f>Inputs!S187*$I$12</f>
        <v>49.338914999999993</v>
      </c>
      <c r="T71" s="70">
        <f>Inputs!T187*$I$12</f>
        <v>50.447375000000001</v>
      </c>
      <c r="U71" s="70">
        <f>Inputs!U187*$I$12</f>
        <v>53.006674999999994</v>
      </c>
      <c r="V71" s="70">
        <f>Inputs!V187*$I$12</f>
        <v>53.006674999999994</v>
      </c>
      <c r="W71" s="70">
        <f>Inputs!W187*$I$12</f>
        <v>53.006674999999994</v>
      </c>
      <c r="X71" s="70">
        <f>Inputs!X187*$I$12</f>
        <v>53.006674999999994</v>
      </c>
      <c r="Y71" s="70">
        <f>Inputs!Y187*$I$12</f>
        <v>53.006674999999994</v>
      </c>
      <c r="Z71" s="70">
        <f>Inputs!Z187*$I$12</f>
        <v>53.006674999999994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96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96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96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12.62341</v>
      </c>
      <c r="P78" s="70">
        <f t="shared" si="5"/>
        <v>13.456275000000002</v>
      </c>
      <c r="Q78" s="70">
        <f t="shared" si="5"/>
        <v>14.768034999999994</v>
      </c>
      <c r="R78" s="70">
        <f t="shared" si="5"/>
        <v>16.764839999999989</v>
      </c>
      <c r="S78" s="70">
        <f t="shared" si="5"/>
        <v>17.988914999999988</v>
      </c>
      <c r="T78" s="70">
        <f t="shared" si="5"/>
        <v>19.097374999999996</v>
      </c>
      <c r="U78" s="70">
        <f t="shared" si="5"/>
        <v>21.656674999999989</v>
      </c>
      <c r="V78" s="70">
        <f t="shared" si="5"/>
        <v>21.656674999999989</v>
      </c>
      <c r="W78" s="70">
        <f t="shared" si="5"/>
        <v>21.656674999999989</v>
      </c>
      <c r="X78" s="70">
        <f t="shared" si="5"/>
        <v>21.656674999999989</v>
      </c>
      <c r="Y78" s="70">
        <f t="shared" si="5"/>
        <v>21.656674999999989</v>
      </c>
      <c r="Z78" s="70">
        <f t="shared" si="5"/>
        <v>21.656674999999989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96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31.673410000000001</v>
      </c>
      <c r="P79" s="70">
        <f t="shared" si="5"/>
        <v>32.506275000000002</v>
      </c>
      <c r="Q79" s="70">
        <f t="shared" si="5"/>
        <v>33.818034999999995</v>
      </c>
      <c r="R79" s="70">
        <f t="shared" si="5"/>
        <v>35.81483999999999</v>
      </c>
      <c r="S79" s="70">
        <f t="shared" si="5"/>
        <v>37.038914999999989</v>
      </c>
      <c r="T79" s="70">
        <f t="shared" si="5"/>
        <v>38.147374999999997</v>
      </c>
      <c r="U79" s="70">
        <f t="shared" si="5"/>
        <v>40.70667499999999</v>
      </c>
      <c r="V79" s="70">
        <f t="shared" si="5"/>
        <v>40.70667499999999</v>
      </c>
      <c r="W79" s="70">
        <f t="shared" si="5"/>
        <v>40.70667499999999</v>
      </c>
      <c r="X79" s="70">
        <f t="shared" si="5"/>
        <v>40.70667499999999</v>
      </c>
      <c r="Y79" s="70">
        <f t="shared" si="5"/>
        <v>40.70667499999999</v>
      </c>
      <c r="Z79" s="70">
        <f t="shared" si="5"/>
        <v>40.70667499999999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9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31.673410000000001</v>
      </c>
      <c r="P80" s="70">
        <f t="shared" si="5"/>
        <v>32.506275000000002</v>
      </c>
      <c r="Q80" s="70">
        <f t="shared" si="5"/>
        <v>33.818034999999995</v>
      </c>
      <c r="R80" s="70">
        <f t="shared" si="5"/>
        <v>35.81483999999999</v>
      </c>
      <c r="S80" s="70">
        <f t="shared" si="5"/>
        <v>37.038914999999989</v>
      </c>
      <c r="T80" s="70">
        <f t="shared" si="5"/>
        <v>38.147374999999997</v>
      </c>
      <c r="U80" s="70">
        <f t="shared" si="5"/>
        <v>40.70667499999999</v>
      </c>
      <c r="V80" s="70">
        <f t="shared" si="5"/>
        <v>40.70667499999999</v>
      </c>
      <c r="W80" s="70">
        <f t="shared" si="5"/>
        <v>40.70667499999999</v>
      </c>
      <c r="X80" s="70">
        <f t="shared" si="5"/>
        <v>40.70667499999999</v>
      </c>
      <c r="Y80" s="70">
        <f t="shared" si="5"/>
        <v>40.70667499999999</v>
      </c>
      <c r="Z80" s="70">
        <f t="shared" si="5"/>
        <v>40.70667499999999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</v>
      </c>
      <c r="R95" s="70">
        <f t="shared" si="13"/>
        <v>1</v>
      </c>
      <c r="S95" s="70">
        <f t="shared" si="13"/>
        <v>1.5</v>
      </c>
      <c r="T95" s="70">
        <f t="shared" si="13"/>
        <v>1.5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</v>
      </c>
      <c r="R96" s="93">
        <f t="shared" si="14"/>
        <v>3</v>
      </c>
      <c r="S96" s="93">
        <f t="shared" si="14"/>
        <v>3.5</v>
      </c>
      <c r="T96" s="93">
        <f t="shared" si="14"/>
        <v>3.5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</v>
      </c>
      <c r="R98" s="70">
        <f t="shared" si="15"/>
        <v>1</v>
      </c>
      <c r="S98" s="70">
        <f t="shared" si="15"/>
        <v>1.5</v>
      </c>
      <c r="T98" s="70">
        <f t="shared" si="15"/>
        <v>1.5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</v>
      </c>
      <c r="R99" s="93">
        <f t="shared" si="16"/>
        <v>3</v>
      </c>
      <c r="S99" s="93">
        <f t="shared" si="16"/>
        <v>3.5</v>
      </c>
      <c r="T99" s="93">
        <f t="shared" si="16"/>
        <v>3.5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11442041.518443622</v>
      </c>
      <c r="P105" s="70">
        <f>P78*Inputs!$M$75*IF(Inputs!$M$126&gt;0,Inputs!$M$126,P93*Inputs!$J$123)*$I$13</f>
        <v>12196962.408223687</v>
      </c>
      <c r="Q105" s="70">
        <f>Q78*Inputs!$M$75*IF(Inputs!$M$126&gt;0,Inputs!$M$126,Q93*Inputs!$J$123)*$I$13</f>
        <v>13385960.656892907</v>
      </c>
      <c r="R105" s="70">
        <f>R78*Inputs!$M$75*IF(Inputs!$M$126&gt;0,Inputs!$M$126,R93*Inputs!$J$123)*$I$13</f>
        <v>15195893.607992154</v>
      </c>
      <c r="S105" s="70">
        <f>S78*Inputs!$M$75*IF(Inputs!$M$126&gt;0,Inputs!$M$126,S93*Inputs!$J$123)*$I$13</f>
        <v>16305412.903625337</v>
      </c>
      <c r="T105" s="70">
        <f>T78*Inputs!$M$75*IF(Inputs!$M$126&gt;0,Inputs!$M$126,T93*Inputs!$J$123)*$I$13</f>
        <v>17310137.090000816</v>
      </c>
      <c r="U105" s="70">
        <f>U78*Inputs!$M$75*IF(Inputs!$M$126&gt;0,Inputs!$M$126,U93*Inputs!$J$123)*$I$13</f>
        <v>19629923.649904415</v>
      </c>
      <c r="V105" s="70">
        <f>V78*Inputs!$M$75*IF(Inputs!$M$126&gt;0,Inputs!$M$126,V93*Inputs!$J$123)*$I$13</f>
        <v>19629923.649904415</v>
      </c>
      <c r="W105" s="70">
        <f>W78*Inputs!$M$75*IF(Inputs!$M$126&gt;0,Inputs!$M$126,W93*Inputs!$J$123)*$I$13</f>
        <v>19629923.649904415</v>
      </c>
      <c r="X105" s="70">
        <f>X78*Inputs!$M$75*IF(Inputs!$M$126&gt;0,Inputs!$M$126,X93*Inputs!$J$123)*$I$13</f>
        <v>19629923.649904415</v>
      </c>
      <c r="Y105" s="70">
        <f>Y78*Inputs!$M$75*IF(Inputs!$M$126&gt;0,Inputs!$M$126,Y93*Inputs!$J$123)*$I$13</f>
        <v>19629923.649904415</v>
      </c>
      <c r="Z105" s="70">
        <f>Z78*Inputs!$M$75*IF(Inputs!$M$126&gt;0,Inputs!$M$126,Z93*Inputs!$J$123)*$I$13</f>
        <v>19629923.649904415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34451084.667362057</v>
      </c>
      <c r="P106" s="70">
        <f>P79*Inputs!$M$75*IF(Inputs!$M$126&gt;0,Inputs!$M$126,P96*Inputs!$J$123)*$I$13</f>
        <v>35356989.735098138</v>
      </c>
      <c r="Q106" s="70">
        <f>Q79*Inputs!$M$75*IF(Inputs!$M$126&gt;0,Inputs!$M$126,Q96*Inputs!$J$123)*$I$13</f>
        <v>36783787.633501202</v>
      </c>
      <c r="R106" s="70">
        <f>R79*Inputs!$M$75*IF(Inputs!$M$126&gt;0,Inputs!$M$126,R96*Inputs!$J$123)*$I$13</f>
        <v>38955707.174820304</v>
      </c>
      <c r="S106" s="70">
        <f>S79*Inputs!$M$75*IF(Inputs!$M$126&gt;0,Inputs!$M$126,S96*Inputs!$J$123)*$I$13</f>
        <v>47001652.051176801</v>
      </c>
      <c r="T106" s="70">
        <f>T79*Inputs!$M$75*IF(Inputs!$M$126&gt;0,Inputs!$M$126,T96*Inputs!$J$123)*$I$13</f>
        <v>48408265.912102468</v>
      </c>
      <c r="U106" s="70">
        <f>U79*Inputs!$M$75*IF(Inputs!$M$126&gt;0,Inputs!$M$126,U96*Inputs!$J$123)*$I$13</f>
        <v>51655967.095967516</v>
      </c>
      <c r="V106" s="70">
        <f>V79*Inputs!$M$75*IF(Inputs!$M$126&gt;0,Inputs!$M$126,V96*Inputs!$J$123)*$I$13</f>
        <v>51655967.095967516</v>
      </c>
      <c r="W106" s="70">
        <f>W79*Inputs!$M$75*IF(Inputs!$M$126&gt;0,Inputs!$M$126,W96*Inputs!$J$123)*$I$13</f>
        <v>51655967.095967516</v>
      </c>
      <c r="X106" s="70">
        <f>X79*Inputs!$M$75*IF(Inputs!$M$126&gt;0,Inputs!$M$126,X96*Inputs!$J$123)*$I$13</f>
        <v>51655967.095967516</v>
      </c>
      <c r="Y106" s="70">
        <f>Y79*Inputs!$M$75*IF(Inputs!$M$126&gt;0,Inputs!$M$126,Y96*Inputs!$J$123)*$I$13</f>
        <v>51655967.095967516</v>
      </c>
      <c r="Z106" s="70">
        <f>Z79*Inputs!$M$75*IF(Inputs!$M$126&gt;0,Inputs!$M$126,Z96*Inputs!$J$123)*$I$13</f>
        <v>51655967.095967516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34451084.667362057</v>
      </c>
      <c r="P107" s="70">
        <f>P80*Inputs!$M$75*IF(Inputs!$M$126&gt;0,Inputs!$M$126,P99*Inputs!$J$123)*$I$13</f>
        <v>35356989.735098138</v>
      </c>
      <c r="Q107" s="70">
        <f>Q80*Inputs!$M$75*IF(Inputs!$M$126&gt;0,Inputs!$M$126,Q99*Inputs!$J$123)*$I$13</f>
        <v>36783787.633501202</v>
      </c>
      <c r="R107" s="70">
        <f>R80*Inputs!$M$75*IF(Inputs!$M$126&gt;0,Inputs!$M$126,R99*Inputs!$J$123)*$I$13</f>
        <v>38955707.174820304</v>
      </c>
      <c r="S107" s="70">
        <f>S80*Inputs!$M$75*IF(Inputs!$M$126&gt;0,Inputs!$M$126,S99*Inputs!$J$123)*$I$13</f>
        <v>47001652.051176801</v>
      </c>
      <c r="T107" s="70">
        <f>T80*Inputs!$M$75*IF(Inputs!$M$126&gt;0,Inputs!$M$126,T99*Inputs!$J$123)*$I$13</f>
        <v>48408265.912102468</v>
      </c>
      <c r="U107" s="70">
        <f>U80*Inputs!$M$75*IF(Inputs!$M$126&gt;0,Inputs!$M$126,U99*Inputs!$J$123)*$I$13</f>
        <v>51655967.095967516</v>
      </c>
      <c r="V107" s="70">
        <f>V80*Inputs!$M$75*IF(Inputs!$M$126&gt;0,Inputs!$M$126,V99*Inputs!$J$123)*$I$13</f>
        <v>51655967.095967516</v>
      </c>
      <c r="W107" s="70">
        <f>W80*Inputs!$M$75*IF(Inputs!$M$126&gt;0,Inputs!$M$126,W99*Inputs!$J$123)*$I$13</f>
        <v>51655967.095967516</v>
      </c>
      <c r="X107" s="70">
        <f>X80*Inputs!$M$75*IF(Inputs!$M$126&gt;0,Inputs!$M$126,X99*Inputs!$J$123)*$I$13</f>
        <v>51655967.095967516</v>
      </c>
      <c r="Y107" s="70">
        <f>Y80*Inputs!$M$75*IF(Inputs!$M$126&gt;0,Inputs!$M$126,Y99*Inputs!$J$123)*$I$13</f>
        <v>51655967.095967516</v>
      </c>
      <c r="Z107" s="70">
        <f>Z80*Inputs!$M$75*IF(Inputs!$M$126&gt;0,Inputs!$M$126,Z99*Inputs!$J$123)*$I$13</f>
        <v>51655967.095967516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0.34348130446076314</v>
      </c>
      <c r="P114" s="56">
        <f>Inputs!P64*$I$9</f>
        <v>0.37001204692737644</v>
      </c>
      <c r="Q114" s="56">
        <f>Inputs!Q64*$I$9</f>
        <v>0.39868740816287657</v>
      </c>
      <c r="R114" s="56">
        <f>Inputs!R64*$I$9</f>
        <v>0.42968497895098506</v>
      </c>
      <c r="S114" s="56">
        <f>Inputs!S64*$I$9</f>
        <v>0.46319727571818031</v>
      </c>
      <c r="T114" s="56">
        <f>Inputs!T64*$I$9</f>
        <v>0.49943300692653658</v>
      </c>
      <c r="U114" s="56">
        <f>Inputs!U64*$I$9</f>
        <v>0.53861844758454858</v>
      </c>
      <c r="V114" s="56">
        <f>Inputs!V64*$I$9</f>
        <v>0.58099893114432866</v>
      </c>
      <c r="W114" s="56">
        <f>Inputs!W64*$I$9</f>
        <v>0.62684046885022082</v>
      </c>
      <c r="X114" s="56">
        <f>Inputs!X64*$I$9</f>
        <v>0.67643150746917813</v>
      </c>
      <c r="Y114" s="56">
        <f>Inputs!Y64*$I$9</f>
        <v>0.73008483727303219</v>
      </c>
      <c r="Z114" s="56">
        <f>Inputs!Z64*$I$9</f>
        <v>0.78799385263744137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1.8466736798965757E-3</v>
      </c>
      <c r="P115" s="56">
        <f>Inputs!P65*$I$9</f>
        <v>1.9893120802547122E-3</v>
      </c>
      <c r="Q115" s="56">
        <f>Inputs!Q65*$I$9</f>
        <v>2.1434806890477235E-3</v>
      </c>
      <c r="R115" s="56">
        <f>Inputs!R65*$I$9</f>
        <v>2.3101342954354037E-3</v>
      </c>
      <c r="S115" s="56">
        <f>Inputs!S65*$I$9</f>
        <v>2.4903079339687112E-3</v>
      </c>
      <c r="T115" s="56">
        <f>Inputs!T65*$I$9</f>
        <v>2.6851236931534224E-3</v>
      </c>
      <c r="U115" s="56">
        <f>Inputs!U65*$I$9</f>
        <v>2.8957981052932713E-3</v>
      </c>
      <c r="V115" s="56">
        <f>Inputs!V65*$I$9</f>
        <v>3.1236501674426266E-3</v>
      </c>
      <c r="W115" s="56">
        <f>Inputs!W65*$I$9</f>
        <v>3.3701100475818321E-3</v>
      </c>
      <c r="X115" s="56">
        <f>Inputs!X65*$I$9</f>
        <v>3.6367285347805277E-3</v>
      </c>
      <c r="Y115" s="56">
        <f>Inputs!Y65*$I$9</f>
        <v>3.9251872971668399E-3</v>
      </c>
      <c r="Z115" s="56">
        <f>Inputs!Z65*$I$9</f>
        <v>4.23652608944861E-3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1.8466736798965757E-3</v>
      </c>
      <c r="P116" s="56">
        <f>Inputs!P66*$I$9</f>
        <v>1.9893120802547122E-3</v>
      </c>
      <c r="Q116" s="56">
        <f>Inputs!Q66*$I$9</f>
        <v>2.1434806890477235E-3</v>
      </c>
      <c r="R116" s="56">
        <f>Inputs!R66*$I$9</f>
        <v>2.3101342954354037E-3</v>
      </c>
      <c r="S116" s="56">
        <f>Inputs!S66*$I$9</f>
        <v>2.4903079339687112E-3</v>
      </c>
      <c r="T116" s="56">
        <f>Inputs!T66*$I$9</f>
        <v>2.6851236931534224E-3</v>
      </c>
      <c r="U116" s="56">
        <f>Inputs!U66*$I$9</f>
        <v>2.8957981052932713E-3</v>
      </c>
      <c r="V116" s="56">
        <f>Inputs!V66*$I$9</f>
        <v>3.1236501674426266E-3</v>
      </c>
      <c r="W116" s="56">
        <f>Inputs!W66*$I$9</f>
        <v>3.3701100475818321E-3</v>
      </c>
      <c r="X116" s="56">
        <f>Inputs!X66*$I$9</f>
        <v>3.6367285347805277E-3</v>
      </c>
      <c r="Y116" s="56">
        <f>Inputs!Y66*$I$9</f>
        <v>3.9251872971668399E-3</v>
      </c>
      <c r="Z116" s="56">
        <f>Inputs!Z66*$I$9</f>
        <v>4.23652608944861E-3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12723.982259821198</v>
      </c>
      <c r="P121" s="70">
        <f t="shared" ref="P121:Z121" si="21">P107*P116*$T$17</f>
        <v>14067.217360294519</v>
      </c>
      <c r="Q121" s="70">
        <f t="shared" si="21"/>
        <v>15769.067692488459</v>
      </c>
      <c r="R121" s="70">
        <f t="shared" si="21"/>
        <v>17998.583029498284</v>
      </c>
      <c r="S121" s="70">
        <f t="shared" si="21"/>
        <v>23409.717402536466</v>
      </c>
      <c r="T121" s="70">
        <f t="shared" si="21"/>
        <v>25996.436349011503</v>
      </c>
      <c r="U121" s="70">
        <f t="shared" si="21"/>
        <v>29917.050328718862</v>
      </c>
      <c r="V121" s="70">
        <f t="shared" si="21"/>
        <v>32271.034053745949</v>
      </c>
      <c r="W121" s="70">
        <f t="shared" si="21"/>
        <v>34817.258745535328</v>
      </c>
      <c r="X121" s="70">
        <f t="shared" si="21"/>
        <v>37571.745905917822</v>
      </c>
      <c r="Y121" s="70">
        <f t="shared" si="21"/>
        <v>40551.869173591993</v>
      </c>
      <c r="Z121" s="70">
        <f t="shared" si="21"/>
        <v>43768.370455553071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157205.09385796904</v>
      </c>
      <c r="P122" s="88">
        <f t="shared" ref="P122:Z122" si="22">P105*P114*$T$44</f>
        <v>180520.92107852438</v>
      </c>
      <c r="Q122" s="88">
        <f t="shared" si="22"/>
        <v>213472.5584026748</v>
      </c>
      <c r="R122" s="88">
        <f t="shared" si="22"/>
        <v>261177.88900366068</v>
      </c>
      <c r="S122" s="88">
        <f t="shared" si="22"/>
        <v>302104.91345677286</v>
      </c>
      <c r="T122" s="88">
        <f t="shared" si="22"/>
        <v>345810.15268678701</v>
      </c>
      <c r="U122" s="88">
        <f t="shared" si="22"/>
        <v>422921.56010058924</v>
      </c>
      <c r="V122" s="88">
        <f t="shared" si="22"/>
        <v>456198.58636156976</v>
      </c>
      <c r="W122" s="88">
        <f t="shared" si="22"/>
        <v>492193.22176800488</v>
      </c>
      <c r="X122" s="88">
        <f t="shared" si="22"/>
        <v>531131.95384038857</v>
      </c>
      <c r="Y122" s="88">
        <f t="shared" si="22"/>
        <v>573260.3845449005</v>
      </c>
      <c r="Z122" s="88">
        <f t="shared" si="22"/>
        <v>618730.36655468016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845.18867665574737</v>
      </c>
      <c r="P123" s="70">
        <f t="shared" ref="P123:Z123" si="23">P105*P115*$T$34</f>
        <v>970.54258644367951</v>
      </c>
      <c r="Q123" s="70">
        <f t="shared" si="23"/>
        <v>1147.701926896101</v>
      </c>
      <c r="R123" s="70">
        <f t="shared" si="23"/>
        <v>1404.1821989444122</v>
      </c>
      <c r="S123" s="70">
        <f t="shared" si="23"/>
        <v>1624.2199648213591</v>
      </c>
      <c r="T123" s="70">
        <f t="shared" si="23"/>
        <v>1859.1943692838011</v>
      </c>
      <c r="U123" s="70">
        <f t="shared" si="23"/>
        <v>2273.7718284977914</v>
      </c>
      <c r="V123" s="70">
        <f t="shared" si="23"/>
        <v>2452.6805718363962</v>
      </c>
      <c r="W123" s="70">
        <f t="shared" si="23"/>
        <v>2646.2001170322842</v>
      </c>
      <c r="X123" s="70">
        <f t="shared" si="23"/>
        <v>2855.5481389268202</v>
      </c>
      <c r="Y123" s="70">
        <f t="shared" si="23"/>
        <v>3082.0450781983895</v>
      </c>
      <c r="Z123" s="70">
        <f t="shared" si="23"/>
        <v>3326.5073470681737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73850.790780320065</v>
      </c>
      <c r="P124" s="88">
        <f t="shared" si="24"/>
        <v>79555.078861513801</v>
      </c>
      <c r="Q124" s="88">
        <f t="shared" si="24"/>
        <v>85720.474403136162</v>
      </c>
      <c r="R124" s="88">
        <f t="shared" si="24"/>
        <v>92385.160618196998</v>
      </c>
      <c r="S124" s="88">
        <f t="shared" si="24"/>
        <v>99590.529833291643</v>
      </c>
      <c r="T124" s="88">
        <f t="shared" si="24"/>
        <v>107381.45577157928</v>
      </c>
      <c r="U124" s="88">
        <f t="shared" si="24"/>
        <v>115806.58908185546</v>
      </c>
      <c r="V124" s="88">
        <f t="shared" si="24"/>
        <v>124918.67810648429</v>
      </c>
      <c r="W124" s="88">
        <f t="shared" si="24"/>
        <v>134774.91705224247</v>
      </c>
      <c r="X124" s="88">
        <f t="shared" si="24"/>
        <v>145437.32391417329</v>
      </c>
      <c r="Y124" s="88">
        <f t="shared" si="24"/>
        <v>156973.15070460801</v>
      </c>
      <c r="Z124" s="88">
        <f t="shared" si="24"/>
        <v>169423.97851512092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8280.3964671698286</v>
      </c>
      <c r="P125" s="70">
        <f t="shared" si="25"/>
        <v>8919.9802329786398</v>
      </c>
      <c r="Q125" s="70">
        <f t="shared" si="25"/>
        <v>9611.2649020002045</v>
      </c>
      <c r="R125" s="70">
        <f t="shared" si="25"/>
        <v>10358.531703166149</v>
      </c>
      <c r="S125" s="70">
        <f t="shared" si="25"/>
        <v>11166.421681904509</v>
      </c>
      <c r="T125" s="70">
        <f t="shared" si="25"/>
        <v>12039.96622941354</v>
      </c>
      <c r="U125" s="70">
        <f t="shared" si="25"/>
        <v>12984.620218364953</v>
      </c>
      <c r="V125" s="70">
        <f t="shared" si="25"/>
        <v>14006.297968472132</v>
      </c>
      <c r="W125" s="70">
        <f t="shared" si="25"/>
        <v>15111.41228456401</v>
      </c>
      <c r="X125" s="70">
        <f t="shared" si="25"/>
        <v>16306.916830665457</v>
      </c>
      <c r="Y125" s="70">
        <f t="shared" si="25"/>
        <v>17600.352126240567</v>
      </c>
      <c r="Z125" s="70">
        <f t="shared" si="25"/>
        <v>18996.380381675102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18271.618214113354</v>
      </c>
      <c r="P126" s="70">
        <f t="shared" si="26"/>
        <v>19682.931118167788</v>
      </c>
      <c r="Q126" s="70">
        <f t="shared" si="26"/>
        <v>21208.327830717815</v>
      </c>
      <c r="R126" s="70">
        <f t="shared" si="26"/>
        <v>22857.255360833129</v>
      </c>
      <c r="S126" s="70">
        <f t="shared" si="26"/>
        <v>24639.954692808569</v>
      </c>
      <c r="T126" s="70">
        <f t="shared" si="26"/>
        <v>26567.528152411378</v>
      </c>
      <c r="U126" s="70">
        <f t="shared" si="26"/>
        <v>28652.012524505571</v>
      </c>
      <c r="V126" s="70">
        <f t="shared" si="26"/>
        <v>30906.458415089019</v>
      </c>
      <c r="W126" s="70">
        <f t="shared" si="26"/>
        <v>33345.016393156868</v>
      </c>
      <c r="X126" s="70">
        <f t="shared" si="26"/>
        <v>35983.030493835373</v>
      </c>
      <c r="Y126" s="70">
        <f t="shared" si="26"/>
        <v>38837.139714222118</v>
      </c>
      <c r="Z126" s="70">
        <f t="shared" si="26"/>
        <v>41917.631741451449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18465.935575221243</v>
      </c>
      <c r="P127" s="70">
        <f>Inputs!$J$27*$I$11</f>
        <v>18465.935575221243</v>
      </c>
      <c r="Q127" s="70">
        <f>Inputs!$J$27*$I$11</f>
        <v>18465.935575221243</v>
      </c>
      <c r="R127" s="70">
        <f>Inputs!$J$27*$I$11</f>
        <v>18465.935575221243</v>
      </c>
      <c r="S127" s="70">
        <f>Inputs!$J$27*$I$11</f>
        <v>18465.935575221243</v>
      </c>
      <c r="T127" s="70">
        <f>Inputs!$J$27*$I$11</f>
        <v>18465.935575221243</v>
      </c>
      <c r="U127" s="70">
        <f>Inputs!$J$27*$I$11</f>
        <v>18465.935575221243</v>
      </c>
      <c r="V127" s="70">
        <f>Inputs!$J$27*$I$11</f>
        <v>18465.935575221243</v>
      </c>
      <c r="W127" s="70">
        <f>Inputs!$J$27*$I$11</f>
        <v>18465.935575221243</v>
      </c>
      <c r="X127" s="70">
        <f>Inputs!$J$27*$I$11</f>
        <v>18465.935575221243</v>
      </c>
      <c r="Y127" s="70">
        <f>Inputs!$J$27*$I$11</f>
        <v>18465.935575221243</v>
      </c>
      <c r="Z127" s="70">
        <f>Inputs!$J$27*$I$11</f>
        <v>18465.935575221243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289643.00583127054</v>
      </c>
      <c r="P128" s="98">
        <f t="shared" ref="P128:Z128" si="27">SUM(P119:P127)</f>
        <v>322182.60681314406</v>
      </c>
      <c r="Q128" s="98">
        <f t="shared" si="27"/>
        <v>365395.33073313482</v>
      </c>
      <c r="R128" s="98">
        <f t="shared" si="27"/>
        <v>424647.53748952085</v>
      </c>
      <c r="S128" s="98">
        <f t="shared" si="27"/>
        <v>481001.6926073567</v>
      </c>
      <c r="T128" s="98">
        <f t="shared" si="27"/>
        <v>538120.66913370776</v>
      </c>
      <c r="U128" s="98">
        <f t="shared" si="27"/>
        <v>631021.53965775319</v>
      </c>
      <c r="V128" s="98">
        <f t="shared" si="27"/>
        <v>679219.67105241877</v>
      </c>
      <c r="W128" s="98">
        <f t="shared" si="27"/>
        <v>731353.96193575696</v>
      </c>
      <c r="X128" s="98">
        <f t="shared" si="27"/>
        <v>787752.45469912852</v>
      </c>
      <c r="Y128" s="98">
        <f t="shared" si="27"/>
        <v>848770.87691698282</v>
      </c>
      <c r="Z128" s="98">
        <f t="shared" si="27"/>
        <v>914629.17057077005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56993.62831858408</v>
      </c>
      <c r="Q135" s="70">
        <f>Inputs!Q22*'Scenario A'!$I$10</f>
        <v>854904.42477876111</v>
      </c>
      <c r="R135" s="70">
        <f>Inputs!R22*'Scenario A'!$I$10</f>
        <v>3360344.325663717</v>
      </c>
      <c r="S135" s="70">
        <f>Inputs!S22*'Scenario A'!$I$10</f>
        <v>0</v>
      </c>
      <c r="T135" s="70">
        <f>Inputs!T22*'Scenario A'!$I$10</f>
        <v>0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1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4673.4775221238942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163909.79764723947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289643.00583127054</v>
      </c>
      <c r="P147" s="70">
        <f t="shared" ref="P147:Z147" si="30">P128</f>
        <v>322182.60681314406</v>
      </c>
      <c r="Q147" s="70">
        <f t="shared" si="30"/>
        <v>365395.33073313482</v>
      </c>
      <c r="R147" s="70">
        <f t="shared" si="30"/>
        <v>424647.53748952085</v>
      </c>
      <c r="S147" s="70">
        <f t="shared" si="30"/>
        <v>481001.6926073567</v>
      </c>
      <c r="T147" s="70">
        <f t="shared" si="30"/>
        <v>538120.66913370776</v>
      </c>
      <c r="U147" s="70">
        <f t="shared" si="30"/>
        <v>631021.53965775319</v>
      </c>
      <c r="V147" s="70">
        <f t="shared" si="30"/>
        <v>679219.67105241877</v>
      </c>
      <c r="W147" s="70">
        <f t="shared" si="30"/>
        <v>731353.96193575696</v>
      </c>
      <c r="X147" s="70">
        <f t="shared" si="30"/>
        <v>787752.45469912852</v>
      </c>
      <c r="Y147" s="70">
        <f t="shared" si="30"/>
        <v>848770.87691698282</v>
      </c>
      <c r="Z147" s="70">
        <f t="shared" si="30"/>
        <v>914629.17057077005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163909.79764723947</v>
      </c>
      <c r="P148" s="70">
        <f t="shared" ref="P148:Z148" si="31">$J$140</f>
        <v>163909.79764723947</v>
      </c>
      <c r="Q148" s="70">
        <f t="shared" si="31"/>
        <v>163909.79764723947</v>
      </c>
      <c r="R148" s="70">
        <f t="shared" si="31"/>
        <v>163909.79764723947</v>
      </c>
      <c r="S148" s="70">
        <f t="shared" si="31"/>
        <v>163909.79764723947</v>
      </c>
      <c r="T148" s="70">
        <f t="shared" si="31"/>
        <v>163909.79764723947</v>
      </c>
      <c r="U148" s="70">
        <f t="shared" si="31"/>
        <v>163909.79764723947</v>
      </c>
      <c r="V148" s="70">
        <f t="shared" si="31"/>
        <v>163909.79764723947</v>
      </c>
      <c r="W148" s="70">
        <f t="shared" si="31"/>
        <v>163909.79764723947</v>
      </c>
      <c r="X148" s="70">
        <f t="shared" si="31"/>
        <v>163909.79764723947</v>
      </c>
      <c r="Y148" s="70">
        <f t="shared" si="31"/>
        <v>163909.79764723947</v>
      </c>
      <c r="Z148" s="70">
        <f t="shared" si="31"/>
        <v>163909.79764723947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10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Warrnambool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34451084.667362057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6890216.9334724117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28026242.002356619</v>
      </c>
      <c r="R19" s="71">
        <v>0</v>
      </c>
      <c r="S19" s="72">
        <v>0</v>
      </c>
      <c r="T19" s="73">
        <f>'Base Case'!$T19</f>
        <v>0.2</v>
      </c>
      <c r="U19" s="74">
        <f t="shared" si="0"/>
        <v>5605248.4004713241</v>
      </c>
      <c r="V19" s="75">
        <f t="shared" si="1"/>
        <v>5605248.4004713241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11442041.518443622</v>
      </c>
      <c r="P34" s="71">
        <v>0</v>
      </c>
      <c r="Q34" s="70">
        <f>Inputs!$L$161*$I$11</f>
        <v>7640658.3027518401</v>
      </c>
      <c r="R34" s="71">
        <v>0</v>
      </c>
      <c r="S34" s="72">
        <v>0</v>
      </c>
      <c r="T34" s="73">
        <f>'Base Case'!$T34</f>
        <v>0.04</v>
      </c>
      <c r="U34" s="74">
        <f t="shared" si="0"/>
        <v>763307.99284781842</v>
      </c>
      <c r="V34" s="75">
        <f t="shared" si="1"/>
        <v>305626.33211007359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15108.492743362835</v>
      </c>
      <c r="S40" s="72">
        <v>0</v>
      </c>
      <c r="T40" s="73">
        <f>'Base Case'!$T40</f>
        <v>1</v>
      </c>
      <c r="U40" s="74">
        <f t="shared" si="0"/>
        <v>15108.492743362835</v>
      </c>
      <c r="V40" s="75">
        <f t="shared" si="1"/>
        <v>15108.492743362835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11442041.518443622</v>
      </c>
      <c r="P44" s="71">
        <v>0</v>
      </c>
      <c r="Q44" s="70">
        <f>SUM(Inputs!$J$161,Inputs!$L$161*(Inputs!$J$128/Inputs!$L$128))*$I$11</f>
        <v>1516003.6314983808</v>
      </c>
      <c r="R44" s="71">
        <v>0</v>
      </c>
      <c r="S44" s="72">
        <v>0</v>
      </c>
      <c r="T44" s="73">
        <f>'Base Case'!$T44</f>
        <v>0.04</v>
      </c>
      <c r="U44" s="74">
        <f t="shared" si="0"/>
        <v>518321.80599768012</v>
      </c>
      <c r="V44" s="75">
        <f t="shared" si="1"/>
        <v>60640.145259935234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11442041.518443622</v>
      </c>
      <c r="P49" s="70">
        <f t="shared" ref="P49:V49" si="2">SUMIF($I$17:$I$46,$I49,P$17:P$46)</f>
        <v>8261.6387603969597</v>
      </c>
      <c r="Q49" s="70">
        <f t="shared" si="2"/>
        <v>1562634.7819408586</v>
      </c>
      <c r="R49" s="70">
        <f t="shared" si="2"/>
        <v>15108.492743362835</v>
      </c>
      <c r="S49" s="70">
        <f t="shared" si="2"/>
        <v>57169.790442477875</v>
      </c>
      <c r="T49" s="56">
        <f>U49/SUM(O49:S49)</f>
        <v>4.932993596887017E-2</v>
      </c>
      <c r="U49" s="70">
        <f t="shared" si="2"/>
        <v>645492.87838639563</v>
      </c>
      <c r="V49" s="70">
        <f t="shared" si="2"/>
        <v>187811.21764865081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11442041.518443622</v>
      </c>
      <c r="P50" s="70">
        <f t="shared" si="3"/>
        <v>28915.735661389357</v>
      </c>
      <c r="Q50" s="70">
        <f t="shared" si="3"/>
        <v>7687289.4531943183</v>
      </c>
      <c r="R50" s="70">
        <f t="shared" si="3"/>
        <v>3495471.0371681419</v>
      </c>
      <c r="S50" s="70">
        <f t="shared" si="3"/>
        <v>779859.3600000001</v>
      </c>
      <c r="T50" s="56">
        <f t="shared" ref="T50:T51" si="4">U50/SUM(O50:S50)</f>
        <v>0.18110806559943982</v>
      </c>
      <c r="U50" s="70">
        <f t="shared" si="3"/>
        <v>4244009.8194654258</v>
      </c>
      <c r="V50" s="70">
        <f t="shared" si="3"/>
        <v>3786328.1587276808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34451084.667362057</v>
      </c>
      <c r="P51" s="70">
        <f t="shared" si="3"/>
        <v>28915.735661389357</v>
      </c>
      <c r="Q51" s="70">
        <f t="shared" si="3"/>
        <v>28072873.152799096</v>
      </c>
      <c r="R51" s="70">
        <f t="shared" si="3"/>
        <v>10486413.111504424</v>
      </c>
      <c r="S51" s="70">
        <f t="shared" si="3"/>
        <v>2314770.307964602</v>
      </c>
      <c r="T51" s="56">
        <f t="shared" si="4"/>
        <v>0.2</v>
      </c>
      <c r="U51" s="70">
        <f t="shared" si="3"/>
        <v>15070811.395058313</v>
      </c>
      <c r="V51" s="70">
        <f t="shared" si="3"/>
        <v>8180594.4615859035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19960314.092910133</v>
      </c>
      <c r="V52" s="88">
        <f>SUM(V49:V51)</f>
        <v>12154733.837962236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98.9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59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19.05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12.3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47.235900000000001</v>
      </c>
      <c r="P69" s="70">
        <f>Inputs!P185*$I$12</f>
        <v>48.287549999999996</v>
      </c>
      <c r="Q69" s="70">
        <f>Inputs!Q185*$I$12</f>
        <v>50.281599999999997</v>
      </c>
      <c r="R69" s="70">
        <f>Inputs!R185*$I$12</f>
        <v>52.021049999999995</v>
      </c>
      <c r="S69" s="70">
        <f>Inputs!S185*$I$12</f>
        <v>54.591749999999998</v>
      </c>
      <c r="T69" s="70">
        <f>Inputs!T185*$I$12</f>
        <v>55.624399999999994</v>
      </c>
      <c r="U69" s="70">
        <f>Inputs!U185*$I$12</f>
        <v>57.877799999999993</v>
      </c>
      <c r="V69" s="70">
        <f>Inputs!V185*$I$12</f>
        <v>57.877799999999993</v>
      </c>
      <c r="W69" s="70">
        <f>Inputs!W185*$I$12</f>
        <v>57.877799999999993</v>
      </c>
      <c r="X69" s="70">
        <f>Inputs!X185*$I$12</f>
        <v>57.877799999999993</v>
      </c>
      <c r="Y69" s="70">
        <f>Inputs!Y185*$I$12</f>
        <v>57.877799999999993</v>
      </c>
      <c r="Z69" s="70">
        <f>Inputs!Z185*$I$12</f>
        <v>57.877799999999993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42.575200000000002</v>
      </c>
      <c r="P70" s="70">
        <f>Inputs!P186*$I$12</f>
        <v>43.314299999999996</v>
      </c>
      <c r="Q70" s="70">
        <f>Inputs!Q186*$I$12</f>
        <v>44.333649999999999</v>
      </c>
      <c r="R70" s="70">
        <f>Inputs!R186*$I$12</f>
        <v>46.440749999999994</v>
      </c>
      <c r="S70" s="70">
        <f>Inputs!S186*$I$12</f>
        <v>47.087699999999998</v>
      </c>
      <c r="T70" s="70">
        <f>Inputs!T186*$I$12</f>
        <v>48.228650000000002</v>
      </c>
      <c r="U70" s="70">
        <f>Inputs!U186*$I$12</f>
        <v>50.919049999999991</v>
      </c>
      <c r="V70" s="70">
        <f>Inputs!V186*$I$12</f>
        <v>50.919049999999991</v>
      </c>
      <c r="W70" s="70">
        <f>Inputs!W186*$I$12</f>
        <v>50.919049999999991</v>
      </c>
      <c r="X70" s="70">
        <f>Inputs!X186*$I$12</f>
        <v>50.919049999999991</v>
      </c>
      <c r="Y70" s="70">
        <f>Inputs!Y186*$I$12</f>
        <v>50.919049999999991</v>
      </c>
      <c r="Z70" s="70">
        <f>Inputs!Z186*$I$12</f>
        <v>50.919049999999991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43.973410000000001</v>
      </c>
      <c r="P71" s="70">
        <f>Inputs!P187*$I$12</f>
        <v>44.806274999999999</v>
      </c>
      <c r="Q71" s="70">
        <f>Inputs!Q187*$I$12</f>
        <v>46.118034999999992</v>
      </c>
      <c r="R71" s="70">
        <f>Inputs!R187*$I$12</f>
        <v>48.114839999999994</v>
      </c>
      <c r="S71" s="70">
        <f>Inputs!S187*$I$12</f>
        <v>49.338914999999993</v>
      </c>
      <c r="T71" s="70">
        <f>Inputs!T187*$I$12</f>
        <v>50.447375000000001</v>
      </c>
      <c r="U71" s="70">
        <f>Inputs!U187*$I$12</f>
        <v>53.006674999999994</v>
      </c>
      <c r="V71" s="70">
        <f>Inputs!V187*$I$12</f>
        <v>53.006674999999994</v>
      </c>
      <c r="W71" s="70">
        <f>Inputs!W187*$I$12</f>
        <v>53.006674999999994</v>
      </c>
      <c r="X71" s="70">
        <f>Inputs!X187*$I$12</f>
        <v>53.006674999999994</v>
      </c>
      <c r="Y71" s="70">
        <f>Inputs!Y187*$I$12</f>
        <v>53.006674999999994</v>
      </c>
      <c r="Z71" s="70">
        <f>Inputs!Z187*$I$12</f>
        <v>53.006674999999994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ht="13.15" x14ac:dyDescent="0.4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ht="13.15" x14ac:dyDescent="0.4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ht="13.15" x14ac:dyDescent="0.4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12.62341</v>
      </c>
      <c r="P78" s="70">
        <f t="shared" si="5"/>
        <v>13.456275000000002</v>
      </c>
      <c r="Q78" s="70">
        <f t="shared" si="5"/>
        <v>14.768034999999994</v>
      </c>
      <c r="R78" s="70">
        <f t="shared" si="5"/>
        <v>16.764839999999989</v>
      </c>
      <c r="S78" s="70">
        <f t="shared" si="5"/>
        <v>17.988914999999988</v>
      </c>
      <c r="T78" s="70">
        <f t="shared" si="5"/>
        <v>19.097374999999996</v>
      </c>
      <c r="U78" s="70">
        <f t="shared" si="5"/>
        <v>21.656674999999989</v>
      </c>
      <c r="V78" s="70">
        <f t="shared" si="5"/>
        <v>21.656674999999989</v>
      </c>
      <c r="W78" s="70">
        <f t="shared" si="5"/>
        <v>21.656674999999989</v>
      </c>
      <c r="X78" s="70">
        <f t="shared" si="5"/>
        <v>21.656674999999989</v>
      </c>
      <c r="Y78" s="70">
        <f t="shared" si="5"/>
        <v>21.656674999999989</v>
      </c>
      <c r="Z78" s="70">
        <f t="shared" si="5"/>
        <v>21.656674999999989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ht="13.15" x14ac:dyDescent="0.4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31.673410000000001</v>
      </c>
      <c r="P79" s="70">
        <f t="shared" si="5"/>
        <v>32.506275000000002</v>
      </c>
      <c r="Q79" s="70">
        <f t="shared" si="5"/>
        <v>33.818034999999995</v>
      </c>
      <c r="R79" s="70">
        <f t="shared" si="5"/>
        <v>35.81483999999999</v>
      </c>
      <c r="S79" s="70">
        <f t="shared" si="5"/>
        <v>37.038914999999989</v>
      </c>
      <c r="T79" s="70">
        <f t="shared" si="5"/>
        <v>38.147374999999997</v>
      </c>
      <c r="U79" s="70">
        <f t="shared" si="5"/>
        <v>40.70667499999999</v>
      </c>
      <c r="V79" s="70">
        <f t="shared" si="5"/>
        <v>40.70667499999999</v>
      </c>
      <c r="W79" s="70">
        <f t="shared" si="5"/>
        <v>40.70667499999999</v>
      </c>
      <c r="X79" s="70">
        <f t="shared" si="5"/>
        <v>40.70667499999999</v>
      </c>
      <c r="Y79" s="70">
        <f t="shared" si="5"/>
        <v>40.70667499999999</v>
      </c>
      <c r="Z79" s="70">
        <f t="shared" si="5"/>
        <v>40.70667499999999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ht="13.15" x14ac:dyDescent="0.4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31.673410000000001</v>
      </c>
      <c r="P80" s="70">
        <f t="shared" si="5"/>
        <v>32.506275000000002</v>
      </c>
      <c r="Q80" s="70">
        <f t="shared" si="5"/>
        <v>33.818034999999995</v>
      </c>
      <c r="R80" s="70">
        <f t="shared" si="5"/>
        <v>35.81483999999999</v>
      </c>
      <c r="S80" s="70">
        <f t="shared" si="5"/>
        <v>37.038914999999989</v>
      </c>
      <c r="T80" s="70">
        <f t="shared" si="5"/>
        <v>38.147374999999997</v>
      </c>
      <c r="U80" s="70">
        <f t="shared" si="5"/>
        <v>40.70667499999999</v>
      </c>
      <c r="V80" s="70">
        <f t="shared" si="5"/>
        <v>40.70667499999999</v>
      </c>
      <c r="W80" s="70">
        <f t="shared" si="5"/>
        <v>40.70667499999999</v>
      </c>
      <c r="X80" s="70">
        <f t="shared" si="5"/>
        <v>40.70667499999999</v>
      </c>
      <c r="Y80" s="70">
        <f t="shared" si="5"/>
        <v>40.70667499999999</v>
      </c>
      <c r="Z80" s="70">
        <f t="shared" si="5"/>
        <v>40.70667499999999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ht="13.15" x14ac:dyDescent="0.4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</v>
      </c>
      <c r="R95" s="70">
        <f t="shared" si="13"/>
        <v>1</v>
      </c>
      <c r="S95" s="70">
        <f t="shared" si="13"/>
        <v>1.5</v>
      </c>
      <c r="T95" s="70">
        <f t="shared" si="13"/>
        <v>1.5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</v>
      </c>
      <c r="R96" s="93">
        <f t="shared" si="14"/>
        <v>3</v>
      </c>
      <c r="S96" s="93">
        <f t="shared" si="14"/>
        <v>3.5</v>
      </c>
      <c r="T96" s="93">
        <f t="shared" si="14"/>
        <v>3.5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</v>
      </c>
      <c r="R98" s="70">
        <f t="shared" si="15"/>
        <v>1</v>
      </c>
      <c r="S98" s="70">
        <f t="shared" si="15"/>
        <v>1.5</v>
      </c>
      <c r="T98" s="70">
        <f t="shared" si="15"/>
        <v>1.5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</v>
      </c>
      <c r="R99" s="93">
        <f t="shared" si="16"/>
        <v>3</v>
      </c>
      <c r="S99" s="93">
        <f t="shared" si="16"/>
        <v>3.5</v>
      </c>
      <c r="T99" s="93">
        <f t="shared" si="16"/>
        <v>3.5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11442041.518443622</v>
      </c>
      <c r="P105" s="70">
        <f>P78*Inputs!$M$75*IF(Inputs!$M$126&gt;0,Inputs!$M$126,P93*Inputs!$J$123)*$I$13</f>
        <v>12196962.408223687</v>
      </c>
      <c r="Q105" s="70">
        <f>Q78*Inputs!$M$75*IF(Inputs!$M$126&gt;0,Inputs!$M$126,Q93*Inputs!$J$123)*$I$13</f>
        <v>13385960.656892907</v>
      </c>
      <c r="R105" s="70">
        <f>R78*Inputs!$M$75*IF(Inputs!$M$126&gt;0,Inputs!$M$126,R93*Inputs!$J$123)*$I$13</f>
        <v>15195893.607992154</v>
      </c>
      <c r="S105" s="70">
        <f>S78*Inputs!$M$75*IF(Inputs!$M$126&gt;0,Inputs!$M$126,S93*Inputs!$J$123)*$I$13</f>
        <v>16305412.903625337</v>
      </c>
      <c r="T105" s="70">
        <f>T78*Inputs!$M$75*IF(Inputs!$M$126&gt;0,Inputs!$M$126,T93*Inputs!$J$123)*$I$13</f>
        <v>17310137.090000816</v>
      </c>
      <c r="U105" s="70">
        <f>U78*Inputs!$M$75*IF(Inputs!$M$126&gt;0,Inputs!$M$126,U93*Inputs!$J$123)*$I$13</f>
        <v>19629923.649904415</v>
      </c>
      <c r="V105" s="70">
        <f>V78*Inputs!$M$75*IF(Inputs!$M$126&gt;0,Inputs!$M$126,V93*Inputs!$J$123)*$I$13</f>
        <v>19629923.649904415</v>
      </c>
      <c r="W105" s="70">
        <f>W78*Inputs!$M$75*IF(Inputs!$M$126&gt;0,Inputs!$M$126,W93*Inputs!$J$123)*$I$13</f>
        <v>19629923.649904415</v>
      </c>
      <c r="X105" s="70">
        <f>X78*Inputs!$M$75*IF(Inputs!$M$126&gt;0,Inputs!$M$126,X93*Inputs!$J$123)*$I$13</f>
        <v>19629923.649904415</v>
      </c>
      <c r="Y105" s="70">
        <f>Y78*Inputs!$M$75*IF(Inputs!$M$126&gt;0,Inputs!$M$126,Y93*Inputs!$J$123)*$I$13</f>
        <v>19629923.649904415</v>
      </c>
      <c r="Z105" s="70">
        <f>Z78*Inputs!$M$75*IF(Inputs!$M$126&gt;0,Inputs!$M$126,Z93*Inputs!$J$123)*$I$13</f>
        <v>19629923.649904415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34451084.667362057</v>
      </c>
      <c r="P106" s="70">
        <f>P79*Inputs!$M$75*IF(Inputs!$M$126&gt;0,Inputs!$M$126,P96*Inputs!$J$123)*$I$13</f>
        <v>35356989.735098138</v>
      </c>
      <c r="Q106" s="70">
        <f>Q79*Inputs!$M$75*IF(Inputs!$M$126&gt;0,Inputs!$M$126,Q96*Inputs!$J$123)*$I$13</f>
        <v>36783787.633501202</v>
      </c>
      <c r="R106" s="70">
        <f>R79*Inputs!$M$75*IF(Inputs!$M$126&gt;0,Inputs!$M$126,R96*Inputs!$J$123)*$I$13</f>
        <v>38955707.174820304</v>
      </c>
      <c r="S106" s="70">
        <f>S79*Inputs!$M$75*IF(Inputs!$M$126&gt;0,Inputs!$M$126,S96*Inputs!$J$123)*$I$13</f>
        <v>47001652.051176801</v>
      </c>
      <c r="T106" s="70">
        <f>T79*Inputs!$M$75*IF(Inputs!$M$126&gt;0,Inputs!$M$126,T96*Inputs!$J$123)*$I$13</f>
        <v>48408265.912102468</v>
      </c>
      <c r="U106" s="70">
        <f>U79*Inputs!$M$75*IF(Inputs!$M$126&gt;0,Inputs!$M$126,U96*Inputs!$J$123)*$I$13</f>
        <v>51655967.095967516</v>
      </c>
      <c r="V106" s="70">
        <f>V79*Inputs!$M$75*IF(Inputs!$M$126&gt;0,Inputs!$M$126,V96*Inputs!$J$123)*$I$13</f>
        <v>51655967.095967516</v>
      </c>
      <c r="W106" s="70">
        <f>W79*Inputs!$M$75*IF(Inputs!$M$126&gt;0,Inputs!$M$126,W96*Inputs!$J$123)*$I$13</f>
        <v>51655967.095967516</v>
      </c>
      <c r="X106" s="70">
        <f>X79*Inputs!$M$75*IF(Inputs!$M$126&gt;0,Inputs!$M$126,X96*Inputs!$J$123)*$I$13</f>
        <v>51655967.095967516</v>
      </c>
      <c r="Y106" s="70">
        <f>Y79*Inputs!$M$75*IF(Inputs!$M$126&gt;0,Inputs!$M$126,Y96*Inputs!$J$123)*$I$13</f>
        <v>51655967.095967516</v>
      </c>
      <c r="Z106" s="70">
        <f>Z79*Inputs!$M$75*IF(Inputs!$M$126&gt;0,Inputs!$M$126,Z96*Inputs!$J$123)*$I$13</f>
        <v>51655967.095967516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34451084.667362057</v>
      </c>
      <c r="P107" s="70">
        <f>P80*Inputs!$M$75*IF(Inputs!$M$126&gt;0,Inputs!$M$126,P99*Inputs!$J$123)*$I$13</f>
        <v>35356989.735098138</v>
      </c>
      <c r="Q107" s="70">
        <f>Q80*Inputs!$M$75*IF(Inputs!$M$126&gt;0,Inputs!$M$126,Q99*Inputs!$J$123)*$I$13</f>
        <v>36783787.633501202</v>
      </c>
      <c r="R107" s="70">
        <f>R80*Inputs!$M$75*IF(Inputs!$M$126&gt;0,Inputs!$M$126,R99*Inputs!$J$123)*$I$13</f>
        <v>38955707.174820304</v>
      </c>
      <c r="S107" s="70">
        <f>S80*Inputs!$M$75*IF(Inputs!$M$126&gt;0,Inputs!$M$126,S99*Inputs!$J$123)*$I$13</f>
        <v>47001652.051176801</v>
      </c>
      <c r="T107" s="70">
        <f>T80*Inputs!$M$75*IF(Inputs!$M$126&gt;0,Inputs!$M$126,T99*Inputs!$J$123)*$I$13</f>
        <v>48408265.912102468</v>
      </c>
      <c r="U107" s="70">
        <f>U80*Inputs!$M$75*IF(Inputs!$M$126&gt;0,Inputs!$M$126,U99*Inputs!$J$123)*$I$13</f>
        <v>51655967.095967516</v>
      </c>
      <c r="V107" s="70">
        <f>V80*Inputs!$M$75*IF(Inputs!$M$126&gt;0,Inputs!$M$126,V99*Inputs!$J$123)*$I$13</f>
        <v>51655967.095967516</v>
      </c>
      <c r="W107" s="70">
        <f>W80*Inputs!$M$75*IF(Inputs!$M$126&gt;0,Inputs!$M$126,W99*Inputs!$J$123)*$I$13</f>
        <v>51655967.095967516</v>
      </c>
      <c r="X107" s="70">
        <f>X80*Inputs!$M$75*IF(Inputs!$M$126&gt;0,Inputs!$M$126,X99*Inputs!$J$123)*$I$13</f>
        <v>51655967.095967516</v>
      </c>
      <c r="Y107" s="70">
        <f>Y80*Inputs!$M$75*IF(Inputs!$M$126&gt;0,Inputs!$M$126,Y99*Inputs!$J$123)*$I$13</f>
        <v>51655967.095967516</v>
      </c>
      <c r="Z107" s="70">
        <f>Z80*Inputs!$M$75*IF(Inputs!$M$126&gt;0,Inputs!$M$126,Z99*Inputs!$J$123)*$I$13</f>
        <v>51655967.095967516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0.34348130446076314</v>
      </c>
      <c r="P114" s="56">
        <f>Inputs!P64*$I$9</f>
        <v>0.37001204692737644</v>
      </c>
      <c r="Q114" s="56">
        <f>Inputs!Q64*$I$9</f>
        <v>0.39868740816287657</v>
      </c>
      <c r="R114" s="56">
        <f>Inputs!R64*$I$9</f>
        <v>0.42968497895098506</v>
      </c>
      <c r="S114" s="56">
        <f>Inputs!S64*$I$9</f>
        <v>0.46319727571818031</v>
      </c>
      <c r="T114" s="56">
        <f>Inputs!T64*$I$9</f>
        <v>0.49943300692653658</v>
      </c>
      <c r="U114" s="56">
        <f>Inputs!U64*$I$9</f>
        <v>0.53861844758454858</v>
      </c>
      <c r="V114" s="56">
        <f>Inputs!V64*$I$9</f>
        <v>0.58099893114432866</v>
      </c>
      <c r="W114" s="56">
        <f>Inputs!W64*$I$9</f>
        <v>0.62684046885022082</v>
      </c>
      <c r="X114" s="56">
        <f>Inputs!X64*$I$9</f>
        <v>0.67643150746917813</v>
      </c>
      <c r="Y114" s="56">
        <f>Inputs!Y64*$I$9</f>
        <v>0.73008483727303219</v>
      </c>
      <c r="Z114" s="56">
        <f>Inputs!Z64*$I$9</f>
        <v>0.78799385263744137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1.8466736798965757E-3</v>
      </c>
      <c r="P115" s="56">
        <f>Inputs!P65*$I$9</f>
        <v>1.9893120802547122E-3</v>
      </c>
      <c r="Q115" s="56">
        <f>Inputs!Q65*$I$9</f>
        <v>2.1434806890477235E-3</v>
      </c>
      <c r="R115" s="56">
        <f>Inputs!R65*$I$9</f>
        <v>2.3101342954354037E-3</v>
      </c>
      <c r="S115" s="56">
        <f>Inputs!S65*$I$9</f>
        <v>2.4903079339687112E-3</v>
      </c>
      <c r="T115" s="56">
        <f>Inputs!T65*$I$9</f>
        <v>2.6851236931534224E-3</v>
      </c>
      <c r="U115" s="56">
        <f>Inputs!U65*$I$9</f>
        <v>2.8957981052932713E-3</v>
      </c>
      <c r="V115" s="56">
        <f>Inputs!V65*$I$9</f>
        <v>3.1236501674426266E-3</v>
      </c>
      <c r="W115" s="56">
        <f>Inputs!W65*$I$9</f>
        <v>3.3701100475818321E-3</v>
      </c>
      <c r="X115" s="56">
        <f>Inputs!X65*$I$9</f>
        <v>3.6367285347805277E-3</v>
      </c>
      <c r="Y115" s="56">
        <f>Inputs!Y65*$I$9</f>
        <v>3.9251872971668399E-3</v>
      </c>
      <c r="Z115" s="56">
        <f>Inputs!Z65*$I$9</f>
        <v>4.23652608944861E-3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1.8466736798965757E-3</v>
      </c>
      <c r="P116" s="56">
        <f>Inputs!P66*$I$9</f>
        <v>1.9893120802547122E-3</v>
      </c>
      <c r="Q116" s="56">
        <f>Inputs!Q66*$I$9</f>
        <v>2.1434806890477235E-3</v>
      </c>
      <c r="R116" s="56">
        <f>Inputs!R66*$I$9</f>
        <v>2.3101342954354037E-3</v>
      </c>
      <c r="S116" s="56">
        <f>Inputs!S66*$I$9</f>
        <v>2.4903079339687112E-3</v>
      </c>
      <c r="T116" s="56">
        <f>Inputs!T66*$I$9</f>
        <v>2.6851236931534224E-3</v>
      </c>
      <c r="U116" s="56">
        <f>Inputs!U66*$I$9</f>
        <v>2.8957981052932713E-3</v>
      </c>
      <c r="V116" s="56">
        <f>Inputs!V66*$I$9</f>
        <v>3.1236501674426266E-3</v>
      </c>
      <c r="W116" s="56">
        <f>Inputs!W66*$I$9</f>
        <v>3.3701100475818321E-3</v>
      </c>
      <c r="X116" s="56">
        <f>Inputs!X66*$I$9</f>
        <v>3.6367285347805277E-3</v>
      </c>
      <c r="Y116" s="56">
        <f>Inputs!Y66*$I$9</f>
        <v>3.9251872971668399E-3</v>
      </c>
      <c r="Z116" s="56">
        <f>Inputs!Z66*$I$9</f>
        <v>4.23652608944861E-3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12723.982259821198</v>
      </c>
      <c r="P121" s="70">
        <f t="shared" ref="P121:Z121" si="21">P107*P116*$T$17</f>
        <v>14067.217360294519</v>
      </c>
      <c r="Q121" s="70">
        <f t="shared" si="21"/>
        <v>15769.067692488459</v>
      </c>
      <c r="R121" s="70">
        <f t="shared" si="21"/>
        <v>17998.583029498284</v>
      </c>
      <c r="S121" s="70">
        <f t="shared" si="21"/>
        <v>23409.717402536466</v>
      </c>
      <c r="T121" s="70">
        <f t="shared" si="21"/>
        <v>25996.436349011503</v>
      </c>
      <c r="U121" s="70">
        <f t="shared" si="21"/>
        <v>29917.050328718862</v>
      </c>
      <c r="V121" s="70">
        <f t="shared" si="21"/>
        <v>32271.034053745949</v>
      </c>
      <c r="W121" s="70">
        <f t="shared" si="21"/>
        <v>34817.258745535328</v>
      </c>
      <c r="X121" s="70">
        <f t="shared" si="21"/>
        <v>37571.745905917822</v>
      </c>
      <c r="Y121" s="70">
        <f t="shared" si="21"/>
        <v>40551.869173591993</v>
      </c>
      <c r="Z121" s="70">
        <f t="shared" si="21"/>
        <v>43768.370455553071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157205.09385796904</v>
      </c>
      <c r="P122" s="88">
        <f t="shared" ref="P122:Z122" si="22">P105*P114*$T$44</f>
        <v>180520.92107852438</v>
      </c>
      <c r="Q122" s="88">
        <f t="shared" si="22"/>
        <v>213472.5584026748</v>
      </c>
      <c r="R122" s="88">
        <f t="shared" si="22"/>
        <v>261177.88900366068</v>
      </c>
      <c r="S122" s="88">
        <f t="shared" si="22"/>
        <v>302104.91345677286</v>
      </c>
      <c r="T122" s="88">
        <f t="shared" si="22"/>
        <v>345810.15268678701</v>
      </c>
      <c r="U122" s="88">
        <f t="shared" si="22"/>
        <v>422921.56010058924</v>
      </c>
      <c r="V122" s="88">
        <f t="shared" si="22"/>
        <v>456198.58636156976</v>
      </c>
      <c r="W122" s="88">
        <f t="shared" si="22"/>
        <v>492193.22176800488</v>
      </c>
      <c r="X122" s="88">
        <f t="shared" si="22"/>
        <v>531131.95384038857</v>
      </c>
      <c r="Y122" s="88">
        <f t="shared" si="22"/>
        <v>573260.3845449005</v>
      </c>
      <c r="Z122" s="88">
        <f t="shared" si="22"/>
        <v>618730.36655468016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845.18867665574737</v>
      </c>
      <c r="P123" s="70">
        <f t="shared" ref="P123:Z123" si="23">P105*P115*$T$34</f>
        <v>970.54258644367951</v>
      </c>
      <c r="Q123" s="70">
        <f t="shared" si="23"/>
        <v>1147.701926896101</v>
      </c>
      <c r="R123" s="70">
        <f t="shared" si="23"/>
        <v>1404.1821989444122</v>
      </c>
      <c r="S123" s="70">
        <f t="shared" si="23"/>
        <v>1624.2199648213591</v>
      </c>
      <c r="T123" s="70">
        <f t="shared" si="23"/>
        <v>1859.1943692838011</v>
      </c>
      <c r="U123" s="70">
        <f t="shared" si="23"/>
        <v>2273.7718284977914</v>
      </c>
      <c r="V123" s="70">
        <f t="shared" si="23"/>
        <v>2452.6805718363962</v>
      </c>
      <c r="W123" s="70">
        <f t="shared" si="23"/>
        <v>2646.2001170322842</v>
      </c>
      <c r="X123" s="70">
        <f t="shared" si="23"/>
        <v>2855.5481389268202</v>
      </c>
      <c r="Y123" s="70">
        <f t="shared" si="23"/>
        <v>3082.0450781983895</v>
      </c>
      <c r="Z123" s="70">
        <f t="shared" si="23"/>
        <v>3326.5073470681737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64509.642030322881</v>
      </c>
      <c r="P124" s="88">
        <f t="shared" si="24"/>
        <v>69492.41307810029</v>
      </c>
      <c r="Q124" s="88">
        <f t="shared" si="24"/>
        <v>74877.967588254498</v>
      </c>
      <c r="R124" s="88">
        <f t="shared" si="24"/>
        <v>80699.659102119404</v>
      </c>
      <c r="S124" s="88">
        <f t="shared" si="24"/>
        <v>86993.644364169275</v>
      </c>
      <c r="T124" s="88">
        <f t="shared" si="24"/>
        <v>93799.121164799886</v>
      </c>
      <c r="U124" s="88">
        <f t="shared" si="24"/>
        <v>101158.58648888007</v>
      </c>
      <c r="V124" s="88">
        <f t="shared" si="24"/>
        <v>109118.11671078099</v>
      </c>
      <c r="W124" s="88">
        <f t="shared" si="24"/>
        <v>117727.67172621115</v>
      </c>
      <c r="X124" s="88">
        <f t="shared" si="24"/>
        <v>127041.42507369877</v>
      </c>
      <c r="Y124" s="88">
        <f t="shared" si="24"/>
        <v>137118.12227506525</v>
      </c>
      <c r="Z124" s="88">
        <f t="shared" si="24"/>
        <v>147994.08496348938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6992.1125541736719</v>
      </c>
      <c r="P125" s="70">
        <f t="shared" si="25"/>
        <v>7532.1883459655564</v>
      </c>
      <c r="Q125" s="70">
        <f t="shared" si="25"/>
        <v>8115.9212906304074</v>
      </c>
      <c r="R125" s="70">
        <f t="shared" si="25"/>
        <v>8746.9265332495997</v>
      </c>
      <c r="S125" s="70">
        <f t="shared" si="25"/>
        <v>9429.1230542886842</v>
      </c>
      <c r="T125" s="70">
        <f t="shared" si="25"/>
        <v>10166.759449053669</v>
      </c>
      <c r="U125" s="70">
        <f t="shared" si="25"/>
        <v>10964.441908062179</v>
      </c>
      <c r="V125" s="70">
        <f t="shared" si="25"/>
        <v>11827.164587002451</v>
      </c>
      <c r="W125" s="70">
        <f t="shared" si="25"/>
        <v>12760.342571170175</v>
      </c>
      <c r="X125" s="70">
        <f t="shared" si="25"/>
        <v>13769.847656887972</v>
      </c>
      <c r="Y125" s="70">
        <f t="shared" si="25"/>
        <v>14862.047191543003</v>
      </c>
      <c r="Z125" s="70">
        <f t="shared" si="25"/>
        <v>16040.878027663737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15106.888478118388</v>
      </c>
      <c r="P126" s="70">
        <f t="shared" si="26"/>
        <v>16273.755386097631</v>
      </c>
      <c r="Q126" s="70">
        <f t="shared" si="26"/>
        <v>17534.946253340142</v>
      </c>
      <c r="R126" s="70">
        <f t="shared" si="26"/>
        <v>18898.271822758517</v>
      </c>
      <c r="S126" s="70">
        <f t="shared" si="26"/>
        <v>20372.199292267873</v>
      </c>
      <c r="T126" s="70">
        <f t="shared" si="26"/>
        <v>21965.908012883974</v>
      </c>
      <c r="U126" s="70">
        <f t="shared" si="26"/>
        <v>23689.349942033088</v>
      </c>
      <c r="V126" s="70">
        <f t="shared" si="26"/>
        <v>25553.315259713032</v>
      </c>
      <c r="W126" s="70">
        <f t="shared" si="26"/>
        <v>27569.50359018294</v>
      </c>
      <c r="X126" s="70">
        <f t="shared" si="26"/>
        <v>29750.601309917001</v>
      </c>
      <c r="Y126" s="70">
        <f t="shared" si="26"/>
        <v>32110.365463890394</v>
      </c>
      <c r="Z126" s="70">
        <f t="shared" si="26"/>
        <v>34657.301863707486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15108.492743362835</v>
      </c>
      <c r="P127" s="70">
        <f>Inputs!$J$27*$I$11</f>
        <v>15108.492743362835</v>
      </c>
      <c r="Q127" s="70">
        <f>Inputs!$J$27*$I$11</f>
        <v>15108.492743362835</v>
      </c>
      <c r="R127" s="70">
        <f>Inputs!$J$27*$I$11</f>
        <v>15108.492743362835</v>
      </c>
      <c r="S127" s="70">
        <f>Inputs!$J$27*$I$11</f>
        <v>15108.492743362835</v>
      </c>
      <c r="T127" s="70">
        <f>Inputs!$J$27*$I$11</f>
        <v>15108.492743362835</v>
      </c>
      <c r="U127" s="70">
        <f>Inputs!$J$27*$I$11</f>
        <v>15108.492743362835</v>
      </c>
      <c r="V127" s="70">
        <f>Inputs!$J$27*$I$11</f>
        <v>15108.492743362835</v>
      </c>
      <c r="W127" s="70">
        <f>Inputs!$J$27*$I$11</f>
        <v>15108.492743362835</v>
      </c>
      <c r="X127" s="70">
        <f>Inputs!$J$27*$I$11</f>
        <v>15108.492743362835</v>
      </c>
      <c r="Y127" s="70">
        <f>Inputs!$J$27*$I$11</f>
        <v>15108.492743362835</v>
      </c>
      <c r="Z127" s="70">
        <f>Inputs!$J$27*$I$11</f>
        <v>15108.492743362835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272491.4006004238</v>
      </c>
      <c r="P128" s="98">
        <f t="shared" ref="P128:Z128" si="27">SUM(P119:P127)</f>
        <v>303965.53057878895</v>
      </c>
      <c r="Q128" s="98">
        <f t="shared" si="27"/>
        <v>346026.65589764726</v>
      </c>
      <c r="R128" s="98">
        <f t="shared" si="27"/>
        <v>404034.00443359371</v>
      </c>
      <c r="S128" s="98">
        <f t="shared" si="27"/>
        <v>459042.31027821935</v>
      </c>
      <c r="T128" s="98">
        <f t="shared" si="27"/>
        <v>514706.06477518269</v>
      </c>
      <c r="U128" s="98">
        <f t="shared" si="27"/>
        <v>606033.25334014406</v>
      </c>
      <c r="V128" s="98">
        <f t="shared" si="27"/>
        <v>652529.3902880114</v>
      </c>
      <c r="W128" s="98">
        <f t="shared" si="27"/>
        <v>702822.69126149954</v>
      </c>
      <c r="X128" s="98">
        <f t="shared" si="27"/>
        <v>757229.6146690998</v>
      </c>
      <c r="Y128" s="98">
        <f t="shared" si="27"/>
        <v>816093.32647055236</v>
      </c>
      <c r="Z128" s="98">
        <f t="shared" si="27"/>
        <v>879626.00195552467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46631.150442477883</v>
      </c>
      <c r="Q135" s="70">
        <f>Inputs!Q22*'Scenario B'!$I$10</f>
        <v>699467.25663716812</v>
      </c>
      <c r="R135" s="70">
        <f>Inputs!R22*'Scenario B'!$I$10</f>
        <v>2749372.6300884956</v>
      </c>
      <c r="S135" s="70">
        <f>Inputs!S22*'Scenario B'!$I$10</f>
        <v>0</v>
      </c>
      <c r="T135" s="70">
        <f>Inputs!T22*'Scenario B'!$I$10</f>
        <v>0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1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3823.7543362831861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134108.01625683228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272491.4006004238</v>
      </c>
      <c r="P147" s="70">
        <f t="shared" ref="P147:Z147" si="30">P128</f>
        <v>303965.53057878895</v>
      </c>
      <c r="Q147" s="70">
        <f t="shared" si="30"/>
        <v>346026.65589764726</v>
      </c>
      <c r="R147" s="70">
        <f t="shared" si="30"/>
        <v>404034.00443359371</v>
      </c>
      <c r="S147" s="70">
        <f t="shared" si="30"/>
        <v>459042.31027821935</v>
      </c>
      <c r="T147" s="70">
        <f t="shared" si="30"/>
        <v>514706.06477518269</v>
      </c>
      <c r="U147" s="70">
        <f t="shared" si="30"/>
        <v>606033.25334014406</v>
      </c>
      <c r="V147" s="70">
        <f t="shared" si="30"/>
        <v>652529.3902880114</v>
      </c>
      <c r="W147" s="70">
        <f t="shared" si="30"/>
        <v>702822.69126149954</v>
      </c>
      <c r="X147" s="70">
        <f t="shared" si="30"/>
        <v>757229.6146690998</v>
      </c>
      <c r="Y147" s="70">
        <f t="shared" si="30"/>
        <v>816093.32647055236</v>
      </c>
      <c r="Z147" s="70">
        <f t="shared" si="30"/>
        <v>879626.00195552467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134108.01625683228</v>
      </c>
      <c r="P148" s="70">
        <f t="shared" ref="P148:Z148" si="31">$J$140</f>
        <v>134108.01625683228</v>
      </c>
      <c r="Q148" s="70">
        <f t="shared" si="31"/>
        <v>134108.01625683228</v>
      </c>
      <c r="R148" s="70">
        <f t="shared" si="31"/>
        <v>134108.01625683228</v>
      </c>
      <c r="S148" s="70">
        <f t="shared" si="31"/>
        <v>134108.01625683228</v>
      </c>
      <c r="T148" s="70">
        <f t="shared" si="31"/>
        <v>134108.01625683228</v>
      </c>
      <c r="U148" s="70">
        <f t="shared" si="31"/>
        <v>134108.01625683228</v>
      </c>
      <c r="V148" s="70">
        <f t="shared" si="31"/>
        <v>134108.01625683228</v>
      </c>
      <c r="W148" s="70">
        <f t="shared" si="31"/>
        <v>134108.01625683228</v>
      </c>
      <c r="X148" s="70">
        <f t="shared" si="31"/>
        <v>134108.01625683228</v>
      </c>
      <c r="Y148" s="70">
        <f t="shared" si="31"/>
        <v>134108.01625683228</v>
      </c>
      <c r="Z148" s="70">
        <f t="shared" si="31"/>
        <v>134108.01625683228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Warrnambool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56303820.916258909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11260764.183251783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34254295.780658089</v>
      </c>
      <c r="R19" s="71">
        <v>0</v>
      </c>
      <c r="S19" s="72">
        <v>0</v>
      </c>
      <c r="T19" s="73">
        <f>'Base Case'!$T19</f>
        <v>0.2</v>
      </c>
      <c r="U19" s="74">
        <f t="shared" si="0"/>
        <v>6850859.1561316177</v>
      </c>
      <c r="V19" s="75">
        <f t="shared" si="1"/>
        <v>6850859.1561316177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19112664.634858374</v>
      </c>
      <c r="P34" s="71">
        <v>0</v>
      </c>
      <c r="Q34" s="70">
        <f>Inputs!$L$161*$I$11</f>
        <v>9338582.3700300269</v>
      </c>
      <c r="R34" s="71">
        <v>0</v>
      </c>
      <c r="S34" s="72">
        <v>0</v>
      </c>
      <c r="T34" s="73">
        <f>'Base Case'!$T34</f>
        <v>0.04</v>
      </c>
      <c r="U34" s="74">
        <f t="shared" si="0"/>
        <v>1138049.880195536</v>
      </c>
      <c r="V34" s="75">
        <f t="shared" si="1"/>
        <v>373543.29480120109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18465.935575221243</v>
      </c>
      <c r="S40" s="72">
        <v>0</v>
      </c>
      <c r="T40" s="73">
        <f>'Base Case'!$T40</f>
        <v>1</v>
      </c>
      <c r="U40" s="74">
        <f t="shared" si="0"/>
        <v>18465.935575221243</v>
      </c>
      <c r="V40" s="75">
        <f t="shared" si="1"/>
        <v>18465.935575221243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19112664.634858374</v>
      </c>
      <c r="P44" s="71">
        <v>0</v>
      </c>
      <c r="Q44" s="70">
        <f>SUM(Inputs!$J$161,Inputs!$L$161*(Inputs!$J$128/Inputs!$L$128))*$I$11</f>
        <v>1852893.3273869101</v>
      </c>
      <c r="R44" s="71">
        <v>0</v>
      </c>
      <c r="S44" s="72">
        <v>0</v>
      </c>
      <c r="T44" s="73">
        <f>'Base Case'!$T44</f>
        <v>0.04</v>
      </c>
      <c r="U44" s="74">
        <f t="shared" si="0"/>
        <v>838622.31848981138</v>
      </c>
      <c r="V44" s="75">
        <f t="shared" si="1"/>
        <v>74115.733095476404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19112664.634858374</v>
      </c>
      <c r="P49" s="70">
        <f t="shared" ref="P49:V49" si="2">SUMIF($I$17:$I$46,$I49,P$17:P$46)</f>
        <v>8261.6387603969597</v>
      </c>
      <c r="Q49" s="70">
        <f t="shared" si="2"/>
        <v>1909886.9557054942</v>
      </c>
      <c r="R49" s="70">
        <f t="shared" si="2"/>
        <v>18465.935575221243</v>
      </c>
      <c r="S49" s="70">
        <f t="shared" si="2"/>
        <v>69874.188318584071</v>
      </c>
      <c r="T49" s="56">
        <f>U49/SUM(O49:S49)</f>
        <v>4.6981888566636446E-2</v>
      </c>
      <c r="U49" s="70">
        <f t="shared" si="2"/>
        <v>992217.70946259773</v>
      </c>
      <c r="V49" s="70">
        <f t="shared" si="2"/>
        <v>227711.12406826275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19112664.634858374</v>
      </c>
      <c r="P50" s="70">
        <f t="shared" si="3"/>
        <v>28915.735661389357</v>
      </c>
      <c r="Q50" s="70">
        <f t="shared" si="3"/>
        <v>9395575.9983486105</v>
      </c>
      <c r="R50" s="70">
        <f t="shared" si="3"/>
        <v>4272242.3787610624</v>
      </c>
      <c r="S50" s="70">
        <f t="shared" si="3"/>
        <v>953161.44000000018</v>
      </c>
      <c r="T50" s="56">
        <f t="shared" ref="T50:T51" si="4">U50/SUM(O50:S50)</f>
        <v>0.15955841015759797</v>
      </c>
      <c r="U50" s="70">
        <f t="shared" si="3"/>
        <v>5387100.4263883652</v>
      </c>
      <c r="V50" s="70">
        <f t="shared" si="3"/>
        <v>4622593.8409940302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56303820.916258909</v>
      </c>
      <c r="P51" s="70">
        <f t="shared" si="3"/>
        <v>28915.735661389357</v>
      </c>
      <c r="Q51" s="70">
        <f t="shared" si="3"/>
        <v>34311289.408976674</v>
      </c>
      <c r="R51" s="70">
        <f t="shared" si="3"/>
        <v>12816727.136283187</v>
      </c>
      <c r="S51" s="70">
        <f t="shared" si="3"/>
        <v>2829163.7097345134</v>
      </c>
      <c r="T51" s="56">
        <f t="shared" si="4"/>
        <v>0.2</v>
      </c>
      <c r="U51" s="70">
        <f t="shared" si="3"/>
        <v>21257983.381382935</v>
      </c>
      <c r="V51" s="70">
        <f t="shared" si="3"/>
        <v>9997219.1981311515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27637301.517233897</v>
      </c>
      <c r="V52" s="88">
        <f>SUM(V49:V51)</f>
        <v>14847524.163193446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98.9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59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19.05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12.3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52.208100000000002</v>
      </c>
      <c r="P69" s="70">
        <f>Inputs!P185*$I$12</f>
        <v>53.370450000000005</v>
      </c>
      <c r="Q69" s="70">
        <f>Inputs!Q185*$I$12</f>
        <v>55.574399999999997</v>
      </c>
      <c r="R69" s="70">
        <f>Inputs!R185*$I$12</f>
        <v>57.496950000000005</v>
      </c>
      <c r="S69" s="70">
        <f>Inputs!S185*$I$12</f>
        <v>60.338250000000009</v>
      </c>
      <c r="T69" s="70">
        <f>Inputs!T185*$I$12</f>
        <v>61.479600000000005</v>
      </c>
      <c r="U69" s="70">
        <f>Inputs!U185*$I$12</f>
        <v>63.970200000000006</v>
      </c>
      <c r="V69" s="70">
        <f>Inputs!V185*$I$12</f>
        <v>63.970200000000006</v>
      </c>
      <c r="W69" s="70">
        <f>Inputs!W185*$I$12</f>
        <v>63.970200000000006</v>
      </c>
      <c r="X69" s="70">
        <f>Inputs!X185*$I$12</f>
        <v>63.970200000000006</v>
      </c>
      <c r="Y69" s="70">
        <f>Inputs!Y185*$I$12</f>
        <v>63.970200000000006</v>
      </c>
      <c r="Z69" s="70">
        <f>Inputs!Z185*$I$12</f>
        <v>63.970200000000006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47.056800000000003</v>
      </c>
      <c r="P70" s="70">
        <f>Inputs!P186*$I$12</f>
        <v>47.873700000000007</v>
      </c>
      <c r="Q70" s="70">
        <f>Inputs!Q186*$I$12</f>
        <v>49.000350000000005</v>
      </c>
      <c r="R70" s="70">
        <f>Inputs!R186*$I$12</f>
        <v>51.329250000000002</v>
      </c>
      <c r="S70" s="70">
        <f>Inputs!S186*$I$12</f>
        <v>52.044300000000007</v>
      </c>
      <c r="T70" s="70">
        <f>Inputs!T186*$I$12</f>
        <v>53.305350000000004</v>
      </c>
      <c r="U70" s="70">
        <f>Inputs!U186*$I$12</f>
        <v>56.278950000000002</v>
      </c>
      <c r="V70" s="70">
        <f>Inputs!V186*$I$12</f>
        <v>56.278950000000002</v>
      </c>
      <c r="W70" s="70">
        <f>Inputs!W186*$I$12</f>
        <v>56.278950000000002</v>
      </c>
      <c r="X70" s="70">
        <f>Inputs!X186*$I$12</f>
        <v>56.278950000000002</v>
      </c>
      <c r="Y70" s="70">
        <f>Inputs!Y186*$I$12</f>
        <v>56.278950000000002</v>
      </c>
      <c r="Z70" s="70">
        <f>Inputs!Z186*$I$12</f>
        <v>56.278950000000002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48.602190000000007</v>
      </c>
      <c r="P71" s="70">
        <f>Inputs!P187*$I$12</f>
        <v>49.522725000000008</v>
      </c>
      <c r="Q71" s="70">
        <f>Inputs!Q187*$I$12</f>
        <v>50.972565000000003</v>
      </c>
      <c r="R71" s="70">
        <f>Inputs!R187*$I$12</f>
        <v>53.179560000000002</v>
      </c>
      <c r="S71" s="70">
        <f>Inputs!S187*$I$12</f>
        <v>54.532485000000001</v>
      </c>
      <c r="T71" s="70">
        <f>Inputs!T187*$I$12</f>
        <v>55.757625000000012</v>
      </c>
      <c r="U71" s="70">
        <f>Inputs!U187*$I$12</f>
        <v>58.586324999999995</v>
      </c>
      <c r="V71" s="70">
        <f>Inputs!V187*$I$12</f>
        <v>58.586324999999995</v>
      </c>
      <c r="W71" s="70">
        <f>Inputs!W187*$I$12</f>
        <v>58.586324999999995</v>
      </c>
      <c r="X71" s="70">
        <f>Inputs!X187*$I$12</f>
        <v>58.586324999999995</v>
      </c>
      <c r="Y71" s="70">
        <f>Inputs!Y187*$I$12</f>
        <v>58.586324999999995</v>
      </c>
      <c r="Z71" s="70">
        <f>Inputs!Z187*$I$12</f>
        <v>58.586324999999995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17.252190000000009</v>
      </c>
      <c r="P78" s="70">
        <f t="shared" si="5"/>
        <v>18.17272500000001</v>
      </c>
      <c r="Q78" s="70">
        <f t="shared" si="5"/>
        <v>19.622565000000005</v>
      </c>
      <c r="R78" s="70">
        <f t="shared" si="5"/>
        <v>21.829559999999997</v>
      </c>
      <c r="S78" s="70">
        <f t="shared" si="5"/>
        <v>23.182484999999996</v>
      </c>
      <c r="T78" s="70">
        <f t="shared" si="5"/>
        <v>24.407625000000007</v>
      </c>
      <c r="U78" s="70">
        <f t="shared" si="5"/>
        <v>27.23632499999999</v>
      </c>
      <c r="V78" s="70">
        <f t="shared" si="5"/>
        <v>27.23632499999999</v>
      </c>
      <c r="W78" s="70">
        <f t="shared" si="5"/>
        <v>27.23632499999999</v>
      </c>
      <c r="X78" s="70">
        <f t="shared" si="5"/>
        <v>27.23632499999999</v>
      </c>
      <c r="Y78" s="70">
        <f t="shared" si="5"/>
        <v>27.23632499999999</v>
      </c>
      <c r="Z78" s="70">
        <f t="shared" si="5"/>
        <v>27.23632499999999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36.30219000000001</v>
      </c>
      <c r="P79" s="70">
        <f t="shared" si="5"/>
        <v>37.222725000000011</v>
      </c>
      <c r="Q79" s="70">
        <f t="shared" si="5"/>
        <v>38.672565000000006</v>
      </c>
      <c r="R79" s="70">
        <f t="shared" si="5"/>
        <v>40.879559999999998</v>
      </c>
      <c r="S79" s="70">
        <f t="shared" si="5"/>
        <v>42.232484999999997</v>
      </c>
      <c r="T79" s="70">
        <f t="shared" si="5"/>
        <v>43.457625000000007</v>
      </c>
      <c r="U79" s="70">
        <f t="shared" si="5"/>
        <v>46.286324999999991</v>
      </c>
      <c r="V79" s="70">
        <f t="shared" si="5"/>
        <v>46.286324999999991</v>
      </c>
      <c r="W79" s="70">
        <f t="shared" si="5"/>
        <v>46.286324999999991</v>
      </c>
      <c r="X79" s="70">
        <f t="shared" si="5"/>
        <v>46.286324999999991</v>
      </c>
      <c r="Y79" s="70">
        <f t="shared" si="5"/>
        <v>46.286324999999991</v>
      </c>
      <c r="Z79" s="70">
        <f t="shared" si="5"/>
        <v>46.286324999999991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36.30219000000001</v>
      </c>
      <c r="P80" s="70">
        <f t="shared" si="5"/>
        <v>37.222725000000011</v>
      </c>
      <c r="Q80" s="70">
        <f t="shared" si="5"/>
        <v>38.672565000000006</v>
      </c>
      <c r="R80" s="70">
        <f t="shared" si="5"/>
        <v>40.879559999999998</v>
      </c>
      <c r="S80" s="70">
        <f t="shared" si="5"/>
        <v>42.232484999999997</v>
      </c>
      <c r="T80" s="70">
        <f t="shared" si="5"/>
        <v>43.457625000000007</v>
      </c>
      <c r="U80" s="70">
        <f t="shared" si="5"/>
        <v>46.286324999999991</v>
      </c>
      <c r="V80" s="70">
        <f t="shared" si="5"/>
        <v>46.286324999999991</v>
      </c>
      <c r="W80" s="70">
        <f t="shared" si="5"/>
        <v>46.286324999999991</v>
      </c>
      <c r="X80" s="70">
        <f t="shared" si="5"/>
        <v>46.286324999999991</v>
      </c>
      <c r="Y80" s="70">
        <f t="shared" si="5"/>
        <v>46.286324999999991</v>
      </c>
      <c r="Z80" s="70">
        <f t="shared" si="5"/>
        <v>46.286324999999991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4</v>
      </c>
      <c r="U91" s="70">
        <f>ROUNDUP(ROUNDUP(U78/Inputs!$J$114,0)/(Inputs!$J$118*Inputs!$J$115*Inputs!$J$114),0)+1</f>
        <v>4</v>
      </c>
      <c r="V91" s="70">
        <f>ROUNDUP(ROUNDUP(V78/Inputs!$J$114,0)/(Inputs!$J$118*Inputs!$J$115*Inputs!$J$114),0)+1</f>
        <v>4</v>
      </c>
      <c r="W91" s="70">
        <f>ROUNDUP(ROUNDUP(W78/Inputs!$J$114,0)/(Inputs!$J$118*Inputs!$J$115*Inputs!$J$114),0)+1</f>
        <v>4</v>
      </c>
      <c r="X91" s="70">
        <f>ROUNDUP(ROUNDUP(X78/Inputs!$J$114,0)/(Inputs!$J$118*Inputs!$J$115*Inputs!$J$114),0)+1</f>
        <v>4</v>
      </c>
      <c r="Y91" s="70">
        <f>ROUNDUP(ROUNDUP(Y78/Inputs!$J$114,0)/(Inputs!$J$118*Inputs!$J$115*Inputs!$J$114),0)+1</f>
        <v>4</v>
      </c>
      <c r="Z91" s="70">
        <f>ROUNDUP(ROUNDUP(Z78/Inputs!$J$114,0)/(Inputs!$J$118*Inputs!$J$115*Inputs!$J$114),0)+1</f>
        <v>4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1</v>
      </c>
      <c r="U92" s="70">
        <f t="shared" si="11"/>
        <v>1</v>
      </c>
      <c r="V92" s="70">
        <f t="shared" si="11"/>
        <v>1</v>
      </c>
      <c r="W92" s="70">
        <f t="shared" si="11"/>
        <v>1</v>
      </c>
      <c r="X92" s="70">
        <f t="shared" si="11"/>
        <v>1</v>
      </c>
      <c r="Y92" s="70">
        <f t="shared" si="11"/>
        <v>1</v>
      </c>
      <c r="Z92" s="70">
        <f t="shared" si="11"/>
        <v>1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3</v>
      </c>
      <c r="U93" s="93">
        <f t="shared" si="12"/>
        <v>3</v>
      </c>
      <c r="V93" s="93">
        <f t="shared" si="12"/>
        <v>3</v>
      </c>
      <c r="W93" s="93">
        <f t="shared" si="12"/>
        <v>3</v>
      </c>
      <c r="X93" s="93">
        <f t="shared" si="12"/>
        <v>3</v>
      </c>
      <c r="Y93" s="93">
        <f t="shared" si="12"/>
        <v>3</v>
      </c>
      <c r="Z93" s="93">
        <f t="shared" si="12"/>
        <v>3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19112664.634858374</v>
      </c>
      <c r="P105" s="70">
        <f>P78*Inputs!$M$75*IF(Inputs!$M$126&gt;0,Inputs!$M$126,P93*Inputs!$J$123)*$I$13</f>
        <v>20132470.047368284</v>
      </c>
      <c r="Q105" s="70">
        <f>Q78*Inputs!$M$75*IF(Inputs!$M$126&gt;0,Inputs!$M$126,Q93*Inputs!$J$123)*$I$13</f>
        <v>21738660.663991619</v>
      </c>
      <c r="R105" s="70">
        <f>R78*Inputs!$M$75*IF(Inputs!$M$126&gt;0,Inputs!$M$126,R93*Inputs!$J$123)*$I$13</f>
        <v>24183657.808459021</v>
      </c>
      <c r="S105" s="70">
        <f>S78*Inputs!$M$75*IF(Inputs!$M$126&gt;0,Inputs!$M$126,S93*Inputs!$J$123)*$I$13</f>
        <v>25682482.120103847</v>
      </c>
      <c r="T105" s="70">
        <f>T78*Inputs!$M$75*IF(Inputs!$M$126&gt;0,Inputs!$M$126,T93*Inputs!$J$123)*$I$13</f>
        <v>32447689.33045961</v>
      </c>
      <c r="U105" s="70">
        <f>U78*Inputs!$M$75*IF(Inputs!$M$126&gt;0,Inputs!$M$126,U93*Inputs!$J$123)*$I$13</f>
        <v>36208185.438092798</v>
      </c>
      <c r="V105" s="70">
        <f>V78*Inputs!$M$75*IF(Inputs!$M$126&gt;0,Inputs!$M$126,V93*Inputs!$J$123)*$I$13</f>
        <v>36208185.438092798</v>
      </c>
      <c r="W105" s="70">
        <f>W78*Inputs!$M$75*IF(Inputs!$M$126&gt;0,Inputs!$M$126,W93*Inputs!$J$123)*$I$13</f>
        <v>36208185.438092798</v>
      </c>
      <c r="X105" s="70">
        <f>X78*Inputs!$M$75*IF(Inputs!$M$126&gt;0,Inputs!$M$126,X93*Inputs!$J$123)*$I$13</f>
        <v>36208185.438092798</v>
      </c>
      <c r="Y105" s="70">
        <f>Y78*Inputs!$M$75*IF(Inputs!$M$126&gt;0,Inputs!$M$126,Y93*Inputs!$J$123)*$I$13</f>
        <v>36208185.438092798</v>
      </c>
      <c r="Z105" s="70">
        <f>Z78*Inputs!$M$75*IF(Inputs!$M$126&gt;0,Inputs!$M$126,Z93*Inputs!$J$123)*$I$13</f>
        <v>36208185.438092798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56303820.916258909</v>
      </c>
      <c r="P106" s="70">
        <f>P79*Inputs!$M$75*IF(Inputs!$M$126&gt;0,Inputs!$M$126,P96*Inputs!$J$123)*$I$13</f>
        <v>57731548.493772782</v>
      </c>
      <c r="Q106" s="70">
        <f>Q79*Inputs!$M$75*IF(Inputs!$M$126&gt;0,Inputs!$M$126,Q96*Inputs!$J$123)*$I$13</f>
        <v>59980215.357045449</v>
      </c>
      <c r="R106" s="70">
        <f>R79*Inputs!$M$75*IF(Inputs!$M$126&gt;0,Inputs!$M$126,R96*Inputs!$J$123)*$I$13</f>
        <v>63403211.359299809</v>
      </c>
      <c r="S106" s="70">
        <f>S79*Inputs!$M$75*IF(Inputs!$M$126&gt;0,Inputs!$M$126,S96*Inputs!$J$123)*$I$13</f>
        <v>65501565.395602569</v>
      </c>
      <c r="T106" s="70">
        <f>T79*Inputs!$M$75*IF(Inputs!$M$126&gt;0,Inputs!$M$126,T96*Inputs!$J$123)*$I$13</f>
        <v>67401727.979660064</v>
      </c>
      <c r="U106" s="70">
        <f>U79*Inputs!$M$75*IF(Inputs!$M$126&gt;0,Inputs!$M$126,U96*Inputs!$J$123)*$I$13</f>
        <v>71788973.438565448</v>
      </c>
      <c r="V106" s="70">
        <f>V79*Inputs!$M$75*IF(Inputs!$M$126&gt;0,Inputs!$M$126,V96*Inputs!$J$123)*$I$13</f>
        <v>71788973.438565448</v>
      </c>
      <c r="W106" s="70">
        <f>W79*Inputs!$M$75*IF(Inputs!$M$126&gt;0,Inputs!$M$126,W96*Inputs!$J$123)*$I$13</f>
        <v>71788973.438565448</v>
      </c>
      <c r="X106" s="70">
        <f>X79*Inputs!$M$75*IF(Inputs!$M$126&gt;0,Inputs!$M$126,X96*Inputs!$J$123)*$I$13</f>
        <v>71788973.438565448</v>
      </c>
      <c r="Y106" s="70">
        <f>Y79*Inputs!$M$75*IF(Inputs!$M$126&gt;0,Inputs!$M$126,Y96*Inputs!$J$123)*$I$13</f>
        <v>71788973.438565448</v>
      </c>
      <c r="Z106" s="70">
        <f>Z79*Inputs!$M$75*IF(Inputs!$M$126&gt;0,Inputs!$M$126,Z96*Inputs!$J$123)*$I$13</f>
        <v>71788973.438565448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56303820.916258909</v>
      </c>
      <c r="P107" s="70">
        <f>P80*Inputs!$M$75*IF(Inputs!$M$126&gt;0,Inputs!$M$126,P99*Inputs!$J$123)*$I$13</f>
        <v>57731548.493772782</v>
      </c>
      <c r="Q107" s="70">
        <f>Q80*Inputs!$M$75*IF(Inputs!$M$126&gt;0,Inputs!$M$126,Q99*Inputs!$J$123)*$I$13</f>
        <v>59980215.357045449</v>
      </c>
      <c r="R107" s="70">
        <f>R80*Inputs!$M$75*IF(Inputs!$M$126&gt;0,Inputs!$M$126,R99*Inputs!$J$123)*$I$13</f>
        <v>63403211.359299809</v>
      </c>
      <c r="S107" s="70">
        <f>S80*Inputs!$M$75*IF(Inputs!$M$126&gt;0,Inputs!$M$126,S99*Inputs!$J$123)*$I$13</f>
        <v>65501565.395602569</v>
      </c>
      <c r="T107" s="70">
        <f>T80*Inputs!$M$75*IF(Inputs!$M$126&gt;0,Inputs!$M$126,T99*Inputs!$J$123)*$I$13</f>
        <v>67401727.979660064</v>
      </c>
      <c r="U107" s="70">
        <f>U80*Inputs!$M$75*IF(Inputs!$M$126&gt;0,Inputs!$M$126,U99*Inputs!$J$123)*$I$13</f>
        <v>71788973.438565448</v>
      </c>
      <c r="V107" s="70">
        <f>V80*Inputs!$M$75*IF(Inputs!$M$126&gt;0,Inputs!$M$126,V99*Inputs!$J$123)*$I$13</f>
        <v>71788973.438565448</v>
      </c>
      <c r="W107" s="70">
        <f>W80*Inputs!$M$75*IF(Inputs!$M$126&gt;0,Inputs!$M$126,W99*Inputs!$J$123)*$I$13</f>
        <v>71788973.438565448</v>
      </c>
      <c r="X107" s="70">
        <f>X80*Inputs!$M$75*IF(Inputs!$M$126&gt;0,Inputs!$M$126,X99*Inputs!$J$123)*$I$13</f>
        <v>71788973.438565448</v>
      </c>
      <c r="Y107" s="70">
        <f>Y80*Inputs!$M$75*IF(Inputs!$M$126&gt;0,Inputs!$M$126,Y99*Inputs!$J$123)*$I$13</f>
        <v>71788973.438565448</v>
      </c>
      <c r="Z107" s="70">
        <f>Z80*Inputs!$M$75*IF(Inputs!$M$126&gt;0,Inputs!$M$126,Z99*Inputs!$J$123)*$I$13</f>
        <v>71788973.438565448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0.41981048322982162</v>
      </c>
      <c r="P114" s="56">
        <f>Inputs!P64*$I$9</f>
        <v>0.45223694624457123</v>
      </c>
      <c r="Q114" s="56">
        <f>Inputs!Q64*$I$9</f>
        <v>0.48728460997684919</v>
      </c>
      <c r="R114" s="56">
        <f>Inputs!R64*$I$9</f>
        <v>0.52517052982898182</v>
      </c>
      <c r="S114" s="56">
        <f>Inputs!S64*$I$9</f>
        <v>0.56613000365555377</v>
      </c>
      <c r="T114" s="56">
        <f>Inputs!T64*$I$9</f>
        <v>0.61041811957687808</v>
      </c>
      <c r="U114" s="56">
        <f>Inputs!U64*$I$9</f>
        <v>0.65831143593667052</v>
      </c>
      <c r="V114" s="56">
        <f>Inputs!V64*$I$9</f>
        <v>0.71010980473195728</v>
      </c>
      <c r="W114" s="56">
        <f>Inputs!W64*$I$9</f>
        <v>0.7661383508169366</v>
      </c>
      <c r="X114" s="56">
        <f>Inputs!X64*$I$9</f>
        <v>0.82674962024010668</v>
      </c>
      <c r="Y114" s="56">
        <f>Inputs!Y64*$I$9</f>
        <v>0.89232591222259494</v>
      </c>
      <c r="Z114" s="56">
        <f>Inputs!Z64*$I$9</f>
        <v>0.96310359766798403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2.2570456087624815E-3</v>
      </c>
      <c r="P115" s="56">
        <f>Inputs!P65*$I$9</f>
        <v>2.4313814314224262E-3</v>
      </c>
      <c r="Q115" s="56">
        <f>Inputs!Q65*$I$9</f>
        <v>2.6198097310583287E-3</v>
      </c>
      <c r="R115" s="56">
        <f>Inputs!R65*$I$9</f>
        <v>2.8234974721988268E-3</v>
      </c>
      <c r="S115" s="56">
        <f>Inputs!S65*$I$9</f>
        <v>3.0437096970728694E-3</v>
      </c>
      <c r="T115" s="56">
        <f>Inputs!T65*$I$9</f>
        <v>3.2818178471875166E-3</v>
      </c>
      <c r="U115" s="56">
        <f>Inputs!U65*$I$9</f>
        <v>3.5393087953584429E-3</v>
      </c>
      <c r="V115" s="56">
        <f>Inputs!V65*$I$9</f>
        <v>3.8177946490965441E-3</v>
      </c>
      <c r="W115" s="56">
        <f>Inputs!W65*$I$9</f>
        <v>4.1190233914889058E-3</v>
      </c>
      <c r="X115" s="56">
        <f>Inputs!X65*$I$9</f>
        <v>4.444890431398423E-3</v>
      </c>
      <c r="Y115" s="56">
        <f>Inputs!Y65*$I$9</f>
        <v>4.7974511409816937E-3</v>
      </c>
      <c r="Z115" s="56">
        <f>Inputs!Z65*$I$9</f>
        <v>5.1779763315483018E-3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2.2570456087624815E-3</v>
      </c>
      <c r="P116" s="56">
        <f>Inputs!P66*$I$9</f>
        <v>2.4313814314224262E-3</v>
      </c>
      <c r="Q116" s="56">
        <f>Inputs!Q66*$I$9</f>
        <v>2.6198097310583287E-3</v>
      </c>
      <c r="R116" s="56">
        <f>Inputs!R66*$I$9</f>
        <v>2.8234974721988268E-3</v>
      </c>
      <c r="S116" s="56">
        <f>Inputs!S66*$I$9</f>
        <v>3.0437096970728694E-3</v>
      </c>
      <c r="T116" s="56">
        <f>Inputs!T66*$I$9</f>
        <v>3.2818178471875166E-3</v>
      </c>
      <c r="U116" s="56">
        <f>Inputs!U66*$I$9</f>
        <v>3.5393087953584429E-3</v>
      </c>
      <c r="V116" s="56">
        <f>Inputs!V66*$I$9</f>
        <v>3.8177946490965441E-3</v>
      </c>
      <c r="W116" s="56">
        <f>Inputs!W66*$I$9</f>
        <v>4.1190233914889058E-3</v>
      </c>
      <c r="X116" s="56">
        <f>Inputs!X66*$I$9</f>
        <v>4.444890431398423E-3</v>
      </c>
      <c r="Y116" s="56">
        <f>Inputs!Y66*$I$9</f>
        <v>4.7974511409816937E-3</v>
      </c>
      <c r="Z116" s="56">
        <f>Inputs!Z66*$I$9</f>
        <v>5.1779763315483018E-3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25416.058351118267</v>
      </c>
      <c r="P121" s="70">
        <f t="shared" ref="P121:Z121" si="21">P107*P116*$T$17</f>
        <v>28073.483003004498</v>
      </c>
      <c r="Q121" s="70">
        <f t="shared" si="21"/>
        <v>31427.350372672379</v>
      </c>
      <c r="R121" s="70">
        <f t="shared" si="21"/>
        <v>35803.76140045419</v>
      </c>
      <c r="S121" s="70">
        <f t="shared" si="21"/>
        <v>39873.549953609647</v>
      </c>
      <c r="T121" s="70">
        <f t="shared" si="21"/>
        <v>44240.038762985321</v>
      </c>
      <c r="U121" s="70">
        <f t="shared" si="21"/>
        <v>50816.669020173664</v>
      </c>
      <c r="V121" s="70">
        <f t="shared" si="21"/>
        <v>54815.111731577817</v>
      </c>
      <c r="W121" s="70">
        <f t="shared" si="21"/>
        <v>59140.09216888537</v>
      </c>
      <c r="X121" s="70">
        <f t="shared" si="21"/>
        <v>63818.824223399024</v>
      </c>
      <c r="Y121" s="70">
        <f t="shared" si="21"/>
        <v>68880.818506550073</v>
      </c>
      <c r="Z121" s="70">
        <f t="shared" si="21"/>
        <v>74344.321066208329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320947.87904677662</v>
      </c>
      <c r="P122" s="88">
        <f t="shared" ref="P122:Z122" si="22">P105*P114*$T$44</f>
        <v>364185.87098328525</v>
      </c>
      <c r="Q122" s="88">
        <f t="shared" si="22"/>
        <v>423716.5913228892</v>
      </c>
      <c r="R122" s="88">
        <f t="shared" si="22"/>
        <v>508021.77537884872</v>
      </c>
      <c r="S122" s="88">
        <f t="shared" si="22"/>
        <v>581584.94786152337</v>
      </c>
      <c r="T122" s="88">
        <f t="shared" si="22"/>
        <v>792266.30022855534</v>
      </c>
      <c r="U122" s="88">
        <f t="shared" si="22"/>
        <v>953450.50193648459</v>
      </c>
      <c r="V122" s="88">
        <f t="shared" si="22"/>
        <v>1028471.499645703</v>
      </c>
      <c r="W122" s="88">
        <f t="shared" si="22"/>
        <v>1109619.1791045694</v>
      </c>
      <c r="X122" s="88">
        <f t="shared" si="22"/>
        <v>1197404.1424210633</v>
      </c>
      <c r="Y122" s="88">
        <f t="shared" si="22"/>
        <v>1292380.0840388415</v>
      </c>
      <c r="Z122" s="88">
        <f t="shared" si="22"/>
        <v>1394889.3464182676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1725.5262314342826</v>
      </c>
      <c r="P123" s="70">
        <f t="shared" ref="P123:Z123" si="23">P105*P115*$T$34</f>
        <v>1957.9885536735769</v>
      </c>
      <c r="Q123" s="70">
        <f t="shared" si="23"/>
        <v>2278.046189908006</v>
      </c>
      <c r="R123" s="70">
        <f t="shared" si="23"/>
        <v>2731.2998676282186</v>
      </c>
      <c r="S123" s="70">
        <f t="shared" si="23"/>
        <v>3126.8007949544267</v>
      </c>
      <c r="T123" s="70">
        <f t="shared" si="23"/>
        <v>4259.4962377879319</v>
      </c>
      <c r="U123" s="70">
        <f t="shared" si="23"/>
        <v>5126.0779674004534</v>
      </c>
      <c r="V123" s="70">
        <f t="shared" si="23"/>
        <v>5529.416664761844</v>
      </c>
      <c r="W123" s="70">
        <f t="shared" si="23"/>
        <v>5965.6945113148895</v>
      </c>
      <c r="X123" s="70">
        <f t="shared" si="23"/>
        <v>6437.6566796831357</v>
      </c>
      <c r="Y123" s="70">
        <f t="shared" si="23"/>
        <v>6948.2800217142012</v>
      </c>
      <c r="Z123" s="70">
        <f t="shared" si="23"/>
        <v>7499.4050882702559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95595.517031903248</v>
      </c>
      <c r="P124" s="88">
        <f t="shared" si="24"/>
        <v>102979.38337454983</v>
      </c>
      <c r="Q124" s="88">
        <f t="shared" si="24"/>
        <v>110960.12627899334</v>
      </c>
      <c r="R124" s="88">
        <f t="shared" si="24"/>
        <v>119587.17167488257</v>
      </c>
      <c r="S124" s="88">
        <f t="shared" si="24"/>
        <v>128914.09950117585</v>
      </c>
      <c r="T124" s="88">
        <f t="shared" si="24"/>
        <v>138998.99616048613</v>
      </c>
      <c r="U124" s="88">
        <f t="shared" si="24"/>
        <v>149904.8370641314</v>
      </c>
      <c r="V124" s="88">
        <f t="shared" si="24"/>
        <v>161699.90184740856</v>
      </c>
      <c r="W124" s="88">
        <f t="shared" si="24"/>
        <v>174458.22505632965</v>
      </c>
      <c r="X124" s="88">
        <f t="shared" si="24"/>
        <v>188260.08534788404</v>
      </c>
      <c r="Y124" s="88">
        <f t="shared" si="24"/>
        <v>203192.53650744507</v>
      </c>
      <c r="Z124" s="88">
        <f t="shared" si="24"/>
        <v>219309.40281916453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10433.405129908069</v>
      </c>
      <c r="P125" s="70">
        <f t="shared" si="25"/>
        <v>11239.288830000556</v>
      </c>
      <c r="Q125" s="70">
        <f t="shared" si="25"/>
        <v>12110.316327366458</v>
      </c>
      <c r="R125" s="70">
        <f t="shared" si="25"/>
        <v>13051.88202504851</v>
      </c>
      <c r="S125" s="70">
        <f t="shared" si="25"/>
        <v>14069.833699462852</v>
      </c>
      <c r="T125" s="70">
        <f t="shared" si="25"/>
        <v>15170.510967673301</v>
      </c>
      <c r="U125" s="70">
        <f t="shared" si="25"/>
        <v>16360.787038799939</v>
      </c>
      <c r="V125" s="70">
        <f t="shared" si="25"/>
        <v>17648.11403109365</v>
      </c>
      <c r="W125" s="70">
        <f t="shared" si="25"/>
        <v>19040.572160406959</v>
      </c>
      <c r="X125" s="70">
        <f t="shared" si="25"/>
        <v>20546.923132075648</v>
      </c>
      <c r="Y125" s="70">
        <f t="shared" si="25"/>
        <v>22176.668096771758</v>
      </c>
      <c r="Z125" s="70">
        <f t="shared" si="25"/>
        <v>23935.681499028044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22564.179690977893</v>
      </c>
      <c r="P126" s="70">
        <f t="shared" si="26"/>
        <v>24307.053124195878</v>
      </c>
      <c r="Q126" s="70">
        <f t="shared" si="26"/>
        <v>26190.812138787132</v>
      </c>
      <c r="R126" s="70">
        <f t="shared" si="26"/>
        <v>28227.123134940888</v>
      </c>
      <c r="S126" s="70">
        <f t="shared" si="26"/>
        <v>30428.63301711484</v>
      </c>
      <c r="T126" s="70">
        <f t="shared" si="26"/>
        <v>32809.052386672483</v>
      </c>
      <c r="U126" s="70">
        <f t="shared" si="26"/>
        <v>35383.245837071867</v>
      </c>
      <c r="V126" s="70">
        <f t="shared" si="26"/>
        <v>38167.329960470357</v>
      </c>
      <c r="W126" s="70">
        <f t="shared" si="26"/>
        <v>41178.779726944173</v>
      </c>
      <c r="X126" s="70">
        <f t="shared" si="26"/>
        <v>44436.54395436577</v>
      </c>
      <c r="Y126" s="70">
        <f t="shared" si="26"/>
        <v>47961.170648718384</v>
      </c>
      <c r="Z126" s="70">
        <f t="shared" si="26"/>
        <v>51765.364389223396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18465.935575221243</v>
      </c>
      <c r="P127" s="70">
        <f>Inputs!$J$27*$I$11</f>
        <v>18465.935575221243</v>
      </c>
      <c r="Q127" s="70">
        <f>Inputs!$J$27*$I$11</f>
        <v>18465.935575221243</v>
      </c>
      <c r="R127" s="70">
        <f>Inputs!$J$27*$I$11</f>
        <v>18465.935575221243</v>
      </c>
      <c r="S127" s="70">
        <f>Inputs!$J$27*$I$11</f>
        <v>18465.935575221243</v>
      </c>
      <c r="T127" s="70">
        <f>Inputs!$J$27*$I$11</f>
        <v>18465.935575221243</v>
      </c>
      <c r="U127" s="70">
        <f>Inputs!$J$27*$I$11</f>
        <v>18465.935575221243</v>
      </c>
      <c r="V127" s="70">
        <f>Inputs!$J$27*$I$11</f>
        <v>18465.935575221243</v>
      </c>
      <c r="W127" s="70">
        <f>Inputs!$J$27*$I$11</f>
        <v>18465.935575221243</v>
      </c>
      <c r="X127" s="70">
        <f>Inputs!$J$27*$I$11</f>
        <v>18465.935575221243</v>
      </c>
      <c r="Y127" s="70">
        <f>Inputs!$J$27*$I$11</f>
        <v>18465.935575221243</v>
      </c>
      <c r="Z127" s="70">
        <f>Inputs!$J$27*$I$11</f>
        <v>18465.935575221243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495148.50105733966</v>
      </c>
      <c r="P128" s="98">
        <f t="shared" ref="P128:Z128" si="27">SUM(P119:P127)</f>
        <v>551209.00344393076</v>
      </c>
      <c r="Q128" s="98">
        <f t="shared" si="27"/>
        <v>625149.17820583773</v>
      </c>
      <c r="R128" s="98">
        <f t="shared" si="27"/>
        <v>725888.94905702421</v>
      </c>
      <c r="S128" s="98">
        <f t="shared" si="27"/>
        <v>816463.80040306214</v>
      </c>
      <c r="T128" s="98">
        <f t="shared" si="27"/>
        <v>1046210.3303193817</v>
      </c>
      <c r="U128" s="98">
        <f t="shared" si="27"/>
        <v>1229508.054439283</v>
      </c>
      <c r="V128" s="98">
        <f t="shared" si="27"/>
        <v>1324797.3094562367</v>
      </c>
      <c r="W128" s="98">
        <f t="shared" si="27"/>
        <v>1427868.4783036716</v>
      </c>
      <c r="X128" s="98">
        <f t="shared" si="27"/>
        <v>1539370.111333692</v>
      </c>
      <c r="Y128" s="98">
        <f t="shared" si="27"/>
        <v>1660005.4933952624</v>
      </c>
      <c r="Z128" s="98">
        <f t="shared" si="27"/>
        <v>1790209.4568553837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56993.62831858408</v>
      </c>
      <c r="Q135" s="70">
        <f>Inputs!Q22*'Scenario C'!$I$10</f>
        <v>854904.42477876111</v>
      </c>
      <c r="R135" s="70">
        <f>Inputs!R22*'Scenario C'!$I$10</f>
        <v>3360344.325663717</v>
      </c>
      <c r="S135" s="70">
        <f>Inputs!S22*'Scenario C'!$I$10</f>
        <v>0</v>
      </c>
      <c r="T135" s="70">
        <f>Inputs!T22*'Scenario C'!$I$10</f>
        <v>0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1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4673.4775221238942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163909.79764723947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495148.50105733966</v>
      </c>
      <c r="P147" s="70">
        <f t="shared" ref="P147:Z147" si="30">P128</f>
        <v>551209.00344393076</v>
      </c>
      <c r="Q147" s="70">
        <f t="shared" si="30"/>
        <v>625149.17820583773</v>
      </c>
      <c r="R147" s="70">
        <f t="shared" si="30"/>
        <v>725888.94905702421</v>
      </c>
      <c r="S147" s="70">
        <f t="shared" si="30"/>
        <v>816463.80040306214</v>
      </c>
      <c r="T147" s="70">
        <f t="shared" si="30"/>
        <v>1046210.3303193817</v>
      </c>
      <c r="U147" s="70">
        <f t="shared" si="30"/>
        <v>1229508.054439283</v>
      </c>
      <c r="V147" s="70">
        <f t="shared" si="30"/>
        <v>1324797.3094562367</v>
      </c>
      <c r="W147" s="70">
        <f t="shared" si="30"/>
        <v>1427868.4783036716</v>
      </c>
      <c r="X147" s="70">
        <f t="shared" si="30"/>
        <v>1539370.111333692</v>
      </c>
      <c r="Y147" s="70">
        <f t="shared" si="30"/>
        <v>1660005.4933952624</v>
      </c>
      <c r="Z147" s="70">
        <f t="shared" si="30"/>
        <v>1790209.4568553837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163909.79764723947</v>
      </c>
      <c r="P148" s="70">
        <f t="shared" ref="P148:Z148" si="31">$J$140</f>
        <v>163909.79764723947</v>
      </c>
      <c r="Q148" s="70">
        <f t="shared" si="31"/>
        <v>163909.79764723947</v>
      </c>
      <c r="R148" s="70">
        <f t="shared" si="31"/>
        <v>163909.79764723947</v>
      </c>
      <c r="S148" s="70">
        <f t="shared" si="31"/>
        <v>163909.79764723947</v>
      </c>
      <c r="T148" s="70">
        <f t="shared" si="31"/>
        <v>163909.79764723947</v>
      </c>
      <c r="U148" s="70">
        <f t="shared" si="31"/>
        <v>163909.79764723947</v>
      </c>
      <c r="V148" s="70">
        <f t="shared" si="31"/>
        <v>163909.79764723947</v>
      </c>
      <c r="W148" s="70">
        <f t="shared" si="31"/>
        <v>163909.79764723947</v>
      </c>
      <c r="X148" s="70">
        <f t="shared" si="31"/>
        <v>163909.79764723947</v>
      </c>
      <c r="Y148" s="70">
        <f t="shared" si="31"/>
        <v>163909.79764723947</v>
      </c>
      <c r="Z148" s="70">
        <f t="shared" si="31"/>
        <v>163909.79764723947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10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Powercor - Warrnambool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33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72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26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00" t="s">
        <v>41</v>
      </c>
      <c r="K17" s="101" t="str">
        <f>'Base Case'!K17</f>
        <v>Unserved energy</v>
      </c>
      <c r="L17" s="102"/>
      <c r="M17" s="102"/>
      <c r="N17" s="103"/>
      <c r="O17" s="63">
        <f>O107</f>
        <v>56303820.916258909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11260764.183251783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04" t="s">
        <v>41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04" t="s">
        <v>41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28026242.002356619</v>
      </c>
      <c r="R19" s="71">
        <v>0</v>
      </c>
      <c r="S19" s="72">
        <v>0</v>
      </c>
      <c r="T19" s="73">
        <f>'Base Case'!$T19</f>
        <v>0.2</v>
      </c>
      <c r="U19" s="74">
        <f t="shared" si="0"/>
        <v>5605248.4004713241</v>
      </c>
      <c r="V19" s="75">
        <f t="shared" si="1"/>
        <v>5605248.4004713241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04" t="s">
        <v>41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04" t="s">
        <v>41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04" t="s">
        <v>41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04" t="s">
        <v>41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04" t="s">
        <v>41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04" t="s">
        <v>41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08" t="s">
        <v>41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40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40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40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40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40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40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40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04" t="s">
        <v>40</v>
      </c>
      <c r="K34" s="105" t="str">
        <f>'Base Case'!K34</f>
        <v>Coincident outage risk</v>
      </c>
      <c r="L34" s="106"/>
      <c r="M34" s="106"/>
      <c r="N34" s="107"/>
      <c r="O34" s="74">
        <f>O105</f>
        <v>19112664.634858374</v>
      </c>
      <c r="P34" s="71">
        <v>0</v>
      </c>
      <c r="Q34" s="70">
        <f>Inputs!$L$161*$I$11</f>
        <v>7640658.3027518401</v>
      </c>
      <c r="R34" s="71">
        <v>0</v>
      </c>
      <c r="S34" s="72">
        <v>0</v>
      </c>
      <c r="T34" s="73">
        <f>'Base Case'!$T34</f>
        <v>0.04</v>
      </c>
      <c r="U34" s="74">
        <f t="shared" si="0"/>
        <v>1070132.9175044086</v>
      </c>
      <c r="V34" s="75">
        <f t="shared" si="1"/>
        <v>305626.33211007359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40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40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39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39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39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39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15108.492743362835</v>
      </c>
      <c r="S40" s="72">
        <v>0</v>
      </c>
      <c r="T40" s="73">
        <f>'Base Case'!$T40</f>
        <v>1</v>
      </c>
      <c r="U40" s="74">
        <f t="shared" si="0"/>
        <v>15108.492743362835</v>
      </c>
      <c r="V40" s="75">
        <f t="shared" si="1"/>
        <v>15108.492743362835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39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39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39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04" t="s">
        <v>39</v>
      </c>
      <c r="K44" s="105" t="str">
        <f>'Base Case'!K44</f>
        <v>Coincident outage risk</v>
      </c>
      <c r="L44" s="106"/>
      <c r="M44" s="106"/>
      <c r="N44" s="107"/>
      <c r="O44" s="74">
        <f>O105</f>
        <v>19112664.634858374</v>
      </c>
      <c r="P44" s="71">
        <v>0</v>
      </c>
      <c r="Q44" s="70">
        <f>SUM(Inputs!$J$161,Inputs!$L$161*(Inputs!$J$128/Inputs!$L$128))*$I$11</f>
        <v>1516003.6314983808</v>
      </c>
      <c r="R44" s="71">
        <v>0</v>
      </c>
      <c r="S44" s="72">
        <v>0</v>
      </c>
      <c r="T44" s="73">
        <f>'Base Case'!$T44</f>
        <v>0.04</v>
      </c>
      <c r="U44" s="74">
        <f t="shared" si="0"/>
        <v>825146.73065427027</v>
      </c>
      <c r="V44" s="75">
        <f t="shared" si="1"/>
        <v>60640.145259935234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39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39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39</v>
      </c>
      <c r="K49" s="51"/>
      <c r="L49" s="51"/>
      <c r="M49" s="51"/>
      <c r="N49" s="51"/>
      <c r="O49" s="70">
        <f>SUMIF($I$17:$I$46,$I49,O$17:O$46)</f>
        <v>19112664.634858374</v>
      </c>
      <c r="P49" s="70">
        <f t="shared" ref="P49:V49" si="2">SUMIF($I$17:$I$46,$I49,P$17:P$46)</f>
        <v>8261.6387603969597</v>
      </c>
      <c r="Q49" s="70">
        <f t="shared" si="2"/>
        <v>1562634.7819408586</v>
      </c>
      <c r="R49" s="70">
        <f t="shared" si="2"/>
        <v>15108.492743362835</v>
      </c>
      <c r="S49" s="70">
        <f t="shared" si="2"/>
        <v>69874.188318584071</v>
      </c>
      <c r="T49" s="56">
        <f>U49/SUM(O49:S49)</f>
        <v>4.6465568946822682E-2</v>
      </c>
      <c r="U49" s="70">
        <f t="shared" si="2"/>
        <v>965022.20091909205</v>
      </c>
      <c r="V49" s="70">
        <f t="shared" si="2"/>
        <v>200515.61552475698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40</v>
      </c>
      <c r="K50" s="51"/>
      <c r="L50" s="51"/>
      <c r="M50" s="51"/>
      <c r="N50" s="51"/>
      <c r="O50" s="70">
        <f t="shared" ref="O50:V51" si="3">SUMIF($I$17:$I$46,$I50,O$17:O$46)</f>
        <v>19112664.634858374</v>
      </c>
      <c r="P50" s="70">
        <f t="shared" si="3"/>
        <v>28915.735661389357</v>
      </c>
      <c r="Q50" s="70">
        <f t="shared" si="3"/>
        <v>7687289.4531943183</v>
      </c>
      <c r="R50" s="70">
        <f t="shared" si="3"/>
        <v>3495471.0371681419</v>
      </c>
      <c r="S50" s="70">
        <f t="shared" si="3"/>
        <v>953161.44000000018</v>
      </c>
      <c r="T50" s="56">
        <f t="shared" ref="T50:T51" si="4">U50/SUM(O50:S50)</f>
        <v>0.14993129448158468</v>
      </c>
      <c r="U50" s="70">
        <f t="shared" si="3"/>
        <v>4689476.4081220161</v>
      </c>
      <c r="V50" s="70">
        <f t="shared" si="3"/>
        <v>3924969.8227276807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41</v>
      </c>
      <c r="K51" s="87"/>
      <c r="L51" s="87"/>
      <c r="M51" s="87"/>
      <c r="N51" s="87"/>
      <c r="O51" s="70">
        <f t="shared" si="3"/>
        <v>56303820.916258909</v>
      </c>
      <c r="P51" s="70">
        <f t="shared" si="3"/>
        <v>28915.735661389357</v>
      </c>
      <c r="Q51" s="70">
        <f t="shared" si="3"/>
        <v>28072873.152799096</v>
      </c>
      <c r="R51" s="70">
        <f t="shared" si="3"/>
        <v>10486413.111504424</v>
      </c>
      <c r="S51" s="70">
        <f t="shared" si="3"/>
        <v>2829163.7097345134</v>
      </c>
      <c r="T51" s="56">
        <f t="shared" si="4"/>
        <v>0.2</v>
      </c>
      <c r="U51" s="70">
        <f t="shared" si="3"/>
        <v>19544237.325191665</v>
      </c>
      <c r="V51" s="70">
        <f t="shared" si="3"/>
        <v>8283473.1419398859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25198735.934232771</v>
      </c>
      <c r="V52" s="88">
        <f>SUM(V49:V51)</f>
        <v>12408958.580192324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53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54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55</v>
      </c>
      <c r="D59" s="51"/>
      <c r="E59" s="51"/>
      <c r="F59" s="51"/>
      <c r="G59" s="51"/>
      <c r="H59" s="51"/>
      <c r="I59" s="51"/>
      <c r="J59" s="70">
        <f>Inputs!J80</f>
        <v>98.9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56</v>
      </c>
      <c r="E60" s="51"/>
      <c r="F60" s="51"/>
      <c r="G60" s="51"/>
      <c r="H60" s="51"/>
      <c r="I60" s="51"/>
      <c r="J60" s="70">
        <f>Inputs!J81</f>
        <v>59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57</v>
      </c>
      <c r="E61" s="51"/>
      <c r="F61" s="51"/>
      <c r="G61" s="51"/>
      <c r="H61" s="51"/>
      <c r="I61" s="51"/>
      <c r="J61" s="70">
        <f>Inputs!J82</f>
        <v>19.05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58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59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60</v>
      </c>
      <c r="E64" s="87"/>
      <c r="F64" s="87"/>
      <c r="G64" s="87"/>
      <c r="H64" s="87"/>
      <c r="I64" s="87"/>
      <c r="J64" s="70">
        <f>Inputs!J85</f>
        <v>12.3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ht="13.15" x14ac:dyDescent="0.4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ht="13.15" x14ac:dyDescent="0.4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52.208100000000002</v>
      </c>
      <c r="P69" s="70">
        <f>Inputs!P185*$I$12</f>
        <v>53.370450000000005</v>
      </c>
      <c r="Q69" s="70">
        <f>Inputs!Q185*$I$12</f>
        <v>55.574399999999997</v>
      </c>
      <c r="R69" s="70">
        <f>Inputs!R185*$I$12</f>
        <v>57.496950000000005</v>
      </c>
      <c r="S69" s="70">
        <f>Inputs!S185*$I$12</f>
        <v>60.338250000000009</v>
      </c>
      <c r="T69" s="70">
        <f>Inputs!T185*$I$12</f>
        <v>61.479600000000005</v>
      </c>
      <c r="U69" s="70">
        <f>Inputs!U185*$I$12</f>
        <v>63.970200000000006</v>
      </c>
      <c r="V69" s="70">
        <f>Inputs!V185*$I$12</f>
        <v>63.970200000000006</v>
      </c>
      <c r="W69" s="70">
        <f>Inputs!W185*$I$12</f>
        <v>63.970200000000006</v>
      </c>
      <c r="X69" s="70">
        <f>Inputs!X185*$I$12</f>
        <v>63.970200000000006</v>
      </c>
      <c r="Y69" s="70">
        <f>Inputs!Y185*$I$12</f>
        <v>63.970200000000006</v>
      </c>
      <c r="Z69" s="70">
        <f>Inputs!Z185*$I$12</f>
        <v>63.970200000000006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ht="13.15" x14ac:dyDescent="0.4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47.056800000000003</v>
      </c>
      <c r="P70" s="70">
        <f>Inputs!P186*$I$12</f>
        <v>47.873700000000007</v>
      </c>
      <c r="Q70" s="70">
        <f>Inputs!Q186*$I$12</f>
        <v>49.000350000000005</v>
      </c>
      <c r="R70" s="70">
        <f>Inputs!R186*$I$12</f>
        <v>51.329250000000002</v>
      </c>
      <c r="S70" s="70">
        <f>Inputs!S186*$I$12</f>
        <v>52.044300000000007</v>
      </c>
      <c r="T70" s="70">
        <f>Inputs!T186*$I$12</f>
        <v>53.305350000000004</v>
      </c>
      <c r="U70" s="70">
        <f>Inputs!U186*$I$12</f>
        <v>56.278950000000002</v>
      </c>
      <c r="V70" s="70">
        <f>Inputs!V186*$I$12</f>
        <v>56.278950000000002</v>
      </c>
      <c r="W70" s="70">
        <f>Inputs!W186*$I$12</f>
        <v>56.278950000000002</v>
      </c>
      <c r="X70" s="70">
        <f>Inputs!X186*$I$12</f>
        <v>56.278950000000002</v>
      </c>
      <c r="Y70" s="70">
        <f>Inputs!Y186*$I$12</f>
        <v>56.278950000000002</v>
      </c>
      <c r="Z70" s="70">
        <f>Inputs!Z186*$I$12</f>
        <v>56.278950000000002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ht="13.15" x14ac:dyDescent="0.4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48.602190000000007</v>
      </c>
      <c r="P71" s="70">
        <f>Inputs!P187*$I$12</f>
        <v>49.522725000000008</v>
      </c>
      <c r="Q71" s="70">
        <f>Inputs!Q187*$I$12</f>
        <v>50.972565000000003</v>
      </c>
      <c r="R71" s="70">
        <f>Inputs!R187*$I$12</f>
        <v>53.179560000000002</v>
      </c>
      <c r="S71" s="70">
        <f>Inputs!S187*$I$12</f>
        <v>54.532485000000001</v>
      </c>
      <c r="T71" s="70">
        <f>Inputs!T187*$I$12</f>
        <v>55.757625000000012</v>
      </c>
      <c r="U71" s="70">
        <f>Inputs!U187*$I$12</f>
        <v>58.586324999999995</v>
      </c>
      <c r="V71" s="70">
        <f>Inputs!V187*$I$12</f>
        <v>58.586324999999995</v>
      </c>
      <c r="W71" s="70">
        <f>Inputs!W187*$I$12</f>
        <v>58.586324999999995</v>
      </c>
      <c r="X71" s="70">
        <f>Inputs!X187*$I$12</f>
        <v>58.586324999999995</v>
      </c>
      <c r="Y71" s="70">
        <f>Inputs!Y187*$I$12</f>
        <v>58.586324999999995</v>
      </c>
      <c r="Z71" s="70">
        <f>Inputs!Z187*$I$12</f>
        <v>58.586324999999995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ht="13.15" x14ac:dyDescent="0.4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ht="13.15" x14ac:dyDescent="0.4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ht="13.15" x14ac:dyDescent="0.4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ht="13.15" x14ac:dyDescent="0.4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ht="13.15" x14ac:dyDescent="0.4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ht="13.15" x14ac:dyDescent="0.4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ht="13.15" x14ac:dyDescent="0.4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17.252190000000009</v>
      </c>
      <c r="P78" s="70">
        <f t="shared" si="5"/>
        <v>18.17272500000001</v>
      </c>
      <c r="Q78" s="70">
        <f t="shared" si="5"/>
        <v>19.622565000000005</v>
      </c>
      <c r="R78" s="70">
        <f t="shared" si="5"/>
        <v>21.829559999999997</v>
      </c>
      <c r="S78" s="70">
        <f t="shared" si="5"/>
        <v>23.182484999999996</v>
      </c>
      <c r="T78" s="70">
        <f t="shared" si="5"/>
        <v>24.407625000000007</v>
      </c>
      <c r="U78" s="70">
        <f t="shared" si="5"/>
        <v>27.23632499999999</v>
      </c>
      <c r="V78" s="70">
        <f t="shared" si="5"/>
        <v>27.23632499999999</v>
      </c>
      <c r="W78" s="70">
        <f t="shared" si="5"/>
        <v>27.23632499999999</v>
      </c>
      <c r="X78" s="70">
        <f t="shared" si="5"/>
        <v>27.23632499999999</v>
      </c>
      <c r="Y78" s="70">
        <f t="shared" si="5"/>
        <v>27.23632499999999</v>
      </c>
      <c r="Z78" s="70">
        <f t="shared" si="5"/>
        <v>27.23632499999999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ht="13.15" x14ac:dyDescent="0.4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36.30219000000001</v>
      </c>
      <c r="P79" s="70">
        <f t="shared" si="5"/>
        <v>37.222725000000011</v>
      </c>
      <c r="Q79" s="70">
        <f t="shared" si="5"/>
        <v>38.672565000000006</v>
      </c>
      <c r="R79" s="70">
        <f t="shared" si="5"/>
        <v>40.879559999999998</v>
      </c>
      <c r="S79" s="70">
        <f t="shared" si="5"/>
        <v>42.232484999999997</v>
      </c>
      <c r="T79" s="70">
        <f t="shared" si="5"/>
        <v>43.457625000000007</v>
      </c>
      <c r="U79" s="70">
        <f t="shared" si="5"/>
        <v>46.286324999999991</v>
      </c>
      <c r="V79" s="70">
        <f t="shared" si="5"/>
        <v>46.286324999999991</v>
      </c>
      <c r="W79" s="70">
        <f t="shared" si="5"/>
        <v>46.286324999999991</v>
      </c>
      <c r="X79" s="70">
        <f t="shared" si="5"/>
        <v>46.286324999999991</v>
      </c>
      <c r="Y79" s="70">
        <f t="shared" si="5"/>
        <v>46.286324999999991</v>
      </c>
      <c r="Z79" s="70">
        <f t="shared" si="5"/>
        <v>46.286324999999991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ht="13.15" x14ac:dyDescent="0.4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36.30219000000001</v>
      </c>
      <c r="P80" s="70">
        <f t="shared" si="5"/>
        <v>37.222725000000011</v>
      </c>
      <c r="Q80" s="70">
        <f t="shared" si="5"/>
        <v>38.672565000000006</v>
      </c>
      <c r="R80" s="70">
        <f t="shared" si="5"/>
        <v>40.879559999999998</v>
      </c>
      <c r="S80" s="70">
        <f t="shared" si="5"/>
        <v>42.232484999999997</v>
      </c>
      <c r="T80" s="70">
        <f t="shared" si="5"/>
        <v>43.457625000000007</v>
      </c>
      <c r="U80" s="70">
        <f t="shared" si="5"/>
        <v>46.286324999999991</v>
      </c>
      <c r="V80" s="70">
        <f t="shared" si="5"/>
        <v>46.286324999999991</v>
      </c>
      <c r="W80" s="70">
        <f t="shared" si="5"/>
        <v>46.286324999999991</v>
      </c>
      <c r="X80" s="70">
        <f t="shared" si="5"/>
        <v>46.286324999999991</v>
      </c>
      <c r="Y80" s="70">
        <f t="shared" si="5"/>
        <v>46.286324999999991</v>
      </c>
      <c r="Z80" s="70">
        <f t="shared" si="5"/>
        <v>46.286324999999991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ht="13.15" x14ac:dyDescent="0.4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4</v>
      </c>
      <c r="U91" s="70">
        <f>ROUNDUP(ROUNDUP(U78/Inputs!$J$114,0)/(Inputs!$J$118*Inputs!$J$115*Inputs!$J$114),0)+1</f>
        <v>4</v>
      </c>
      <c r="V91" s="70">
        <f>ROUNDUP(ROUNDUP(V78/Inputs!$J$114,0)/(Inputs!$J$118*Inputs!$J$115*Inputs!$J$114),0)+1</f>
        <v>4</v>
      </c>
      <c r="W91" s="70">
        <f>ROUNDUP(ROUNDUP(W78/Inputs!$J$114,0)/(Inputs!$J$118*Inputs!$J$115*Inputs!$J$114),0)+1</f>
        <v>4</v>
      </c>
      <c r="X91" s="70">
        <f>ROUNDUP(ROUNDUP(X78/Inputs!$J$114,0)/(Inputs!$J$118*Inputs!$J$115*Inputs!$J$114),0)+1</f>
        <v>4</v>
      </c>
      <c r="Y91" s="70">
        <f>ROUNDUP(ROUNDUP(Y78/Inputs!$J$114,0)/(Inputs!$J$118*Inputs!$J$115*Inputs!$J$114),0)+1</f>
        <v>4</v>
      </c>
      <c r="Z91" s="70">
        <f>ROUNDUP(ROUNDUP(Z78/Inputs!$J$114,0)/(Inputs!$J$118*Inputs!$J$115*Inputs!$J$114),0)+1</f>
        <v>4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1</v>
      </c>
      <c r="U92" s="70">
        <f t="shared" si="11"/>
        <v>1</v>
      </c>
      <c r="V92" s="70">
        <f t="shared" si="11"/>
        <v>1</v>
      </c>
      <c r="W92" s="70">
        <f t="shared" si="11"/>
        <v>1</v>
      </c>
      <c r="X92" s="70">
        <f t="shared" si="11"/>
        <v>1</v>
      </c>
      <c r="Y92" s="70">
        <f t="shared" si="11"/>
        <v>1</v>
      </c>
      <c r="Z92" s="70">
        <f t="shared" si="11"/>
        <v>1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3</v>
      </c>
      <c r="U93" s="93">
        <f t="shared" si="12"/>
        <v>3</v>
      </c>
      <c r="V93" s="93">
        <f t="shared" si="12"/>
        <v>3</v>
      </c>
      <c r="W93" s="93">
        <f t="shared" si="12"/>
        <v>3</v>
      </c>
      <c r="X93" s="93">
        <f t="shared" si="12"/>
        <v>3</v>
      </c>
      <c r="Y93" s="93">
        <f t="shared" si="12"/>
        <v>3</v>
      </c>
      <c r="Z93" s="93">
        <f t="shared" si="12"/>
        <v>3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19112664.634858374</v>
      </c>
      <c r="P105" s="70">
        <f>P78*Inputs!$M$75*IF(Inputs!$M$126&gt;0,Inputs!$M$126,P93*Inputs!$J$123)*$I$13</f>
        <v>20132470.047368284</v>
      </c>
      <c r="Q105" s="70">
        <f>Q78*Inputs!$M$75*IF(Inputs!$M$126&gt;0,Inputs!$M$126,Q93*Inputs!$J$123)*$I$13</f>
        <v>21738660.663991619</v>
      </c>
      <c r="R105" s="70">
        <f>R78*Inputs!$M$75*IF(Inputs!$M$126&gt;0,Inputs!$M$126,R93*Inputs!$J$123)*$I$13</f>
        <v>24183657.808459021</v>
      </c>
      <c r="S105" s="70">
        <f>S78*Inputs!$M$75*IF(Inputs!$M$126&gt;0,Inputs!$M$126,S93*Inputs!$J$123)*$I$13</f>
        <v>25682482.120103847</v>
      </c>
      <c r="T105" s="70">
        <f>T78*Inputs!$M$75*IF(Inputs!$M$126&gt;0,Inputs!$M$126,T93*Inputs!$J$123)*$I$13</f>
        <v>32447689.33045961</v>
      </c>
      <c r="U105" s="70">
        <f>U78*Inputs!$M$75*IF(Inputs!$M$126&gt;0,Inputs!$M$126,U93*Inputs!$J$123)*$I$13</f>
        <v>36208185.438092798</v>
      </c>
      <c r="V105" s="70">
        <f>V78*Inputs!$M$75*IF(Inputs!$M$126&gt;0,Inputs!$M$126,V93*Inputs!$J$123)*$I$13</f>
        <v>36208185.438092798</v>
      </c>
      <c r="W105" s="70">
        <f>W78*Inputs!$M$75*IF(Inputs!$M$126&gt;0,Inputs!$M$126,W93*Inputs!$J$123)*$I$13</f>
        <v>36208185.438092798</v>
      </c>
      <c r="X105" s="70">
        <f>X78*Inputs!$M$75*IF(Inputs!$M$126&gt;0,Inputs!$M$126,X93*Inputs!$J$123)*$I$13</f>
        <v>36208185.438092798</v>
      </c>
      <c r="Y105" s="70">
        <f>Y78*Inputs!$M$75*IF(Inputs!$M$126&gt;0,Inputs!$M$126,Y93*Inputs!$J$123)*$I$13</f>
        <v>36208185.438092798</v>
      </c>
      <c r="Z105" s="70">
        <f>Z78*Inputs!$M$75*IF(Inputs!$M$126&gt;0,Inputs!$M$126,Z93*Inputs!$J$123)*$I$13</f>
        <v>36208185.438092798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56303820.916258909</v>
      </c>
      <c r="P106" s="70">
        <f>P79*Inputs!$M$75*IF(Inputs!$M$126&gt;0,Inputs!$M$126,P96*Inputs!$J$123)*$I$13</f>
        <v>57731548.493772782</v>
      </c>
      <c r="Q106" s="70">
        <f>Q79*Inputs!$M$75*IF(Inputs!$M$126&gt;0,Inputs!$M$126,Q96*Inputs!$J$123)*$I$13</f>
        <v>59980215.357045449</v>
      </c>
      <c r="R106" s="70">
        <f>R79*Inputs!$M$75*IF(Inputs!$M$126&gt;0,Inputs!$M$126,R96*Inputs!$J$123)*$I$13</f>
        <v>63403211.359299809</v>
      </c>
      <c r="S106" s="70">
        <f>S79*Inputs!$M$75*IF(Inputs!$M$126&gt;0,Inputs!$M$126,S96*Inputs!$J$123)*$I$13</f>
        <v>65501565.395602569</v>
      </c>
      <c r="T106" s="70">
        <f>T79*Inputs!$M$75*IF(Inputs!$M$126&gt;0,Inputs!$M$126,T96*Inputs!$J$123)*$I$13</f>
        <v>67401727.979660064</v>
      </c>
      <c r="U106" s="70">
        <f>U79*Inputs!$M$75*IF(Inputs!$M$126&gt;0,Inputs!$M$126,U96*Inputs!$J$123)*$I$13</f>
        <v>71788973.438565448</v>
      </c>
      <c r="V106" s="70">
        <f>V79*Inputs!$M$75*IF(Inputs!$M$126&gt;0,Inputs!$M$126,V96*Inputs!$J$123)*$I$13</f>
        <v>71788973.438565448</v>
      </c>
      <c r="W106" s="70">
        <f>W79*Inputs!$M$75*IF(Inputs!$M$126&gt;0,Inputs!$M$126,W96*Inputs!$J$123)*$I$13</f>
        <v>71788973.438565448</v>
      </c>
      <c r="X106" s="70">
        <f>X79*Inputs!$M$75*IF(Inputs!$M$126&gt;0,Inputs!$M$126,X96*Inputs!$J$123)*$I$13</f>
        <v>71788973.438565448</v>
      </c>
      <c r="Y106" s="70">
        <f>Y79*Inputs!$M$75*IF(Inputs!$M$126&gt;0,Inputs!$M$126,Y96*Inputs!$J$123)*$I$13</f>
        <v>71788973.438565448</v>
      </c>
      <c r="Z106" s="70">
        <f>Z79*Inputs!$M$75*IF(Inputs!$M$126&gt;0,Inputs!$M$126,Z96*Inputs!$J$123)*$I$13</f>
        <v>71788973.438565448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56303820.916258909</v>
      </c>
      <c r="P107" s="70">
        <f>P80*Inputs!$M$75*IF(Inputs!$M$126&gt;0,Inputs!$M$126,P99*Inputs!$J$123)*$I$13</f>
        <v>57731548.493772782</v>
      </c>
      <c r="Q107" s="70">
        <f>Q80*Inputs!$M$75*IF(Inputs!$M$126&gt;0,Inputs!$M$126,Q99*Inputs!$J$123)*$I$13</f>
        <v>59980215.357045449</v>
      </c>
      <c r="R107" s="70">
        <f>R80*Inputs!$M$75*IF(Inputs!$M$126&gt;0,Inputs!$M$126,R99*Inputs!$J$123)*$I$13</f>
        <v>63403211.359299809</v>
      </c>
      <c r="S107" s="70">
        <f>S80*Inputs!$M$75*IF(Inputs!$M$126&gt;0,Inputs!$M$126,S99*Inputs!$J$123)*$I$13</f>
        <v>65501565.395602569</v>
      </c>
      <c r="T107" s="70">
        <f>T80*Inputs!$M$75*IF(Inputs!$M$126&gt;0,Inputs!$M$126,T99*Inputs!$J$123)*$I$13</f>
        <v>67401727.979660064</v>
      </c>
      <c r="U107" s="70">
        <f>U80*Inputs!$M$75*IF(Inputs!$M$126&gt;0,Inputs!$M$126,U99*Inputs!$J$123)*$I$13</f>
        <v>71788973.438565448</v>
      </c>
      <c r="V107" s="70">
        <f>V80*Inputs!$M$75*IF(Inputs!$M$126&gt;0,Inputs!$M$126,V99*Inputs!$J$123)*$I$13</f>
        <v>71788973.438565448</v>
      </c>
      <c r="W107" s="70">
        <f>W80*Inputs!$M$75*IF(Inputs!$M$126&gt;0,Inputs!$M$126,W99*Inputs!$J$123)*$I$13</f>
        <v>71788973.438565448</v>
      </c>
      <c r="X107" s="70">
        <f>X80*Inputs!$M$75*IF(Inputs!$M$126&gt;0,Inputs!$M$126,X99*Inputs!$J$123)*$I$13</f>
        <v>71788973.438565448</v>
      </c>
      <c r="Y107" s="70">
        <f>Y80*Inputs!$M$75*IF(Inputs!$M$126&gt;0,Inputs!$M$126,Y99*Inputs!$J$123)*$I$13</f>
        <v>71788973.438565448</v>
      </c>
      <c r="Z107" s="70">
        <f>Z80*Inputs!$M$75*IF(Inputs!$M$126&gt;0,Inputs!$M$126,Z99*Inputs!$J$123)*$I$13</f>
        <v>71788973.438565448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0.41981048322982162</v>
      </c>
      <c r="P114" s="56">
        <f>Inputs!P64*$I$9</f>
        <v>0.45223694624457123</v>
      </c>
      <c r="Q114" s="56">
        <f>Inputs!Q64*$I$9</f>
        <v>0.48728460997684919</v>
      </c>
      <c r="R114" s="56">
        <f>Inputs!R64*$I$9</f>
        <v>0.52517052982898182</v>
      </c>
      <c r="S114" s="56">
        <f>Inputs!S64*$I$9</f>
        <v>0.56613000365555377</v>
      </c>
      <c r="T114" s="56">
        <f>Inputs!T64*$I$9</f>
        <v>0.61041811957687808</v>
      </c>
      <c r="U114" s="56">
        <f>Inputs!U64*$I$9</f>
        <v>0.65831143593667052</v>
      </c>
      <c r="V114" s="56">
        <f>Inputs!V64*$I$9</f>
        <v>0.71010980473195728</v>
      </c>
      <c r="W114" s="56">
        <f>Inputs!W64*$I$9</f>
        <v>0.7661383508169366</v>
      </c>
      <c r="X114" s="56">
        <f>Inputs!X64*$I$9</f>
        <v>0.82674962024010668</v>
      </c>
      <c r="Y114" s="56">
        <f>Inputs!Y64*$I$9</f>
        <v>0.89232591222259494</v>
      </c>
      <c r="Z114" s="56">
        <f>Inputs!Z64*$I$9</f>
        <v>0.96310359766798403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2.2570456087624815E-3</v>
      </c>
      <c r="P115" s="56">
        <f>Inputs!P65*$I$9</f>
        <v>2.4313814314224262E-3</v>
      </c>
      <c r="Q115" s="56">
        <f>Inputs!Q65*$I$9</f>
        <v>2.6198097310583287E-3</v>
      </c>
      <c r="R115" s="56">
        <f>Inputs!R65*$I$9</f>
        <v>2.8234974721988268E-3</v>
      </c>
      <c r="S115" s="56">
        <f>Inputs!S65*$I$9</f>
        <v>3.0437096970728694E-3</v>
      </c>
      <c r="T115" s="56">
        <f>Inputs!T65*$I$9</f>
        <v>3.2818178471875166E-3</v>
      </c>
      <c r="U115" s="56">
        <f>Inputs!U65*$I$9</f>
        <v>3.5393087953584429E-3</v>
      </c>
      <c r="V115" s="56">
        <f>Inputs!V65*$I$9</f>
        <v>3.8177946490965441E-3</v>
      </c>
      <c r="W115" s="56">
        <f>Inputs!W65*$I$9</f>
        <v>4.1190233914889058E-3</v>
      </c>
      <c r="X115" s="56">
        <f>Inputs!X65*$I$9</f>
        <v>4.444890431398423E-3</v>
      </c>
      <c r="Y115" s="56">
        <f>Inputs!Y65*$I$9</f>
        <v>4.7974511409816937E-3</v>
      </c>
      <c r="Z115" s="56">
        <f>Inputs!Z65*$I$9</f>
        <v>5.1779763315483018E-3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2.2570456087624815E-3</v>
      </c>
      <c r="P116" s="56">
        <f>Inputs!P66*$I$9</f>
        <v>2.4313814314224262E-3</v>
      </c>
      <c r="Q116" s="56">
        <f>Inputs!Q66*$I$9</f>
        <v>2.6198097310583287E-3</v>
      </c>
      <c r="R116" s="56">
        <f>Inputs!R66*$I$9</f>
        <v>2.8234974721988268E-3</v>
      </c>
      <c r="S116" s="56">
        <f>Inputs!S66*$I$9</f>
        <v>3.0437096970728694E-3</v>
      </c>
      <c r="T116" s="56">
        <f>Inputs!T66*$I$9</f>
        <v>3.2818178471875166E-3</v>
      </c>
      <c r="U116" s="56">
        <f>Inputs!U66*$I$9</f>
        <v>3.5393087953584429E-3</v>
      </c>
      <c r="V116" s="56">
        <f>Inputs!V66*$I$9</f>
        <v>3.8177946490965441E-3</v>
      </c>
      <c r="W116" s="56">
        <f>Inputs!W66*$I$9</f>
        <v>4.1190233914889058E-3</v>
      </c>
      <c r="X116" s="56">
        <f>Inputs!X66*$I$9</f>
        <v>4.444890431398423E-3</v>
      </c>
      <c r="Y116" s="56">
        <f>Inputs!Y66*$I$9</f>
        <v>4.7974511409816937E-3</v>
      </c>
      <c r="Z116" s="56">
        <f>Inputs!Z66*$I$9</f>
        <v>5.1779763315483018E-3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25416.058351118267</v>
      </c>
      <c r="P121" s="70">
        <f t="shared" ref="P121:Z121" si="21">P107*P116*$T$17</f>
        <v>28073.483003004498</v>
      </c>
      <c r="Q121" s="70">
        <f t="shared" si="21"/>
        <v>31427.350372672379</v>
      </c>
      <c r="R121" s="70">
        <f t="shared" si="21"/>
        <v>35803.76140045419</v>
      </c>
      <c r="S121" s="70">
        <f t="shared" si="21"/>
        <v>39873.549953609647</v>
      </c>
      <c r="T121" s="70">
        <f t="shared" si="21"/>
        <v>44240.038762985321</v>
      </c>
      <c r="U121" s="70">
        <f t="shared" si="21"/>
        <v>50816.669020173664</v>
      </c>
      <c r="V121" s="70">
        <f t="shared" si="21"/>
        <v>54815.111731577817</v>
      </c>
      <c r="W121" s="70">
        <f t="shared" si="21"/>
        <v>59140.09216888537</v>
      </c>
      <c r="X121" s="70">
        <f t="shared" si="21"/>
        <v>63818.824223399024</v>
      </c>
      <c r="Y121" s="70">
        <f t="shared" si="21"/>
        <v>68880.818506550073</v>
      </c>
      <c r="Z121" s="70">
        <f t="shared" si="21"/>
        <v>74344.321066208329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320947.87904677662</v>
      </c>
      <c r="P122" s="88">
        <f t="shared" ref="P122:Z122" si="22">P105*P114*$T$44</f>
        <v>364185.87098328525</v>
      </c>
      <c r="Q122" s="88">
        <f t="shared" si="22"/>
        <v>423716.5913228892</v>
      </c>
      <c r="R122" s="88">
        <f t="shared" si="22"/>
        <v>508021.77537884872</v>
      </c>
      <c r="S122" s="88">
        <f t="shared" si="22"/>
        <v>581584.94786152337</v>
      </c>
      <c r="T122" s="88">
        <f t="shared" si="22"/>
        <v>792266.30022855534</v>
      </c>
      <c r="U122" s="88">
        <f t="shared" si="22"/>
        <v>953450.50193648459</v>
      </c>
      <c r="V122" s="88">
        <f t="shared" si="22"/>
        <v>1028471.499645703</v>
      </c>
      <c r="W122" s="88">
        <f t="shared" si="22"/>
        <v>1109619.1791045694</v>
      </c>
      <c r="X122" s="88">
        <f t="shared" si="22"/>
        <v>1197404.1424210633</v>
      </c>
      <c r="Y122" s="88">
        <f t="shared" si="22"/>
        <v>1292380.0840388415</v>
      </c>
      <c r="Z122" s="88">
        <f t="shared" si="22"/>
        <v>1394889.3464182676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1725.5262314342826</v>
      </c>
      <c r="P123" s="70">
        <f t="shared" ref="P123:Z123" si="23">P105*P115*$T$34</f>
        <v>1957.9885536735769</v>
      </c>
      <c r="Q123" s="70">
        <f t="shared" si="23"/>
        <v>2278.046189908006</v>
      </c>
      <c r="R123" s="70">
        <f t="shared" si="23"/>
        <v>2731.2998676282186</v>
      </c>
      <c r="S123" s="70">
        <f t="shared" si="23"/>
        <v>3126.8007949544267</v>
      </c>
      <c r="T123" s="70">
        <f t="shared" si="23"/>
        <v>4259.4962377879319</v>
      </c>
      <c r="U123" s="70">
        <f t="shared" si="23"/>
        <v>5126.0779674004534</v>
      </c>
      <c r="V123" s="70">
        <f t="shared" si="23"/>
        <v>5529.416664761844</v>
      </c>
      <c r="W123" s="70">
        <f t="shared" si="23"/>
        <v>5965.6945113148895</v>
      </c>
      <c r="X123" s="70">
        <f t="shared" si="23"/>
        <v>6437.6566796831357</v>
      </c>
      <c r="Y123" s="70">
        <f t="shared" si="23"/>
        <v>6948.2800217142012</v>
      </c>
      <c r="Z123" s="70">
        <f t="shared" si="23"/>
        <v>7499.4050882702559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84178.557448573352</v>
      </c>
      <c r="P124" s="88">
        <f t="shared" si="24"/>
        <v>90680.569639266629</v>
      </c>
      <c r="Q124" s="88">
        <f t="shared" si="24"/>
        <v>97708.173505249055</v>
      </c>
      <c r="R124" s="88">
        <f t="shared" si="24"/>
        <v>105304.89204412104</v>
      </c>
      <c r="S124" s="88">
        <f t="shared" si="24"/>
        <v>113517.90615002629</v>
      </c>
      <c r="T124" s="88">
        <f t="shared" si="24"/>
        <v>122398.36497442242</v>
      </c>
      <c r="U124" s="88">
        <f t="shared" si="24"/>
        <v>132001.72278382813</v>
      </c>
      <c r="V124" s="88">
        <f t="shared" si="24"/>
        <v>142388.10458599339</v>
      </c>
      <c r="W124" s="88">
        <f t="shared" si="24"/>
        <v>153622.70299118024</v>
      </c>
      <c r="X124" s="88">
        <f t="shared" si="24"/>
        <v>165776.20898730407</v>
      </c>
      <c r="Y124" s="88">
        <f t="shared" si="24"/>
        <v>178925.2795380039</v>
      </c>
      <c r="Z124" s="88">
        <f t="shared" si="24"/>
        <v>193117.31070050373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8858.8359029127678</v>
      </c>
      <c r="P125" s="70">
        <f t="shared" si="25"/>
        <v>9543.0987458734544</v>
      </c>
      <c r="Q125" s="70">
        <f t="shared" si="25"/>
        <v>10282.674135692261</v>
      </c>
      <c r="R125" s="70">
        <f t="shared" si="25"/>
        <v>11082.142372928283</v>
      </c>
      <c r="S125" s="70">
        <f t="shared" si="25"/>
        <v>11946.468710154622</v>
      </c>
      <c r="T125" s="70">
        <f t="shared" si="25"/>
        <v>12881.036013900126</v>
      </c>
      <c r="U125" s="70">
        <f t="shared" si="25"/>
        <v>13891.680215096549</v>
      </c>
      <c r="V125" s="70">
        <f t="shared" si="25"/>
        <v>14984.72878707515</v>
      </c>
      <c r="W125" s="70">
        <f t="shared" si="25"/>
        <v>16167.042510703381</v>
      </c>
      <c r="X125" s="70">
        <f t="shared" si="25"/>
        <v>17446.060808569833</v>
      </c>
      <c r="Y125" s="70">
        <f t="shared" si="25"/>
        <v>18829.850954363628</v>
      </c>
      <c r="Z125" s="70">
        <f t="shared" si="25"/>
        <v>20323.400844125263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18696.176680317374</v>
      </c>
      <c r="P126" s="70">
        <f t="shared" si="26"/>
        <v>20140.282784999021</v>
      </c>
      <c r="Q126" s="70">
        <f t="shared" si="26"/>
        <v>21701.123544214421</v>
      </c>
      <c r="R126" s="70">
        <f t="shared" si="26"/>
        <v>23388.365477294141</v>
      </c>
      <c r="S126" s="70">
        <f t="shared" si="26"/>
        <v>25212.487527565099</v>
      </c>
      <c r="T126" s="70">
        <f t="shared" si="26"/>
        <v>27184.84999391677</v>
      </c>
      <c r="U126" s="70">
        <f t="shared" si="26"/>
        <v>29317.769347383273</v>
      </c>
      <c r="V126" s="70">
        <f t="shared" si="26"/>
        <v>31624.599437233035</v>
      </c>
      <c r="W126" s="70">
        <f t="shared" si="26"/>
        <v>34119.819634420492</v>
      </c>
      <c r="X126" s="70">
        <f t="shared" si="26"/>
        <v>36819.130507354428</v>
      </c>
      <c r="Y126" s="70">
        <f t="shared" si="26"/>
        <v>39739.557676090721</v>
      </c>
      <c r="Z126" s="70">
        <f t="shared" si="26"/>
        <v>42891.627871980774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15108.492743362835</v>
      </c>
      <c r="P127" s="70">
        <f>Inputs!$J$27*$I$11</f>
        <v>15108.492743362835</v>
      </c>
      <c r="Q127" s="70">
        <f>Inputs!$J$27*$I$11</f>
        <v>15108.492743362835</v>
      </c>
      <c r="R127" s="70">
        <f>Inputs!$J$27*$I$11</f>
        <v>15108.492743362835</v>
      </c>
      <c r="S127" s="70">
        <f>Inputs!$J$27*$I$11</f>
        <v>15108.492743362835</v>
      </c>
      <c r="T127" s="70">
        <f>Inputs!$J$27*$I$11</f>
        <v>15108.492743362835</v>
      </c>
      <c r="U127" s="70">
        <f>Inputs!$J$27*$I$11</f>
        <v>15108.492743362835</v>
      </c>
      <c r="V127" s="70">
        <f>Inputs!$J$27*$I$11</f>
        <v>15108.492743362835</v>
      </c>
      <c r="W127" s="70">
        <f>Inputs!$J$27*$I$11</f>
        <v>15108.492743362835</v>
      </c>
      <c r="X127" s="70">
        <f>Inputs!$J$27*$I$11</f>
        <v>15108.492743362835</v>
      </c>
      <c r="Y127" s="70">
        <f>Inputs!$J$27*$I$11</f>
        <v>15108.492743362835</v>
      </c>
      <c r="Z127" s="70">
        <f>Inputs!$J$27*$I$11</f>
        <v>15108.492743362835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474931.52640449553</v>
      </c>
      <c r="P128" s="98">
        <f t="shared" ref="P128:Z128" si="27">SUM(P119:P127)</f>
        <v>529689.78645346523</v>
      </c>
      <c r="Q128" s="98">
        <f t="shared" si="27"/>
        <v>602222.45181398815</v>
      </c>
      <c r="R128" s="98">
        <f t="shared" si="27"/>
        <v>701440.72928463749</v>
      </c>
      <c r="S128" s="98">
        <f t="shared" si="27"/>
        <v>790370.65374119626</v>
      </c>
      <c r="T128" s="98">
        <f t="shared" si="27"/>
        <v>1018338.5789549307</v>
      </c>
      <c r="U128" s="98">
        <f t="shared" si="27"/>
        <v>1199712.9140137294</v>
      </c>
      <c r="V128" s="98">
        <f t="shared" si="27"/>
        <v>1292921.9535957074</v>
      </c>
      <c r="W128" s="98">
        <f t="shared" si="27"/>
        <v>1393743.0236644365</v>
      </c>
      <c r="X128" s="98">
        <f t="shared" si="27"/>
        <v>1502810.5163707365</v>
      </c>
      <c r="Y128" s="98">
        <f t="shared" si="27"/>
        <v>1620812.3634789269</v>
      </c>
      <c r="Z128" s="98">
        <f t="shared" si="27"/>
        <v>1748173.9047327188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46631.150442477883</v>
      </c>
      <c r="Q135" s="70">
        <f>Inputs!Q22*'Scenario D'!$I$10</f>
        <v>699467.25663716812</v>
      </c>
      <c r="R135" s="70">
        <f>Inputs!R22*'Scenario D'!$I$10</f>
        <v>2749372.6300884956</v>
      </c>
      <c r="S135" s="70">
        <f>Inputs!S22*'Scenario D'!$I$10</f>
        <v>0</v>
      </c>
      <c r="T135" s="70">
        <f>Inputs!T22*'Scenario D'!$I$10</f>
        <v>0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1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3823.7543362831861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134108.01625683228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9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474931.52640449553</v>
      </c>
      <c r="P147" s="70">
        <f t="shared" ref="P147:Z147" si="30">P128</f>
        <v>529689.78645346523</v>
      </c>
      <c r="Q147" s="70">
        <f t="shared" si="30"/>
        <v>602222.45181398815</v>
      </c>
      <c r="R147" s="70">
        <f t="shared" si="30"/>
        <v>701440.72928463749</v>
      </c>
      <c r="S147" s="70">
        <f t="shared" si="30"/>
        <v>790370.65374119626</v>
      </c>
      <c r="T147" s="70">
        <f t="shared" si="30"/>
        <v>1018338.5789549307</v>
      </c>
      <c r="U147" s="70">
        <f t="shared" si="30"/>
        <v>1199712.9140137294</v>
      </c>
      <c r="V147" s="70">
        <f t="shared" si="30"/>
        <v>1292921.9535957074</v>
      </c>
      <c r="W147" s="70">
        <f t="shared" si="30"/>
        <v>1393743.0236644365</v>
      </c>
      <c r="X147" s="70">
        <f t="shared" si="30"/>
        <v>1502810.5163707365</v>
      </c>
      <c r="Y147" s="70">
        <f t="shared" si="30"/>
        <v>1620812.3634789269</v>
      </c>
      <c r="Z147" s="70">
        <f t="shared" si="30"/>
        <v>1748173.9047327188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134108.01625683228</v>
      </c>
      <c r="P148" s="70">
        <f t="shared" ref="P148:Z148" si="31">$J$140</f>
        <v>134108.01625683228</v>
      </c>
      <c r="Q148" s="70">
        <f t="shared" si="31"/>
        <v>134108.01625683228</v>
      </c>
      <c r="R148" s="70">
        <f t="shared" si="31"/>
        <v>134108.01625683228</v>
      </c>
      <c r="S148" s="70">
        <f t="shared" si="31"/>
        <v>134108.01625683228</v>
      </c>
      <c r="T148" s="70">
        <f t="shared" si="31"/>
        <v>134108.01625683228</v>
      </c>
      <c r="U148" s="70">
        <f t="shared" si="31"/>
        <v>134108.01625683228</v>
      </c>
      <c r="V148" s="70">
        <f t="shared" si="31"/>
        <v>134108.01625683228</v>
      </c>
      <c r="W148" s="70">
        <f t="shared" si="31"/>
        <v>134108.01625683228</v>
      </c>
      <c r="X148" s="70">
        <f t="shared" si="31"/>
        <v>134108.01625683228</v>
      </c>
      <c r="Y148" s="70">
        <f t="shared" si="31"/>
        <v>134108.01625683228</v>
      </c>
      <c r="Z148" s="70">
        <f t="shared" si="31"/>
        <v>134108.01625683228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tabSelected="1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Powercor - Warrnambool Transformer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186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188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371109.01343961392</v>
      </c>
      <c r="P9" s="19">
        <f>'Base Case'!P147</f>
        <v>413543.60651666071</v>
      </c>
      <c r="Q9" s="19">
        <f>'Base Case'!Q147</f>
        <v>473337.90890922898</v>
      </c>
      <c r="R9" s="19">
        <f>'Base Case'!R147</f>
        <v>550999.36438932642</v>
      </c>
      <c r="S9" s="19">
        <f>'Base Case'!S147</f>
        <v>620527.8613480319</v>
      </c>
      <c r="T9" s="19">
        <f>'Base Case'!T147</f>
        <v>694964.21460576798</v>
      </c>
      <c r="U9" s="19">
        <f>'Base Case'!U147</f>
        <v>934428.58117029048</v>
      </c>
      <c r="V9" s="19">
        <f>'Base Case'!V147</f>
        <v>1006631.9842337902</v>
      </c>
      <c r="W9" s="19">
        <f>'Base Case'!W147</f>
        <v>1084731.9667259753</v>
      </c>
      <c r="X9" s="19">
        <f>'Base Case'!X147</f>
        <v>1169219.9538602293</v>
      </c>
      <c r="Y9" s="19">
        <f>'Base Case'!Y147</f>
        <v>1260628.8447489357</v>
      </c>
      <c r="Z9" s="19">
        <f>'Base Case'!Z147</f>
        <v>1359288.124355054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178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149008.9069520359</v>
      </c>
      <c r="P10" s="19">
        <f>'Base Case'!P148</f>
        <v>149008.9069520359</v>
      </c>
      <c r="Q10" s="19">
        <f>'Base Case'!Q148</f>
        <v>149008.9069520359</v>
      </c>
      <c r="R10" s="19">
        <f>'Base Case'!R148</f>
        <v>149008.9069520359</v>
      </c>
      <c r="S10" s="19">
        <f>'Base Case'!S148</f>
        <v>149008.9069520359</v>
      </c>
      <c r="T10" s="19">
        <f>'Base Case'!T148</f>
        <v>149008.9069520359</v>
      </c>
      <c r="U10" s="19">
        <f>'Base Case'!U148</f>
        <v>149008.9069520359</v>
      </c>
      <c r="V10" s="19">
        <f>'Base Case'!V148</f>
        <v>149008.9069520359</v>
      </c>
      <c r="W10" s="19">
        <f>'Base Case'!W148</f>
        <v>149008.9069520359</v>
      </c>
      <c r="X10" s="19">
        <f>'Base Case'!X148</f>
        <v>149008.9069520359</v>
      </c>
      <c r="Y10" s="19">
        <f>'Base Case'!Y148</f>
        <v>149008.9069520359</v>
      </c>
      <c r="Z10" s="19">
        <f>'Base Case'!Z148</f>
        <v>149008.9069520359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289643.00583127054</v>
      </c>
      <c r="P11" s="36">
        <f>'Scenario A'!P147</f>
        <v>322182.60681314406</v>
      </c>
      <c r="Q11" s="36">
        <f>'Scenario A'!Q147</f>
        <v>365395.33073313482</v>
      </c>
      <c r="R11" s="36">
        <f>'Scenario A'!R147</f>
        <v>424647.53748952085</v>
      </c>
      <c r="S11" s="36">
        <f>'Scenario A'!S147</f>
        <v>481001.6926073567</v>
      </c>
      <c r="T11" s="36">
        <f>'Scenario A'!T147</f>
        <v>538120.66913370776</v>
      </c>
      <c r="U11" s="36">
        <f>'Scenario A'!U147</f>
        <v>631021.53965775319</v>
      </c>
      <c r="V11" s="36">
        <f>'Scenario A'!V147</f>
        <v>679219.67105241877</v>
      </c>
      <c r="W11" s="36">
        <f>'Scenario A'!W147</f>
        <v>731353.96193575696</v>
      </c>
      <c r="X11" s="36">
        <f>'Scenario A'!X147</f>
        <v>787752.45469912852</v>
      </c>
      <c r="Y11" s="36">
        <f>'Scenario A'!Y147</f>
        <v>848770.87691698282</v>
      </c>
      <c r="Z11" s="36">
        <f>'Scenario A'!Z147</f>
        <v>914629.17057077005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163909.79764723947</v>
      </c>
      <c r="P12" s="36">
        <f>'Scenario A'!P148</f>
        <v>163909.79764723947</v>
      </c>
      <c r="Q12" s="36">
        <f>'Scenario A'!Q148</f>
        <v>163909.79764723947</v>
      </c>
      <c r="R12" s="36">
        <f>'Scenario A'!R148</f>
        <v>163909.79764723947</v>
      </c>
      <c r="S12" s="36">
        <f>'Scenario A'!S148</f>
        <v>163909.79764723947</v>
      </c>
      <c r="T12" s="36">
        <f>'Scenario A'!T148</f>
        <v>163909.79764723947</v>
      </c>
      <c r="U12" s="36">
        <f>'Scenario A'!U148</f>
        <v>163909.79764723947</v>
      </c>
      <c r="V12" s="36">
        <f>'Scenario A'!V148</f>
        <v>163909.79764723947</v>
      </c>
      <c r="W12" s="36">
        <f>'Scenario A'!W148</f>
        <v>163909.79764723947</v>
      </c>
      <c r="X12" s="36">
        <f>'Scenario A'!X148</f>
        <v>163909.79764723947</v>
      </c>
      <c r="Y12" s="36">
        <f>'Scenario A'!Y148</f>
        <v>163909.79764723947</v>
      </c>
      <c r="Z12" s="36">
        <f>'Scenario A'!Z148</f>
        <v>163909.79764723947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272491.4006004238</v>
      </c>
      <c r="P13" s="36">
        <f>'Scenario B'!P147</f>
        <v>303965.53057878895</v>
      </c>
      <c r="Q13" s="36">
        <f>'Scenario B'!Q147</f>
        <v>346026.65589764726</v>
      </c>
      <c r="R13" s="36">
        <f>'Scenario B'!R147</f>
        <v>404034.00443359371</v>
      </c>
      <c r="S13" s="36">
        <f>'Scenario B'!S147</f>
        <v>459042.31027821935</v>
      </c>
      <c r="T13" s="36">
        <f>'Scenario B'!T147</f>
        <v>514706.06477518269</v>
      </c>
      <c r="U13" s="36">
        <f>'Scenario B'!U147</f>
        <v>606033.25334014406</v>
      </c>
      <c r="V13" s="36">
        <f>'Scenario B'!V147</f>
        <v>652529.3902880114</v>
      </c>
      <c r="W13" s="36">
        <f>'Scenario B'!W147</f>
        <v>702822.69126149954</v>
      </c>
      <c r="X13" s="36">
        <f>'Scenario B'!X147</f>
        <v>757229.6146690998</v>
      </c>
      <c r="Y13" s="36">
        <f>'Scenario B'!Y147</f>
        <v>816093.32647055236</v>
      </c>
      <c r="Z13" s="36">
        <f>'Scenario B'!Z147</f>
        <v>879626.00195552467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134108.01625683228</v>
      </c>
      <c r="P14" s="36">
        <f>'Scenario B'!P148</f>
        <v>134108.01625683228</v>
      </c>
      <c r="Q14" s="36">
        <f>'Scenario B'!Q148</f>
        <v>134108.01625683228</v>
      </c>
      <c r="R14" s="36">
        <f>'Scenario B'!R148</f>
        <v>134108.01625683228</v>
      </c>
      <c r="S14" s="36">
        <f>'Scenario B'!S148</f>
        <v>134108.01625683228</v>
      </c>
      <c r="T14" s="36">
        <f>'Scenario B'!T148</f>
        <v>134108.01625683228</v>
      </c>
      <c r="U14" s="36">
        <f>'Scenario B'!U148</f>
        <v>134108.01625683228</v>
      </c>
      <c r="V14" s="36">
        <f>'Scenario B'!V148</f>
        <v>134108.01625683228</v>
      </c>
      <c r="W14" s="36">
        <f>'Scenario B'!W148</f>
        <v>134108.01625683228</v>
      </c>
      <c r="X14" s="36">
        <f>'Scenario B'!X148</f>
        <v>134108.01625683228</v>
      </c>
      <c r="Y14" s="36">
        <f>'Scenario B'!Y148</f>
        <v>134108.01625683228</v>
      </c>
      <c r="Z14" s="36">
        <f>'Scenario B'!Z148</f>
        <v>134108.01625683228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495148.50105733966</v>
      </c>
      <c r="P15" s="36">
        <f>'Scenario C'!P147</f>
        <v>551209.00344393076</v>
      </c>
      <c r="Q15" s="36">
        <f>'Scenario C'!Q147</f>
        <v>625149.17820583773</v>
      </c>
      <c r="R15" s="36">
        <f>'Scenario C'!R147</f>
        <v>725888.94905702421</v>
      </c>
      <c r="S15" s="36">
        <f>'Scenario C'!S147</f>
        <v>816463.80040306214</v>
      </c>
      <c r="T15" s="36">
        <f>'Scenario C'!T147</f>
        <v>1046210.3303193817</v>
      </c>
      <c r="U15" s="36">
        <f>'Scenario C'!U147</f>
        <v>1229508.054439283</v>
      </c>
      <c r="V15" s="36">
        <f>'Scenario C'!V147</f>
        <v>1324797.3094562367</v>
      </c>
      <c r="W15" s="36">
        <f>'Scenario C'!W147</f>
        <v>1427868.4783036716</v>
      </c>
      <c r="X15" s="36">
        <f>'Scenario C'!X147</f>
        <v>1539370.111333692</v>
      </c>
      <c r="Y15" s="36">
        <f>'Scenario C'!Y147</f>
        <v>1660005.4933952624</v>
      </c>
      <c r="Z15" s="36">
        <f>'Scenario C'!Z147</f>
        <v>1790209.4568553837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163909.79764723947</v>
      </c>
      <c r="P16" s="36">
        <f>'Scenario C'!P148</f>
        <v>163909.79764723947</v>
      </c>
      <c r="Q16" s="36">
        <f>'Scenario C'!Q148</f>
        <v>163909.79764723947</v>
      </c>
      <c r="R16" s="36">
        <f>'Scenario C'!R148</f>
        <v>163909.79764723947</v>
      </c>
      <c r="S16" s="36">
        <f>'Scenario C'!S148</f>
        <v>163909.79764723947</v>
      </c>
      <c r="T16" s="36">
        <f>'Scenario C'!T148</f>
        <v>163909.79764723947</v>
      </c>
      <c r="U16" s="36">
        <f>'Scenario C'!U148</f>
        <v>163909.79764723947</v>
      </c>
      <c r="V16" s="36">
        <f>'Scenario C'!V148</f>
        <v>163909.79764723947</v>
      </c>
      <c r="W16" s="36">
        <f>'Scenario C'!W148</f>
        <v>163909.79764723947</v>
      </c>
      <c r="X16" s="36">
        <f>'Scenario C'!X148</f>
        <v>163909.79764723947</v>
      </c>
      <c r="Y16" s="36">
        <f>'Scenario C'!Y148</f>
        <v>163909.79764723947</v>
      </c>
      <c r="Z16" s="36">
        <f>'Scenario C'!Z148</f>
        <v>163909.79764723947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474931.52640449553</v>
      </c>
      <c r="P17" s="36">
        <f>'Scenario D'!P147</f>
        <v>529689.78645346523</v>
      </c>
      <c r="Q17" s="36">
        <f>'Scenario D'!Q147</f>
        <v>602222.45181398815</v>
      </c>
      <c r="R17" s="36">
        <f>'Scenario D'!R147</f>
        <v>701440.72928463749</v>
      </c>
      <c r="S17" s="36">
        <f>'Scenario D'!S147</f>
        <v>790370.65374119626</v>
      </c>
      <c r="T17" s="36">
        <f>'Scenario D'!T147</f>
        <v>1018338.5789549307</v>
      </c>
      <c r="U17" s="36">
        <f>'Scenario D'!U147</f>
        <v>1199712.9140137294</v>
      </c>
      <c r="V17" s="36">
        <f>'Scenario D'!V147</f>
        <v>1292921.9535957074</v>
      </c>
      <c r="W17" s="36">
        <f>'Scenario D'!W147</f>
        <v>1393743.0236644365</v>
      </c>
      <c r="X17" s="36">
        <f>'Scenario D'!X147</f>
        <v>1502810.5163707365</v>
      </c>
      <c r="Y17" s="36">
        <f>'Scenario D'!Y147</f>
        <v>1620812.3634789269</v>
      </c>
      <c r="Z17" s="36">
        <f>'Scenario D'!Z147</f>
        <v>1748173.9047327188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134108.01625683228</v>
      </c>
      <c r="P18" s="36">
        <f>'Scenario D'!P148</f>
        <v>134108.01625683228</v>
      </c>
      <c r="Q18" s="36">
        <f>'Scenario D'!Q148</f>
        <v>134108.01625683228</v>
      </c>
      <c r="R18" s="36">
        <f>'Scenario D'!R148</f>
        <v>134108.01625683228</v>
      </c>
      <c r="S18" s="36">
        <f>'Scenario D'!S148</f>
        <v>134108.01625683228</v>
      </c>
      <c r="T18" s="36">
        <f>'Scenario D'!T148</f>
        <v>134108.01625683228</v>
      </c>
      <c r="U18" s="36">
        <f>'Scenario D'!U148</f>
        <v>134108.01625683228</v>
      </c>
      <c r="V18" s="36">
        <f>'Scenario D'!V148</f>
        <v>134108.01625683228</v>
      </c>
      <c r="W18" s="36">
        <f>'Scenario D'!W148</f>
        <v>134108.01625683228</v>
      </c>
      <c r="X18" s="36">
        <f>'Scenario D'!X148</f>
        <v>134108.01625683228</v>
      </c>
      <c r="Y18" s="36">
        <f>'Scenario D'!Y148</f>
        <v>134108.01625683228</v>
      </c>
      <c r="Z18" s="36">
        <f>'Scenario D'!Z148</f>
        <v>134108.01625683228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 t="s">
        <v>190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11" t="s">
        <v>149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ht="12.4" x14ac:dyDescent="0.3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2019-10-23T04:18:37Z</dcterms:created>
  <dcterms:modified xsi:type="dcterms:W3CDTF">2020-01-28T06:53:14Z</dcterms:modified>
</cp:coreProperties>
</file>