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990" yWindow="-120" windowWidth="19425" windowHeight="11025"/>
  </bookViews>
  <sheets>
    <sheet name="Output" sheetId="3" r:id="rId1"/>
    <sheet name="Calcs" sheetId="1" r:id="rId2"/>
    <sheet name="Inputs" sheetId="2" r:id="rId3"/>
  </sheets>
  <definedNames>
    <definedName name="Conv_2021">Inputs!$C$16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0" i="1" l="1"/>
  <c r="D30" i="1"/>
  <c r="H11" i="3" l="1"/>
  <c r="H9" i="3"/>
  <c r="E10" i="3"/>
  <c r="D10" i="3"/>
  <c r="C10" i="3"/>
  <c r="E9" i="3"/>
  <c r="D9" i="3"/>
  <c r="E8" i="3"/>
  <c r="D8" i="3"/>
  <c r="C9" i="3"/>
  <c r="C8" i="3"/>
  <c r="C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8" i="1"/>
  <c r="D9" i="2"/>
  <c r="E9" i="2"/>
  <c r="F9" i="2"/>
  <c r="G9" i="2"/>
  <c r="H9" i="2"/>
  <c r="I9" i="2"/>
  <c r="C16" i="2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A2" i="1"/>
  <c r="A2" i="3"/>
  <c r="A1" i="3"/>
  <c r="A1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G11" i="3"/>
  <c r="F11" i="3"/>
  <c r="J67" i="2"/>
  <c r="G29" i="1"/>
  <c r="J66" i="2"/>
  <c r="G28" i="1"/>
  <c r="K56" i="2"/>
  <c r="H18" i="1"/>
  <c r="K55" i="2"/>
  <c r="H17" i="1"/>
  <c r="J56" i="2"/>
  <c r="G18" i="1"/>
  <c r="K46" i="2"/>
  <c r="H8" i="1"/>
  <c r="K60" i="2"/>
  <c r="H22" i="1"/>
  <c r="J63" i="2"/>
  <c r="G25" i="1"/>
  <c r="K53" i="2"/>
  <c r="H15" i="1"/>
  <c r="J52" i="2"/>
  <c r="G14" i="1"/>
  <c r="K62" i="2"/>
  <c r="H24" i="1"/>
  <c r="K47" i="2"/>
  <c r="H9" i="1"/>
  <c r="K52" i="2"/>
  <c r="H14" i="1"/>
  <c r="J49" i="2"/>
  <c r="G11" i="1"/>
  <c r="K66" i="2"/>
  <c r="H28" i="1"/>
  <c r="K65" i="2"/>
  <c r="H27" i="1"/>
  <c r="J64" i="2"/>
  <c r="G26" i="1"/>
  <c r="J61" i="2"/>
  <c r="G23" i="1"/>
  <c r="K58" i="2"/>
  <c r="H20" i="1"/>
  <c r="C24" i="2"/>
  <c r="F19" i="1"/>
  <c r="K50" i="2"/>
  <c r="H12" i="1"/>
  <c r="J53" i="2"/>
  <c r="G15" i="1"/>
  <c r="J51" i="2"/>
  <c r="G13" i="1"/>
  <c r="J58" i="2"/>
  <c r="G20" i="1"/>
  <c r="J46" i="2"/>
  <c r="G8" i="1"/>
  <c r="K49" i="2"/>
  <c r="H11" i="1"/>
  <c r="J55" i="2"/>
  <c r="G17" i="1"/>
  <c r="K59" i="2"/>
  <c r="H21" i="1"/>
  <c r="J62" i="2"/>
  <c r="G24" i="1"/>
  <c r="J57" i="2"/>
  <c r="G19" i="1"/>
  <c r="K54" i="2"/>
  <c r="H16" i="1"/>
  <c r="J54" i="2"/>
  <c r="G16" i="1"/>
  <c r="J50" i="2"/>
  <c r="G12" i="1"/>
  <c r="K61" i="2"/>
  <c r="H23" i="1"/>
  <c r="K67" i="2"/>
  <c r="H29" i="1"/>
  <c r="J48" i="2"/>
  <c r="G10" i="1"/>
  <c r="K57" i="2"/>
  <c r="H19" i="1"/>
  <c r="J59" i="2"/>
  <c r="G21" i="1"/>
  <c r="J60" i="2"/>
  <c r="G22" i="1"/>
  <c r="K48" i="2"/>
  <c r="H10" i="1"/>
  <c r="J65" i="2"/>
  <c r="G27" i="1"/>
  <c r="K63" i="2"/>
  <c r="H25" i="1"/>
  <c r="K64" i="2"/>
  <c r="H26" i="1"/>
  <c r="K51" i="2"/>
  <c r="H13" i="1"/>
  <c r="J47" i="2"/>
  <c r="G9" i="1"/>
  <c r="F15" i="1"/>
  <c r="I15" i="1"/>
  <c r="I19" i="1"/>
  <c r="F13" i="1"/>
  <c r="I13" i="1"/>
  <c r="F14" i="1"/>
  <c r="I14" i="1"/>
  <c r="F9" i="1"/>
  <c r="I9" i="1"/>
  <c r="F24" i="1"/>
  <c r="I24" i="1"/>
  <c r="F29" i="1"/>
  <c r="I29" i="1"/>
  <c r="F26" i="1"/>
  <c r="I26" i="1"/>
  <c r="F18" i="1"/>
  <c r="I18" i="1"/>
  <c r="F8" i="1"/>
  <c r="F22" i="1"/>
  <c r="I22" i="1"/>
  <c r="F21" i="1"/>
  <c r="F16" i="1"/>
  <c r="F12" i="1"/>
  <c r="I12" i="1"/>
  <c r="F28" i="1"/>
  <c r="I28" i="1"/>
  <c r="F10" i="1"/>
  <c r="I10" i="1"/>
  <c r="F17" i="1"/>
  <c r="I17" i="1"/>
  <c r="F23" i="1"/>
  <c r="I23" i="1"/>
  <c r="F25" i="1"/>
  <c r="I25" i="1"/>
  <c r="F27" i="1"/>
  <c r="I27" i="1"/>
  <c r="F11" i="1"/>
  <c r="I11" i="1"/>
  <c r="F20" i="1"/>
  <c r="I20" i="1"/>
  <c r="H30" i="1"/>
  <c r="G30" i="1"/>
  <c r="I16" i="1"/>
  <c r="D11" i="3"/>
  <c r="H8" i="3"/>
  <c r="I8" i="1"/>
  <c r="I21" i="1"/>
  <c r="E11" i="3"/>
  <c r="H10" i="3"/>
  <c r="C11" i="3"/>
  <c r="I30" i="1"/>
</calcChain>
</file>

<file path=xl/sharedStrings.xml><?xml version="1.0" encoding="utf-8"?>
<sst xmlns="http://schemas.openxmlformats.org/spreadsheetml/2006/main" count="166" uniqueCount="84">
  <si>
    <t>Tranche</t>
  </si>
  <si>
    <t>ZSS</t>
  </si>
  <si>
    <t>T1</t>
  </si>
  <si>
    <t>CDN</t>
  </si>
  <si>
    <t>CLC</t>
  </si>
  <si>
    <t>CMN</t>
  </si>
  <si>
    <t>GSB</t>
  </si>
  <si>
    <t>MRO</t>
  </si>
  <si>
    <t>WIN</t>
  </si>
  <si>
    <t>WND</t>
  </si>
  <si>
    <t>T2</t>
  </si>
  <si>
    <t>BAN</t>
  </si>
  <si>
    <t>BAS</t>
  </si>
  <si>
    <t>BET</t>
  </si>
  <si>
    <t>BGO</t>
  </si>
  <si>
    <t>CTN</t>
  </si>
  <si>
    <t>EHK</t>
  </si>
  <si>
    <t>T3</t>
  </si>
  <si>
    <t>ART</t>
  </si>
  <si>
    <t>CRO</t>
  </si>
  <si>
    <t>GL</t>
  </si>
  <si>
    <t>HTN</t>
  </si>
  <si>
    <t>KRT</t>
  </si>
  <si>
    <t>MBN</t>
  </si>
  <si>
    <t>STL</t>
  </si>
  <si>
    <t>TRG</t>
  </si>
  <si>
    <t>WPD</t>
  </si>
  <si>
    <t>Total</t>
  </si>
  <si>
    <t>Live Linework</t>
  </si>
  <si>
    <t>Sub Tester</t>
  </si>
  <si>
    <t>Labour Location</t>
  </si>
  <si>
    <t>Colac</t>
  </si>
  <si>
    <t>Bendigo</t>
  </si>
  <si>
    <t>Ballarat</t>
  </si>
  <si>
    <t>Horsham</t>
  </si>
  <si>
    <t>Geelong</t>
  </si>
  <si>
    <t>Warrnambool</t>
  </si>
  <si>
    <t>Mildura</t>
  </si>
  <si>
    <t>Subtester</t>
  </si>
  <si>
    <t>Total Material Cost</t>
  </si>
  <si>
    <t>Total Cost</t>
  </si>
  <si>
    <t>Materials</t>
  </si>
  <si>
    <t>2021/22</t>
  </si>
  <si>
    <t>2022/23</t>
  </si>
  <si>
    <t>2023/24</t>
  </si>
  <si>
    <t>2024/25</t>
  </si>
  <si>
    <t>2025/26</t>
  </si>
  <si>
    <t>Total REFCL smart ACR replacement program costs</t>
  </si>
  <si>
    <t>Powercor</t>
  </si>
  <si>
    <t>Mitigating REFCL reliability impacts cost model</t>
  </si>
  <si>
    <t xml:space="preserve">ACR volumes </t>
  </si>
  <si>
    <t>ACRs volumes</t>
  </si>
  <si>
    <t>(Total on ZSS)</t>
  </si>
  <si>
    <t>(Replaced in CP3)</t>
  </si>
  <si>
    <t>Labour Cost ($)</t>
  </si>
  <si>
    <t>Forecast direct capex ($m, 2021)</t>
  </si>
  <si>
    <t>Labour cost ($2021)</t>
  </si>
  <si>
    <t>Cost inputs are in:</t>
  </si>
  <si>
    <t>2020/21</t>
  </si>
  <si>
    <t>Actual</t>
  </si>
  <si>
    <t>Forecast</t>
  </si>
  <si>
    <t>Annual CPI - 12 months lagged</t>
  </si>
  <si>
    <t>To:</t>
  </si>
  <si>
    <t>Multiply by:</t>
  </si>
  <si>
    <t>Quantity replaced</t>
  </si>
  <si>
    <t>Material unit rates:</t>
  </si>
  <si>
    <t>($, 2015)</t>
  </si>
  <si>
    <t>($, 2021)</t>
  </si>
  <si>
    <t>dollars (end of year, from T3 CPA)</t>
  </si>
  <si>
    <t>To convert from actual:</t>
  </si>
  <si>
    <t>dollars (end of calendar year)</t>
  </si>
  <si>
    <t>Cumulative CPI from 2015 (end of year)</t>
  </si>
  <si>
    <t>dollars (end of financial year)</t>
  </si>
  <si>
    <t>Labour cost ($/ph, 2015)</t>
  </si>
  <si>
    <t>Live Lineworker</t>
  </si>
  <si>
    <t>Inflation</t>
  </si>
  <si>
    <t>Dec 2015</t>
  </si>
  <si>
    <t>Labour rates</t>
  </si>
  <si>
    <t>Volumes and labour rates applied</t>
  </si>
  <si>
    <t>Live lineworker</t>
  </si>
  <si>
    <t>Sub tester</t>
  </si>
  <si>
    <t>Hours</t>
  </si>
  <si>
    <t>Year installed</t>
  </si>
  <si>
    <t>Installed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</si>
</sst>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$&quot;#,##0;[Red]\-&quot;$&quot;#,##0"/>
    <numFmt numFmtId="44" formatCode="_-&quot;$&quot;* #,##0.00_-;\-&quot;$&quot;* #,##0.00_-;_-&quot;$&quot;* &quot;-&quot;??_-;_-@_-"/>
    <numFmt numFmtId="164" formatCode="_-&quot;$&quot;* #,##0_-;\-&quot;$&quot;* #,##0_-;_-&quot;$&quot;* &quot;-&quot;??_-;_-@_-"/>
    <numFmt numFmtId="165" formatCode="_-&quot;$&quot;\ #,##0.00_-;\-&quot;$&quot;\ #,##0.00_-;_-&quot;$&quot;\ &quot;-&quot;??_-;_-@_-"/>
    <numFmt numFmtId="166" formatCode="_-&quot;$&quot;\ #,##0_-;\-&quot;$&quot;\ #,##0_-;_-&quot;$&quot;\ &quot;-&quot;??_-;_-@_-"/>
    <numFmt numFmtId="167" formatCode="0.0;[Red]\ \ \-0.0;\ &quot;-&quot;"/>
    <numFmt numFmtId="168" formatCode="&quot;Convert to December&quot;\ ####"/>
    <numFmt numFmtId="169" formatCode="0.000000"/>
    <numFmt numFmtId="170" formatCode="0.00000000000000000"/>
  </numFmts>
  <fonts count="21" x14ac:knownFonts="1"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Verdana"/>
      <family val="2"/>
    </font>
    <font>
      <b/>
      <sz val="10"/>
      <color theme="0"/>
      <name val="Calibri"/>
      <family val="2"/>
    </font>
    <font>
      <b/>
      <sz val="10"/>
      <color theme="1"/>
      <name val="Calibri"/>
      <family val="2"/>
    </font>
    <font>
      <sz val="10"/>
      <color theme="0"/>
      <name val="Calibri"/>
      <family val="2"/>
    </font>
    <font>
      <b/>
      <sz val="12"/>
      <color theme="0"/>
      <name val="Calibri"/>
      <family val="2"/>
    </font>
    <font>
      <i/>
      <sz val="10"/>
      <color theme="1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0"/>
      <color rgb="FF0000FF"/>
      <name val="Calibri"/>
      <family val="2"/>
    </font>
    <font>
      <sz val="11"/>
      <color rgb="FF000000"/>
      <name val="Calibri"/>
      <family val="2"/>
    </font>
    <font>
      <b/>
      <sz val="10"/>
      <color rgb="FFFFFFFF"/>
      <name val="Arial"/>
      <family val="2"/>
    </font>
    <font>
      <i/>
      <sz val="10"/>
      <name val="Calibri"/>
      <family val="2"/>
    </font>
    <font>
      <i/>
      <sz val="10"/>
      <color rgb="FF0000FF"/>
      <name val="Calibri"/>
      <family val="2"/>
    </font>
    <font>
      <sz val="10"/>
      <color rgb="FF0066FF"/>
      <name val="Calibri"/>
      <family val="2"/>
    </font>
    <font>
      <i/>
      <sz val="10"/>
      <color theme="1" tint="0.499984740745262"/>
      <name val="Calibri"/>
      <family val="2"/>
    </font>
    <font>
      <sz val="10"/>
      <color theme="0" tint="-0.249977111117893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1" fillId="0" borderId="0"/>
    <xf numFmtId="0" fontId="14" fillId="0" borderId="0"/>
  </cellStyleXfs>
  <cellXfs count="78">
    <xf numFmtId="0" fontId="0" fillId="0" borderId="0" xfId="0"/>
    <xf numFmtId="0" fontId="0" fillId="0" borderId="0" xfId="0" applyFont="1"/>
    <xf numFmtId="0" fontId="0" fillId="0" borderId="0" xfId="0" applyFill="1"/>
    <xf numFmtId="0" fontId="1" fillId="0" borderId="0" xfId="0" applyFont="1"/>
    <xf numFmtId="0" fontId="7" fillId="0" borderId="0" xfId="0" applyFont="1"/>
    <xf numFmtId="2" fontId="1" fillId="0" borderId="0" xfId="1" applyNumberFormat="1" applyFont="1" applyFill="1" applyBorder="1" applyAlignment="1">
      <alignment horizontal="left" vertical="center"/>
    </xf>
    <xf numFmtId="0" fontId="6" fillId="3" borderId="0" xfId="0" applyFont="1" applyFill="1"/>
    <xf numFmtId="0" fontId="1" fillId="3" borderId="0" xfId="0" applyFont="1" applyFill="1"/>
    <xf numFmtId="0" fontId="3" fillId="3" borderId="0" xfId="0" applyFont="1" applyFill="1"/>
    <xf numFmtId="0" fontId="5" fillId="0" borderId="0" xfId="0" applyFont="1" applyFill="1"/>
    <xf numFmtId="0" fontId="1" fillId="0" borderId="0" xfId="0" applyFont="1" applyFill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164" fontId="1" fillId="0" borderId="0" xfId="0" applyNumberFormat="1" applyFont="1" applyFill="1" applyBorder="1"/>
    <xf numFmtId="165" fontId="1" fillId="0" borderId="0" xfId="1" applyNumberFormat="1" applyFont="1" applyFill="1" applyBorder="1"/>
    <xf numFmtId="166" fontId="1" fillId="0" borderId="0" xfId="1" applyNumberFormat="1" applyFont="1" applyFill="1" applyBorder="1"/>
    <xf numFmtId="166" fontId="1" fillId="0" borderId="0" xfId="0" applyNumberFormat="1" applyFont="1" applyFill="1" applyBorder="1"/>
    <xf numFmtId="0" fontId="8" fillId="5" borderId="0" xfId="0" applyFont="1" applyFill="1" applyBorder="1" applyAlignment="1">
      <alignment horizontal="center" vertical="center"/>
    </xf>
    <xf numFmtId="0" fontId="8" fillId="5" borderId="0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Continuous"/>
    </xf>
    <xf numFmtId="0" fontId="8" fillId="5" borderId="5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center"/>
    </xf>
    <xf numFmtId="166" fontId="8" fillId="0" borderId="2" xfId="0" applyNumberFormat="1" applyFont="1" applyFill="1" applyBorder="1"/>
    <xf numFmtId="0" fontId="8" fillId="5" borderId="4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left"/>
    </xf>
    <xf numFmtId="0" fontId="10" fillId="0" borderId="0" xfId="0" applyFont="1"/>
    <xf numFmtId="0" fontId="4" fillId="0" borderId="0" xfId="0" applyFont="1" applyBorder="1"/>
    <xf numFmtId="0" fontId="8" fillId="5" borderId="6" xfId="0" applyFont="1" applyFill="1" applyBorder="1" applyAlignment="1">
      <alignment horizontal="center" vertical="center"/>
    </xf>
    <xf numFmtId="0" fontId="4" fillId="0" borderId="2" xfId="0" applyFont="1" applyBorder="1"/>
    <xf numFmtId="167" fontId="1" fillId="0" borderId="0" xfId="1" applyNumberFormat="1" applyFont="1" applyFill="1" applyBorder="1" applyAlignment="1">
      <alignment horizontal="center" vertical="center"/>
    </xf>
    <xf numFmtId="167" fontId="1" fillId="4" borderId="0" xfId="1" applyNumberFormat="1" applyFont="1" applyFill="1" applyBorder="1" applyAlignment="1">
      <alignment horizontal="center" vertical="center"/>
    </xf>
    <xf numFmtId="167" fontId="1" fillId="0" borderId="6" xfId="0" applyNumberFormat="1" applyFont="1" applyBorder="1" applyAlignment="1">
      <alignment horizontal="center" vertical="center"/>
    </xf>
    <xf numFmtId="167" fontId="4" fillId="0" borderId="2" xfId="1" applyNumberFormat="1" applyFont="1" applyFill="1" applyBorder="1" applyAlignment="1">
      <alignment horizontal="center" vertical="center"/>
    </xf>
    <xf numFmtId="0" fontId="12" fillId="6" borderId="0" xfId="3" applyFont="1" applyFill="1" applyBorder="1" applyProtection="1"/>
    <xf numFmtId="0" fontId="10" fillId="0" borderId="0" xfId="0" applyFont="1" applyAlignment="1">
      <alignment horizontal="left"/>
    </xf>
    <xf numFmtId="1" fontId="13" fillId="2" borderId="0" xfId="2" applyNumberFormat="1" applyFont="1" applyFill="1" applyAlignment="1">
      <alignment horizontal="right"/>
    </xf>
    <xf numFmtId="0" fontId="15" fillId="0" borderId="0" xfId="4" applyFont="1" applyFill="1" applyAlignment="1">
      <alignment horizontal="left" vertical="center"/>
    </xf>
    <xf numFmtId="0" fontId="4" fillId="0" borderId="0" xfId="0" applyFont="1" applyBorder="1" applyAlignment="1">
      <alignment horizontal="right"/>
    </xf>
    <xf numFmtId="0" fontId="0" fillId="0" borderId="7" xfId="0" applyBorder="1"/>
    <xf numFmtId="0" fontId="17" fillId="0" borderId="7" xfId="0" applyFont="1" applyBorder="1" applyAlignment="1">
      <alignment horizontal="right"/>
    </xf>
    <xf numFmtId="0" fontId="18" fillId="0" borderId="0" xfId="0" applyFont="1"/>
    <xf numFmtId="10" fontId="13" fillId="2" borderId="0" xfId="2" applyNumberFormat="1" applyFont="1" applyFill="1"/>
    <xf numFmtId="168" fontId="16" fillId="0" borderId="0" xfId="0" applyNumberFormat="1" applyFont="1"/>
    <xf numFmtId="168" fontId="19" fillId="0" borderId="0" xfId="0" applyNumberFormat="1" applyFont="1"/>
    <xf numFmtId="1" fontId="13" fillId="2" borderId="0" xfId="2" applyNumberFormat="1" applyFont="1" applyFill="1"/>
    <xf numFmtId="0" fontId="16" fillId="0" borderId="0" xfId="0" applyFont="1"/>
    <xf numFmtId="0" fontId="19" fillId="0" borderId="0" xfId="0" applyFont="1"/>
    <xf numFmtId="1" fontId="9" fillId="0" borderId="1" xfId="2" applyNumberFormat="1" applyFont="1" applyFill="1" applyBorder="1" applyAlignment="1">
      <alignment horizontal="right"/>
    </xf>
    <xf numFmtId="169" fontId="10" fillId="0" borderId="0" xfId="0" applyNumberFormat="1" applyFont="1"/>
    <xf numFmtId="170" fontId="10" fillId="0" borderId="0" xfId="0" applyNumberFormat="1" applyFont="1"/>
    <xf numFmtId="170" fontId="0" fillId="0" borderId="0" xfId="0" applyNumberFormat="1" applyFont="1"/>
    <xf numFmtId="0" fontId="1" fillId="4" borderId="0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left" vertical="top"/>
    </xf>
    <xf numFmtId="0" fontId="8" fillId="5" borderId="5" xfId="0" applyFont="1" applyFill="1" applyBorder="1" applyAlignment="1">
      <alignment horizontal="center" vertical="top" wrapText="1"/>
    </xf>
    <xf numFmtId="0" fontId="8" fillId="5" borderId="8" xfId="0" applyFont="1" applyFill="1" applyBorder="1" applyAlignment="1">
      <alignment horizontal="left" vertical="top"/>
    </xf>
    <xf numFmtId="0" fontId="8" fillId="5" borderId="9" xfId="0" applyFont="1" applyFill="1" applyBorder="1" applyAlignment="1">
      <alignment horizontal="center" vertical="top" wrapText="1"/>
    </xf>
    <xf numFmtId="0" fontId="8" fillId="5" borderId="11" xfId="0" applyFont="1" applyFill="1" applyBorder="1" applyAlignment="1">
      <alignment horizontal="center" vertical="top"/>
    </xf>
    <xf numFmtId="0" fontId="8" fillId="5" borderId="10" xfId="0" applyFont="1" applyFill="1" applyBorder="1" applyAlignment="1">
      <alignment horizontal="center" vertical="top"/>
    </xf>
    <xf numFmtId="166" fontId="13" fillId="2" borderId="1" xfId="1" applyNumberFormat="1" applyFont="1" applyFill="1" applyBorder="1" applyAlignment="1">
      <alignment horizontal="right"/>
    </xf>
    <xf numFmtId="6" fontId="1" fillId="0" borderId="0" xfId="0" applyNumberFormat="1" applyFont="1"/>
    <xf numFmtId="166" fontId="9" fillId="0" borderId="1" xfId="2" applyNumberFormat="1" applyFont="1" applyFill="1" applyBorder="1" applyAlignment="1">
      <alignment horizontal="right"/>
    </xf>
    <xf numFmtId="0" fontId="13" fillId="2" borderId="0" xfId="0" applyFont="1" applyFill="1" applyBorder="1" applyAlignment="1">
      <alignment horizontal="center"/>
    </xf>
    <xf numFmtId="0" fontId="19" fillId="0" borderId="7" xfId="0" applyFont="1" applyBorder="1" applyAlignment="1">
      <alignment horizontal="right"/>
    </xf>
    <xf numFmtId="0" fontId="8" fillId="5" borderId="12" xfId="0" applyFont="1" applyFill="1" applyBorder="1" applyAlignment="1">
      <alignment horizontal="center" vertical="top"/>
    </xf>
    <xf numFmtId="0" fontId="8" fillId="5" borderId="13" xfId="0" applyFont="1" applyFill="1" applyBorder="1" applyAlignment="1">
      <alignment horizontal="center" vertical="top"/>
    </xf>
    <xf numFmtId="165" fontId="13" fillId="2" borderId="0" xfId="1" applyNumberFormat="1" applyFont="1" applyFill="1" applyBorder="1" applyAlignment="1">
      <alignment horizontal="right"/>
    </xf>
    <xf numFmtId="0" fontId="4" fillId="0" borderId="14" xfId="0" applyFont="1" applyBorder="1"/>
    <xf numFmtId="0" fontId="4" fillId="0" borderId="0" xfId="0" quotePrefix="1" applyFont="1" applyBorder="1" applyAlignment="1">
      <alignment horizontal="right"/>
    </xf>
    <xf numFmtId="0" fontId="13" fillId="2" borderId="4" xfId="0" applyFont="1" applyFill="1" applyBorder="1" applyAlignment="1">
      <alignment horizontal="left"/>
    </xf>
    <xf numFmtId="165" fontId="13" fillId="2" borderId="5" xfId="1" applyNumberFormat="1" applyFont="1" applyFill="1" applyBorder="1" applyAlignment="1">
      <alignment horizontal="right"/>
    </xf>
    <xf numFmtId="0" fontId="13" fillId="2" borderId="4" xfId="0" applyFont="1" applyFill="1" applyBorder="1" applyAlignment="1">
      <alignment horizontal="center"/>
    </xf>
    <xf numFmtId="0" fontId="8" fillId="5" borderId="0" xfId="0" applyFont="1" applyFill="1" applyBorder="1" applyAlignment="1">
      <alignment horizontal="left" vertical="center"/>
    </xf>
    <xf numFmtId="0" fontId="8" fillId="5" borderId="0" xfId="0" applyFont="1" applyFill="1" applyBorder="1" applyAlignment="1">
      <alignment horizontal="centerContinuous" vertical="top"/>
    </xf>
    <xf numFmtId="3" fontId="13" fillId="2" borderId="4" xfId="0" applyNumberFormat="1" applyFont="1" applyFill="1" applyBorder="1" applyAlignment="1">
      <alignment horizontal="right"/>
    </xf>
    <xf numFmtId="0" fontId="20" fillId="0" borderId="0" xfId="0" applyFont="1" applyAlignment="1">
      <alignment horizontal="center"/>
    </xf>
    <xf numFmtId="0" fontId="8" fillId="5" borderId="4" xfId="0" applyFont="1" applyFill="1" applyBorder="1" applyAlignment="1">
      <alignment horizontal="center" vertical="top" wrapText="1"/>
    </xf>
  </cellXfs>
  <cellStyles count="5">
    <cellStyle name="Currency" xfId="1" builtinId="4"/>
    <cellStyle name="Normal" xfId="0" builtinId="0"/>
    <cellStyle name="Normal 3 2" xfId="3"/>
    <cellStyle name="Normal 5" xfId="4"/>
    <cellStyle name="Percent" xfId="2" builtinId="5"/>
  </cellStyles>
  <dxfs count="0"/>
  <tableStyles count="0" defaultTableStyle="TableStyleMedium2" defaultPivotStyle="PivotStyleLight16"/>
  <colors>
    <mruColors>
      <color rgb="FF0000FF"/>
      <color rgb="FFFF6699"/>
      <color rgb="FF366092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0.59999389629810485"/>
  </sheetPr>
  <dimension ref="A1:H12"/>
  <sheetViews>
    <sheetView showGridLines="0" tabSelected="1" zoomScale="85" zoomScaleNormal="85" workbookViewId="0">
      <selection activeCell="H14" sqref="H14"/>
    </sheetView>
  </sheetViews>
  <sheetFormatPr defaultColWidth="9" defaultRowHeight="12.75" x14ac:dyDescent="0.2"/>
  <cols>
    <col min="1" max="1" width="2.625" style="3" customWidth="1"/>
    <col min="2" max="2" width="26" style="3" customWidth="1"/>
    <col min="3" max="16384" width="9" style="3"/>
  </cols>
  <sheetData>
    <row r="1" spans="1:8" s="7" customFormat="1" ht="14.45" customHeight="1" x14ac:dyDescent="0.25">
      <c r="A1" s="6" t="str">
        <f>Inputs!A1</f>
        <v>Powercor</v>
      </c>
    </row>
    <row r="2" spans="1:8" s="7" customFormat="1" ht="14.45" customHeight="1" x14ac:dyDescent="0.2">
      <c r="A2" s="8" t="str">
        <f>Inputs!A2</f>
        <v>Mitigating REFCL reliability impacts cost model</v>
      </c>
    </row>
    <row r="3" spans="1:8" ht="14.45" customHeight="1" x14ac:dyDescent="0.2"/>
    <row r="4" spans="1:8" ht="14.45" customHeight="1" x14ac:dyDescent="0.2"/>
    <row r="5" spans="1:8" ht="12.75" customHeight="1" x14ac:dyDescent="0.2">
      <c r="B5" s="68" t="s">
        <v>47</v>
      </c>
      <c r="C5" s="68"/>
      <c r="D5" s="68"/>
      <c r="E5" s="68"/>
      <c r="F5" s="68"/>
      <c r="G5" s="68"/>
      <c r="H5" s="68"/>
    </row>
    <row r="6" spans="1:8" ht="12.75" customHeight="1" x14ac:dyDescent="0.2">
      <c r="B6" s="35"/>
      <c r="C6" s="76"/>
      <c r="D6" s="76"/>
      <c r="E6" s="76"/>
    </row>
    <row r="7" spans="1:8" ht="12.75" customHeight="1" x14ac:dyDescent="0.2">
      <c r="B7" s="73" t="s">
        <v>55</v>
      </c>
      <c r="C7" s="17" t="s">
        <v>42</v>
      </c>
      <c r="D7" s="17" t="s">
        <v>43</v>
      </c>
      <c r="E7" s="17" t="s">
        <v>44</v>
      </c>
      <c r="F7" s="17" t="s">
        <v>45</v>
      </c>
      <c r="G7" s="17" t="s">
        <v>46</v>
      </c>
      <c r="H7" s="29" t="s">
        <v>27</v>
      </c>
    </row>
    <row r="8" spans="1:8" ht="12.75" customHeight="1" x14ac:dyDescent="0.2">
      <c r="B8" s="5" t="s">
        <v>2</v>
      </c>
      <c r="C8" s="31">
        <f>SUMIFS(Calcs!$I$8:$I$29, Calcs!$C$8:$C$29, $B8, Calcs!$E$8:$E$29, C$7)/1000000</f>
        <v>3.4336493300212392</v>
      </c>
      <c r="D8" s="31">
        <f>SUMIFS(Calcs!$I$8:$I$29, Calcs!$C$8:$C$29, $B8, Calcs!$E$8:$E$29, D$7)/1000000</f>
        <v>0</v>
      </c>
      <c r="E8" s="31">
        <f>SUMIFS(Calcs!$I$8:$I$29, Calcs!$C$8:$C$29, $B8, Calcs!$E$8:$E$29, E$7)/1000000</f>
        <v>0</v>
      </c>
      <c r="F8" s="32"/>
      <c r="G8" s="32"/>
      <c r="H8" s="33">
        <f>SUM(C8:G8)</f>
        <v>3.4336493300212392</v>
      </c>
    </row>
    <row r="9" spans="1:8" ht="12.75" customHeight="1" x14ac:dyDescent="0.2">
      <c r="B9" s="5" t="s">
        <v>10</v>
      </c>
      <c r="C9" s="31">
        <f>SUMIFS(Calcs!$I$8:$I$29, Calcs!$C$8:$C$29, $B9, Calcs!$E$8:$E$29, C$7)/1000000</f>
        <v>5.2865850587965495</v>
      </c>
      <c r="D9" s="31">
        <f>SUMIFS(Calcs!$I$8:$I$29, Calcs!$C$8:$C$29, $B9, Calcs!$E$8:$E$29, D$7)/1000000</f>
        <v>0</v>
      </c>
      <c r="E9" s="31">
        <f>SUMIFS(Calcs!$I$8:$I$29, Calcs!$C$8:$C$29, $B9, Calcs!$E$8:$E$29, E$7)/1000000</f>
        <v>0</v>
      </c>
      <c r="F9" s="32"/>
      <c r="G9" s="32"/>
      <c r="H9" s="33">
        <f>SUM(C9:G9)</f>
        <v>5.2865850587965495</v>
      </c>
    </row>
    <row r="10" spans="1:8" ht="12.75" customHeight="1" x14ac:dyDescent="0.2">
      <c r="B10" s="5" t="s">
        <v>17</v>
      </c>
      <c r="C10" s="31">
        <f>SUMIFS(Calcs!$I$8:$I$29, Calcs!$C$8:$C$29, $B10, Calcs!$E$8:$E$29, C$7)/1000000</f>
        <v>0</v>
      </c>
      <c r="D10" s="31">
        <f>SUMIFS(Calcs!$I$8:$I$29, Calcs!$C$8:$C$29, $B10, Calcs!$E$8:$E$29, D$7)/1000000</f>
        <v>4.2405845287941375</v>
      </c>
      <c r="E10" s="31">
        <f>SUMIFS(Calcs!$I$8:$I$29, Calcs!$C$8:$C$29, $B10, Calcs!$E$8:$E$29, E$7)/1000000</f>
        <v>0</v>
      </c>
      <c r="F10" s="32"/>
      <c r="G10" s="32"/>
      <c r="H10" s="33">
        <f>SUM(C10:G10)</f>
        <v>4.2405845287941375</v>
      </c>
    </row>
    <row r="11" spans="1:8" ht="12.75" customHeight="1" x14ac:dyDescent="0.2">
      <c r="B11" s="30" t="s">
        <v>40</v>
      </c>
      <c r="C11" s="34">
        <f>SUM(C8:C10)</f>
        <v>8.7202343888177882</v>
      </c>
      <c r="D11" s="34">
        <f>SUM(D8:D10)</f>
        <v>4.2405845287941375</v>
      </c>
      <c r="E11" s="34">
        <f>SUM(E8:E10)</f>
        <v>0</v>
      </c>
      <c r="F11" s="34">
        <f t="shared" ref="F11:H11" si="0">SUM(F8:F10)</f>
        <v>0</v>
      </c>
      <c r="G11" s="34">
        <f t="shared" si="0"/>
        <v>0</v>
      </c>
      <c r="H11" s="34">
        <f t="shared" si="0"/>
        <v>12.960818917611926</v>
      </c>
    </row>
    <row r="12" spans="1:8" ht="12.75" customHeight="1" x14ac:dyDescent="0.2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0"/>
  </sheetPr>
  <dimension ref="A1:I578"/>
  <sheetViews>
    <sheetView showGridLines="0" zoomScale="85" zoomScaleNormal="85" workbookViewId="0">
      <selection activeCell="F31" sqref="F31"/>
    </sheetView>
  </sheetViews>
  <sheetFormatPr defaultColWidth="9" defaultRowHeight="12.75" x14ac:dyDescent="0.2"/>
  <cols>
    <col min="1" max="1" width="3.125" style="3" customWidth="1"/>
    <col min="2" max="2" width="11.375" style="3" bestFit="1" customWidth="1"/>
    <col min="3" max="3" width="11.375" style="3" customWidth="1"/>
    <col min="4" max="4" width="15.875" style="3" customWidth="1"/>
    <col min="5" max="6" width="17.375" style="3" customWidth="1"/>
    <col min="7" max="7" width="17.875" style="3" customWidth="1"/>
    <col min="8" max="8" width="18.375" style="3" customWidth="1"/>
    <col min="9" max="9" width="11.375" style="3" bestFit="1" customWidth="1"/>
    <col min="10" max="10" width="13.125" style="3" customWidth="1"/>
    <col min="11" max="11" width="16" style="3" customWidth="1"/>
    <col min="12" max="12" width="14.5" style="3" customWidth="1"/>
    <col min="13" max="13" width="10.5" style="3" customWidth="1"/>
    <col min="14" max="14" width="15" style="3" bestFit="1" customWidth="1"/>
    <col min="15" max="16384" width="9" style="3"/>
  </cols>
  <sheetData>
    <row r="1" spans="1:9" customFormat="1" ht="16.5" customHeight="1" x14ac:dyDescent="0.25">
      <c r="A1" s="6" t="str">
        <f>Inputs!A1</f>
        <v>Powercor</v>
      </c>
      <c r="B1" s="7"/>
      <c r="C1" s="7"/>
      <c r="D1" s="7"/>
      <c r="E1" s="7"/>
      <c r="F1" s="7"/>
      <c r="G1" s="7"/>
      <c r="H1" s="7"/>
      <c r="I1" s="7"/>
    </row>
    <row r="2" spans="1:9" customFormat="1" ht="12.75" customHeight="1" x14ac:dyDescent="0.2">
      <c r="A2" s="8" t="str">
        <f>Inputs!A2</f>
        <v>Mitigating REFCL reliability impacts cost model</v>
      </c>
      <c r="B2" s="7"/>
      <c r="C2" s="7"/>
      <c r="D2" s="7"/>
      <c r="E2" s="7"/>
      <c r="F2" s="7"/>
      <c r="G2" s="7"/>
      <c r="H2" s="7"/>
      <c r="I2" s="7"/>
    </row>
    <row r="3" spans="1:9" customFormat="1" ht="12.75" customHeight="1" x14ac:dyDescent="0.2">
      <c r="B3" s="9"/>
      <c r="C3" s="10"/>
      <c r="D3" s="10"/>
      <c r="E3" s="10"/>
      <c r="F3" s="10"/>
      <c r="G3" s="10"/>
      <c r="H3" s="10"/>
    </row>
    <row r="4" spans="1:9" customFormat="1" ht="12.75" customHeight="1" x14ac:dyDescent="0.2">
      <c r="B4" s="9"/>
      <c r="C4" s="10"/>
      <c r="D4" s="10"/>
      <c r="E4" s="10"/>
      <c r="F4" s="10"/>
      <c r="G4" s="10"/>
      <c r="H4" s="10"/>
    </row>
    <row r="5" spans="1:9" customFormat="1" ht="12.75" customHeight="1" x14ac:dyDescent="0.2">
      <c r="B5" s="9"/>
      <c r="C5" s="10"/>
      <c r="D5" s="10"/>
      <c r="E5" s="10"/>
      <c r="F5" s="10"/>
      <c r="G5" s="10"/>
      <c r="H5" s="10"/>
    </row>
    <row r="6" spans="1:9" customFormat="1" ht="12.75" customHeight="1" thickBot="1" x14ac:dyDescent="0.25">
      <c r="B6" s="24" t="s">
        <v>1</v>
      </c>
      <c r="C6" s="20" t="s">
        <v>0</v>
      </c>
      <c r="D6" s="20" t="s">
        <v>64</v>
      </c>
      <c r="E6" s="20" t="s">
        <v>83</v>
      </c>
      <c r="F6" s="20" t="s">
        <v>39</v>
      </c>
      <c r="G6" s="19" t="s">
        <v>54</v>
      </c>
      <c r="H6" s="19"/>
      <c r="I6" s="20" t="s">
        <v>27</v>
      </c>
    </row>
    <row r="7" spans="1:9" customFormat="1" ht="12.75" customHeight="1" x14ac:dyDescent="0.2">
      <c r="B7" s="24"/>
      <c r="C7" s="20"/>
      <c r="D7" s="21"/>
      <c r="E7" s="21"/>
      <c r="F7" s="20"/>
      <c r="G7" s="18" t="s">
        <v>28</v>
      </c>
      <c r="H7" s="18" t="s">
        <v>38</v>
      </c>
      <c r="I7" s="20"/>
    </row>
    <row r="8" spans="1:9" customFormat="1" ht="12.75" customHeight="1" x14ac:dyDescent="0.2">
      <c r="B8" s="25" t="str">
        <f>Inputs!B46</f>
        <v>CDN</v>
      </c>
      <c r="C8" s="11" t="str">
        <f>Inputs!C46</f>
        <v>T1</v>
      </c>
      <c r="D8" s="11">
        <f>Inputs!E46-Inputs!F46</f>
        <v>9</v>
      </c>
      <c r="E8" s="11" t="str">
        <f>Inputs!G46</f>
        <v>2021/22</v>
      </c>
      <c r="F8" s="15">
        <f>D8*Inputs!$C$24</f>
        <v>240479.36298824742</v>
      </c>
      <c r="G8" s="15">
        <f>Inputs!J46*Inputs!H46</f>
        <v>176603.7298324173</v>
      </c>
      <c r="H8" s="15">
        <f>Inputs!K46*Inputs!I46</f>
        <v>100138.66076806374</v>
      </c>
      <c r="I8" s="16">
        <f>SUM(F8:H8)</f>
        <v>517221.75358872849</v>
      </c>
    </row>
    <row r="9" spans="1:9" customFormat="1" ht="12.75" customHeight="1" x14ac:dyDescent="0.2">
      <c r="B9" s="25" t="str">
        <f>Inputs!B47</f>
        <v>CLC</v>
      </c>
      <c r="C9" s="11" t="str">
        <f>Inputs!C47</f>
        <v>T1</v>
      </c>
      <c r="D9" s="11">
        <f>Inputs!E47-Inputs!F47</f>
        <v>18</v>
      </c>
      <c r="E9" s="11" t="str">
        <f>Inputs!G47</f>
        <v>2021/22</v>
      </c>
      <c r="F9" s="15">
        <f>D9*Inputs!$C$24</f>
        <v>480958.72597649484</v>
      </c>
      <c r="G9" s="15">
        <f>Inputs!J47*Inputs!H47</f>
        <v>353207.45966483461</v>
      </c>
      <c r="H9" s="15">
        <f>Inputs!K47*Inputs!I47</f>
        <v>200277.32153612748</v>
      </c>
      <c r="I9" s="16">
        <f t="shared" ref="I9:I29" si="0">SUM(F9:H9)</f>
        <v>1034443.507177457</v>
      </c>
    </row>
    <row r="10" spans="1:9" customFormat="1" ht="12.75" customHeight="1" x14ac:dyDescent="0.2">
      <c r="B10" s="25" t="str">
        <f>Inputs!B48</f>
        <v>CMN</v>
      </c>
      <c r="C10" s="11" t="str">
        <f>Inputs!C48</f>
        <v>T1</v>
      </c>
      <c r="D10" s="11">
        <f>Inputs!E48-Inputs!F48</f>
        <v>7</v>
      </c>
      <c r="E10" s="11" t="str">
        <f>Inputs!G48</f>
        <v>2021/22</v>
      </c>
      <c r="F10" s="15">
        <f>D10*Inputs!$C$24</f>
        <v>187039.50454641465</v>
      </c>
      <c r="G10" s="15">
        <f>Inputs!J48*Inputs!H48</f>
        <v>121457.08105822577</v>
      </c>
      <c r="H10" s="15">
        <f>Inputs!K48*Inputs!I48</f>
        <v>78044.705412117313</v>
      </c>
      <c r="I10" s="16">
        <f t="shared" si="0"/>
        <v>386541.29101675772</v>
      </c>
    </row>
    <row r="11" spans="1:9" customFormat="1" ht="12.75" customHeight="1" x14ac:dyDescent="0.2">
      <c r="B11" s="25" t="str">
        <f>Inputs!B49</f>
        <v>GSB</v>
      </c>
      <c r="C11" s="11" t="str">
        <f>Inputs!C49</f>
        <v>T1</v>
      </c>
      <c r="D11" s="11">
        <f>Inputs!E49-Inputs!F49</f>
        <v>7</v>
      </c>
      <c r="E11" s="11" t="str">
        <f>Inputs!G49</f>
        <v>2021/22</v>
      </c>
      <c r="F11" s="15">
        <f>D11*Inputs!$C$24</f>
        <v>187039.50454641465</v>
      </c>
      <c r="G11" s="15">
        <f>Inputs!J49*Inputs!H49</f>
        <v>121457.08105822577</v>
      </c>
      <c r="H11" s="15">
        <f>Inputs!K49*Inputs!I49</f>
        <v>78044.705412117313</v>
      </c>
      <c r="I11" s="16">
        <f t="shared" si="0"/>
        <v>386541.29101675772</v>
      </c>
    </row>
    <row r="12" spans="1:9" customFormat="1" ht="12.75" customHeight="1" x14ac:dyDescent="0.2">
      <c r="B12" s="25" t="str">
        <f>Inputs!B50</f>
        <v>MRO</v>
      </c>
      <c r="C12" s="11" t="str">
        <f>Inputs!C50</f>
        <v>T1</v>
      </c>
      <c r="D12" s="11">
        <f>Inputs!E50-Inputs!F50</f>
        <v>9</v>
      </c>
      <c r="E12" s="11" t="str">
        <f>Inputs!G50</f>
        <v>2021/22</v>
      </c>
      <c r="F12" s="15">
        <f>D12*Inputs!$C$24</f>
        <v>240479.36298824742</v>
      </c>
      <c r="G12" s="15">
        <f>Inputs!J50*Inputs!H50</f>
        <v>156159.10421771885</v>
      </c>
      <c r="H12" s="15">
        <f>Inputs!K50*Inputs!I50</f>
        <v>100343.19267272226</v>
      </c>
      <c r="I12" s="16">
        <f t="shared" si="0"/>
        <v>496981.65987868852</v>
      </c>
    </row>
    <row r="13" spans="1:9" customFormat="1" ht="12.75" customHeight="1" x14ac:dyDescent="0.2">
      <c r="B13" s="25" t="str">
        <f>Inputs!B51</f>
        <v>WIN</v>
      </c>
      <c r="C13" s="11" t="str">
        <f>Inputs!C51</f>
        <v>T1</v>
      </c>
      <c r="D13" s="11">
        <f>Inputs!E51-Inputs!F51</f>
        <v>2</v>
      </c>
      <c r="E13" s="11" t="str">
        <f>Inputs!G51</f>
        <v>2021/22</v>
      </c>
      <c r="F13" s="15">
        <f>D13*Inputs!$C$24</f>
        <v>53439.858441832759</v>
      </c>
      <c r="G13" s="15">
        <f>Inputs!J51*Inputs!H51</f>
        <v>39245.273296092731</v>
      </c>
      <c r="H13" s="15">
        <f>Inputs!K51*Inputs!I51</f>
        <v>22253.035726236383</v>
      </c>
      <c r="I13" s="16">
        <f t="shared" si="0"/>
        <v>114938.16746416187</v>
      </c>
    </row>
    <row r="14" spans="1:9" customFormat="1" ht="12.75" customHeight="1" x14ac:dyDescent="0.2">
      <c r="B14" s="25" t="str">
        <f>Inputs!B52</f>
        <v>WND</v>
      </c>
      <c r="C14" s="11" t="str">
        <f>Inputs!C52</f>
        <v>T1</v>
      </c>
      <c r="D14" s="11">
        <f>Inputs!E52-Inputs!F52</f>
        <v>9</v>
      </c>
      <c r="E14" s="11" t="str">
        <f>Inputs!G52</f>
        <v>2021/22</v>
      </c>
      <c r="F14" s="15">
        <f>D14*Inputs!$C$24</f>
        <v>240479.36298824742</v>
      </c>
      <c r="G14" s="15">
        <f>Inputs!J52*Inputs!H52</f>
        <v>156159.10421771885</v>
      </c>
      <c r="H14" s="15">
        <f>Inputs!K52*Inputs!I52</f>
        <v>100343.19267272226</v>
      </c>
      <c r="I14" s="16">
        <f t="shared" si="0"/>
        <v>496981.65987868852</v>
      </c>
    </row>
    <row r="15" spans="1:9" customFormat="1" ht="12.75" customHeight="1" x14ac:dyDescent="0.2">
      <c r="B15" s="25" t="str">
        <f>Inputs!B53</f>
        <v>BAN</v>
      </c>
      <c r="C15" s="11" t="str">
        <f>Inputs!C53</f>
        <v>T2</v>
      </c>
      <c r="D15" s="11">
        <f>Inputs!E53-Inputs!F53</f>
        <v>25</v>
      </c>
      <c r="E15" s="11" t="str">
        <f>Inputs!G53</f>
        <v>2021/22</v>
      </c>
      <c r="F15" s="15">
        <f>D15*Inputs!$C$24</f>
        <v>667998.23052290943</v>
      </c>
      <c r="G15" s="15">
        <f>Inputs!J53*Inputs!H53</f>
        <v>513484.80944523204</v>
      </c>
      <c r="H15" s="15">
        <f>Inputs!K53*Inputs!I53</f>
        <v>277723.60555431043</v>
      </c>
      <c r="I15" s="16">
        <f t="shared" si="0"/>
        <v>1459206.6455224517</v>
      </c>
    </row>
    <row r="16" spans="1:9" customFormat="1" ht="12.75" customHeight="1" x14ac:dyDescent="0.2">
      <c r="B16" s="25" t="str">
        <f>Inputs!B54</f>
        <v>BAS</v>
      </c>
      <c r="C16" s="11" t="str">
        <f>Inputs!C54</f>
        <v>T2</v>
      </c>
      <c r="D16" s="11">
        <f>Inputs!E54-Inputs!F54</f>
        <v>23</v>
      </c>
      <c r="E16" s="11" t="str">
        <f>Inputs!G54</f>
        <v>2021/22</v>
      </c>
      <c r="F16" s="15">
        <f>D16*Inputs!$C$24</f>
        <v>614558.37208107673</v>
      </c>
      <c r="G16" s="15">
        <f>Inputs!J54*Inputs!H54</f>
        <v>472406.02468961349</v>
      </c>
      <c r="H16" s="15">
        <f>Inputs!K54*Inputs!I54</f>
        <v>255505.7171099656</v>
      </c>
      <c r="I16" s="16">
        <f t="shared" si="0"/>
        <v>1342470.1138806557</v>
      </c>
    </row>
    <row r="17" spans="2:9" customFormat="1" ht="12.75" customHeight="1" x14ac:dyDescent="0.2">
      <c r="B17" s="25" t="str">
        <f>Inputs!B55</f>
        <v>BET</v>
      </c>
      <c r="C17" s="11" t="str">
        <f>Inputs!C55</f>
        <v>T2</v>
      </c>
      <c r="D17" s="11">
        <f>Inputs!E55-Inputs!F55</f>
        <v>12</v>
      </c>
      <c r="E17" s="11" t="str">
        <f>Inputs!G55</f>
        <v>2021/22</v>
      </c>
      <c r="F17" s="15">
        <f>D17*Inputs!$C$24</f>
        <v>320639.15065099654</v>
      </c>
      <c r="G17" s="15">
        <f>Inputs!J55*Inputs!H55</f>
        <v>208212.13895695846</v>
      </c>
      <c r="H17" s="15">
        <f>Inputs!K55*Inputs!I55</f>
        <v>133790.92356362968</v>
      </c>
      <c r="I17" s="16">
        <f t="shared" si="0"/>
        <v>662642.21317158476</v>
      </c>
    </row>
    <row r="18" spans="2:9" customFormat="1" ht="12.75" customHeight="1" x14ac:dyDescent="0.2">
      <c r="B18" s="25" t="str">
        <f>Inputs!B56</f>
        <v>BGO</v>
      </c>
      <c r="C18" s="11" t="str">
        <f>Inputs!C56</f>
        <v>T2</v>
      </c>
      <c r="D18" s="11">
        <f>Inputs!E56-Inputs!F56</f>
        <v>6</v>
      </c>
      <c r="E18" s="11" t="str">
        <f>Inputs!G56</f>
        <v>2021/22</v>
      </c>
      <c r="F18" s="15">
        <f>D18*Inputs!$C$24</f>
        <v>160319.57532549827</v>
      </c>
      <c r="G18" s="15">
        <f>Inputs!J56*Inputs!H56</f>
        <v>104106.06947847923</v>
      </c>
      <c r="H18" s="15">
        <f>Inputs!K56*Inputs!I56</f>
        <v>66895.46178181484</v>
      </c>
      <c r="I18" s="16">
        <f t="shared" si="0"/>
        <v>331321.10658579238</v>
      </c>
    </row>
    <row r="19" spans="2:9" customFormat="1" ht="12.75" customHeight="1" x14ac:dyDescent="0.2">
      <c r="B19" s="25" t="str">
        <f>Inputs!B57</f>
        <v>CTN</v>
      </c>
      <c r="C19" s="11" t="str">
        <f>Inputs!C57</f>
        <v>T2</v>
      </c>
      <c r="D19" s="11">
        <f>Inputs!E57-Inputs!F57</f>
        <v>20</v>
      </c>
      <c r="E19" s="11" t="str">
        <f>Inputs!G57</f>
        <v>2021/22</v>
      </c>
      <c r="F19" s="15">
        <f>D19*Inputs!$C$24</f>
        <v>534398.58441832755</v>
      </c>
      <c r="G19" s="15">
        <f>Inputs!J57*Inputs!H57</f>
        <v>347020.23159493075</v>
      </c>
      <c r="H19" s="15">
        <f>Inputs!K57*Inputs!I57</f>
        <v>222984.87260604947</v>
      </c>
      <c r="I19" s="16">
        <f t="shared" si="0"/>
        <v>1104403.6886193077</v>
      </c>
    </row>
    <row r="20" spans="2:9" customFormat="1" ht="12.75" customHeight="1" x14ac:dyDescent="0.2">
      <c r="B20" s="25" t="str">
        <f>Inputs!B58</f>
        <v>EHK</v>
      </c>
      <c r="C20" s="11" t="str">
        <f>Inputs!C58</f>
        <v>T2</v>
      </c>
      <c r="D20" s="11">
        <f>Inputs!E58-Inputs!F58</f>
        <v>7</v>
      </c>
      <c r="E20" s="11" t="str">
        <f>Inputs!G58</f>
        <v>2021/22</v>
      </c>
      <c r="F20" s="15">
        <f>D20*Inputs!$C$24</f>
        <v>187039.50454641465</v>
      </c>
      <c r="G20" s="15">
        <f>Inputs!J58*Inputs!H58</f>
        <v>121457.08105822577</v>
      </c>
      <c r="H20" s="15">
        <f>Inputs!K58*Inputs!I58</f>
        <v>78044.705412117313</v>
      </c>
      <c r="I20" s="16">
        <f t="shared" si="0"/>
        <v>386541.29101675772</v>
      </c>
    </row>
    <row r="21" spans="2:9" customFormat="1" ht="12.75" customHeight="1" x14ac:dyDescent="0.2">
      <c r="B21" s="25" t="str">
        <f>Inputs!B59</f>
        <v>ART</v>
      </c>
      <c r="C21" s="11" t="str">
        <f>Inputs!C59</f>
        <v>T3</v>
      </c>
      <c r="D21" s="11">
        <f>Inputs!E59-Inputs!F59</f>
        <v>6</v>
      </c>
      <c r="E21" s="11" t="str">
        <f>Inputs!G59</f>
        <v>2022/23</v>
      </c>
      <c r="F21" s="15">
        <f>D21*Inputs!$C$24</f>
        <v>160319.57532549827</v>
      </c>
      <c r="G21" s="15">
        <f>Inputs!J59*Inputs!H59</f>
        <v>131242.33411711751</v>
      </c>
      <c r="H21" s="15">
        <f>Inputs!K59*Inputs!I59</f>
        <v>81316.723872969917</v>
      </c>
      <c r="I21" s="16">
        <f t="shared" si="0"/>
        <v>372878.63331558573</v>
      </c>
    </row>
    <row r="22" spans="2:9" customFormat="1" ht="12.75" customHeight="1" x14ac:dyDescent="0.2">
      <c r="B22" s="25" t="str">
        <f>Inputs!B60</f>
        <v>CRO</v>
      </c>
      <c r="C22" s="11" t="str">
        <f>Inputs!C60</f>
        <v>T3</v>
      </c>
      <c r="D22" s="11">
        <f>Inputs!E60-Inputs!F60</f>
        <v>3</v>
      </c>
      <c r="E22" s="11" t="str">
        <f>Inputs!G60</f>
        <v>2022/23</v>
      </c>
      <c r="F22" s="15">
        <f>D22*Inputs!$C$24</f>
        <v>80159.787662749135</v>
      </c>
      <c r="G22" s="15">
        <f>Inputs!J60*Inputs!H60</f>
        <v>51896.85778980649</v>
      </c>
      <c r="H22" s="15">
        <f>Inputs!K60*Inputs!I60</f>
        <v>31288.280120961674</v>
      </c>
      <c r="I22" s="16">
        <f t="shared" si="0"/>
        <v>163344.92557351728</v>
      </c>
    </row>
    <row r="23" spans="2:9" customFormat="1" ht="12.75" customHeight="1" x14ac:dyDescent="0.2">
      <c r="B23" s="25" t="str">
        <f>Inputs!B61</f>
        <v>GL</v>
      </c>
      <c r="C23" s="11" t="str">
        <f>Inputs!C61</f>
        <v>T3</v>
      </c>
      <c r="D23" s="11">
        <f>Inputs!E61-Inputs!F61</f>
        <v>7</v>
      </c>
      <c r="E23" s="11" t="str">
        <f>Inputs!G61</f>
        <v>2022/23</v>
      </c>
      <c r="F23" s="15">
        <f>D23*Inputs!$C$24</f>
        <v>187039.50454641465</v>
      </c>
      <c r="G23" s="15">
        <f>Inputs!J61*Inputs!H61</f>
        <v>121457.08105822577</v>
      </c>
      <c r="H23" s="15">
        <f>Inputs!K61*Inputs!I61</f>
        <v>78044.705412117313</v>
      </c>
      <c r="I23" s="16">
        <f t="shared" si="0"/>
        <v>386541.29101675772</v>
      </c>
    </row>
    <row r="24" spans="2:9" customFormat="1" ht="12.75" customHeight="1" x14ac:dyDescent="0.2">
      <c r="B24" s="25" t="str">
        <f>Inputs!B62</f>
        <v>HTN</v>
      </c>
      <c r="C24" s="11" t="str">
        <f>Inputs!C62</f>
        <v>T3</v>
      </c>
      <c r="D24" s="11">
        <f>Inputs!E62-Inputs!F62</f>
        <v>14</v>
      </c>
      <c r="E24" s="11" t="str">
        <f>Inputs!G62</f>
        <v>2022/23</v>
      </c>
      <c r="F24" s="15">
        <f>D24*Inputs!$C$24</f>
        <v>374079.00909282931</v>
      </c>
      <c r="G24" s="15">
        <f>Inputs!J62*Inputs!H62</f>
        <v>296262.78362342773</v>
      </c>
      <c r="H24" s="15">
        <f>Inputs!K62*Inputs!I62</f>
        <v>180853.89719298022</v>
      </c>
      <c r="I24" s="16">
        <f t="shared" si="0"/>
        <v>851195.6899092372</v>
      </c>
    </row>
    <row r="25" spans="2:9" customFormat="1" ht="12.75" customHeight="1" x14ac:dyDescent="0.2">
      <c r="B25" s="25" t="str">
        <f>Inputs!B63</f>
        <v>KRT</v>
      </c>
      <c r="C25" s="11" t="str">
        <f>Inputs!C63</f>
        <v>T3</v>
      </c>
      <c r="D25" s="11">
        <f>Inputs!E63-Inputs!F63</f>
        <v>4</v>
      </c>
      <c r="E25" s="11" t="str">
        <f>Inputs!G63</f>
        <v>2022/23</v>
      </c>
      <c r="F25" s="15">
        <f>D25*Inputs!$C$24</f>
        <v>106879.71688366552</v>
      </c>
      <c r="G25" s="15">
        <f>Inputs!J63*Inputs!H63</f>
        <v>84646.509606693638</v>
      </c>
      <c r="H25" s="15">
        <f>Inputs!K63*Inputs!I63</f>
        <v>51672.542055137208</v>
      </c>
      <c r="I25" s="16">
        <f t="shared" si="0"/>
        <v>243198.76854549639</v>
      </c>
    </row>
    <row r="26" spans="2:9" customFormat="1" ht="12.75" customHeight="1" x14ac:dyDescent="0.2">
      <c r="B26" s="25" t="str">
        <f>Inputs!B64</f>
        <v>MBN</v>
      </c>
      <c r="C26" s="11" t="str">
        <f>Inputs!C64</f>
        <v>T3</v>
      </c>
      <c r="D26" s="11">
        <f>Inputs!E64-Inputs!F64</f>
        <v>3</v>
      </c>
      <c r="E26" s="11" t="str">
        <f>Inputs!G64</f>
        <v>2022/23</v>
      </c>
      <c r="F26" s="15">
        <f>D26*Inputs!$C$24</f>
        <v>80159.787662749135</v>
      </c>
      <c r="G26" s="15">
        <f>Inputs!J64*Inputs!H64</f>
        <v>69014.634269848073</v>
      </c>
      <c r="H26" s="15">
        <f>Inputs!K64*Inputs!I64</f>
        <v>39463.756010482415</v>
      </c>
      <c r="I26" s="16">
        <f t="shared" si="0"/>
        <v>188638.17794307962</v>
      </c>
    </row>
    <row r="27" spans="2:9" customFormat="1" ht="12.75" customHeight="1" x14ac:dyDescent="0.2">
      <c r="B27" s="25" t="str">
        <f>Inputs!B65</f>
        <v>STL</v>
      </c>
      <c r="C27" s="11" t="str">
        <f>Inputs!C65</f>
        <v>T3</v>
      </c>
      <c r="D27" s="11">
        <f>Inputs!E65-Inputs!F65</f>
        <v>10</v>
      </c>
      <c r="E27" s="11" t="str">
        <f>Inputs!G65</f>
        <v>2022/23</v>
      </c>
      <c r="F27" s="15">
        <f>D27*Inputs!$C$24</f>
        <v>267199.29220916377</v>
      </c>
      <c r="G27" s="15">
        <f>Inputs!J65*Inputs!H65</f>
        <v>218737.2235285292</v>
      </c>
      <c r="H27" s="15">
        <f>Inputs!K65*Inputs!I65</f>
        <v>135527.87312161655</v>
      </c>
      <c r="I27" s="16">
        <f t="shared" si="0"/>
        <v>621464.38885930949</v>
      </c>
    </row>
    <row r="28" spans="2:9" customFormat="1" ht="12.75" customHeight="1" x14ac:dyDescent="0.2">
      <c r="B28" s="25" t="str">
        <f>Inputs!B66</f>
        <v>TRG</v>
      </c>
      <c r="C28" s="11" t="str">
        <f>Inputs!C66</f>
        <v>T3</v>
      </c>
      <c r="D28" s="11">
        <f>Inputs!E66-Inputs!F66</f>
        <v>14</v>
      </c>
      <c r="E28" s="11" t="str">
        <f>Inputs!G66</f>
        <v>2022/23</v>
      </c>
      <c r="F28" s="15">
        <f>D28*Inputs!$C$24</f>
        <v>374079.00909282931</v>
      </c>
      <c r="G28" s="15">
        <f>Inputs!J66*Inputs!H66</f>
        <v>296262.78362342773</v>
      </c>
      <c r="H28" s="15">
        <f>Inputs!K66*Inputs!I66</f>
        <v>180853.89719298022</v>
      </c>
      <c r="I28" s="16">
        <f t="shared" si="0"/>
        <v>851195.6899092372</v>
      </c>
    </row>
    <row r="29" spans="2:9" customFormat="1" ht="12.75" customHeight="1" x14ac:dyDescent="0.2">
      <c r="B29" s="25" t="str">
        <f>Inputs!B67</f>
        <v>WPD</v>
      </c>
      <c r="C29" s="11" t="str">
        <f>Inputs!C67</f>
        <v>T3</v>
      </c>
      <c r="D29" s="11">
        <f>Inputs!E67-Inputs!F67</f>
        <v>20</v>
      </c>
      <c r="E29" s="11" t="str">
        <f>Inputs!G67</f>
        <v>2022/23</v>
      </c>
      <c r="F29" s="15">
        <f>D29*Inputs!$C$24</f>
        <v>534398.58441832755</v>
      </c>
      <c r="G29" s="15">
        <f>Inputs!J67*Inputs!H67</f>
        <v>17298.952596602161</v>
      </c>
      <c r="H29" s="15">
        <f>Inputs!K67*Inputs!I67</f>
        <v>10429.426706987224</v>
      </c>
      <c r="I29" s="16">
        <f t="shared" si="0"/>
        <v>562126.96372191689</v>
      </c>
    </row>
    <row r="30" spans="2:9" customFormat="1" ht="12.75" customHeight="1" x14ac:dyDescent="0.2">
      <c r="B30" s="26" t="s">
        <v>27</v>
      </c>
      <c r="C30" s="22"/>
      <c r="D30" s="22">
        <f>SUM(D8:D29)</f>
        <v>235</v>
      </c>
      <c r="E30" s="22"/>
      <c r="F30" s="23">
        <f>SUM(F8:F29)</f>
        <v>6279183.3669153489</v>
      </c>
      <c r="G30" s="23">
        <f>SUM(G8:G29)</f>
        <v>4177794.3487823508</v>
      </c>
      <c r="H30" s="23">
        <f>SUM(H8:H29)</f>
        <v>2503841.2019142266</v>
      </c>
      <c r="I30" s="23">
        <f>SUM(I8:I29)</f>
        <v>12960818.917611923</v>
      </c>
    </row>
    <row r="31" spans="2:9" customFormat="1" ht="12.75" customHeight="1" x14ac:dyDescent="0.2">
      <c r="B31" s="3"/>
      <c r="C31" s="3"/>
      <c r="D31" s="3"/>
      <c r="E31" s="3"/>
      <c r="F31" s="3"/>
      <c r="G31" s="3"/>
      <c r="H31" s="3"/>
      <c r="I31" s="3"/>
    </row>
    <row r="32" spans="2:9" customFormat="1" ht="12.75" customHeight="1" x14ac:dyDescent="0.3">
      <c r="B32" s="3"/>
      <c r="C32" s="3"/>
      <c r="D32" s="3"/>
      <c r="E32" s="3"/>
      <c r="F32" s="3"/>
      <c r="G32" s="3"/>
      <c r="H32" s="3"/>
    </row>
    <row r="33" spans="1:4" ht="12.75" customHeight="1" x14ac:dyDescent="0.3">
      <c r="A33"/>
      <c r="B33"/>
      <c r="C33"/>
    </row>
    <row r="34" spans="1:4" ht="12.75" customHeight="1" x14ac:dyDescent="0.3">
      <c r="A34"/>
      <c r="B34"/>
      <c r="C34"/>
    </row>
    <row r="35" spans="1:4" ht="12.75" customHeight="1" x14ac:dyDescent="0.3">
      <c r="A35"/>
      <c r="B35"/>
      <c r="C35"/>
      <c r="D35" s="13"/>
    </row>
    <row r="36" spans="1:4" ht="12.75" customHeight="1" x14ac:dyDescent="0.3">
      <c r="A36"/>
      <c r="B36"/>
      <c r="C36"/>
      <c r="D36" s="13"/>
    </row>
    <row r="37" spans="1:4" ht="12.75" customHeight="1" x14ac:dyDescent="0.3">
      <c r="A37"/>
      <c r="B37"/>
      <c r="C37"/>
      <c r="D37" s="13"/>
    </row>
    <row r="38" spans="1:4" ht="12.75" customHeight="1" x14ac:dyDescent="0.3">
      <c r="A38"/>
      <c r="B38"/>
      <c r="C38"/>
    </row>
    <row r="39" spans="1:4" ht="12.75" customHeight="1" x14ac:dyDescent="0.3">
      <c r="A39"/>
      <c r="B39"/>
      <c r="C39"/>
    </row>
    <row r="40" spans="1:4" ht="12.75" customHeight="1" x14ac:dyDescent="0.3">
      <c r="A40"/>
      <c r="B40"/>
      <c r="C40"/>
    </row>
    <row r="41" spans="1:4" ht="12.75" customHeight="1" x14ac:dyDescent="0.3">
      <c r="A41"/>
      <c r="B41"/>
      <c r="C41"/>
    </row>
    <row r="42" spans="1:4" ht="12.75" customHeight="1" x14ac:dyDescent="0.3">
      <c r="A42"/>
      <c r="B42"/>
      <c r="C42"/>
    </row>
    <row r="43" spans="1:4" ht="12.75" customHeight="1" x14ac:dyDescent="0.3">
      <c r="A43"/>
      <c r="B43"/>
      <c r="C43"/>
    </row>
    <row r="44" spans="1:4" ht="12.75" customHeight="1" x14ac:dyDescent="0.3"/>
    <row r="45" spans="1:4" ht="12.75" customHeight="1" x14ac:dyDescent="0.3"/>
    <row r="46" spans="1:4" ht="12.75" customHeight="1" x14ac:dyDescent="0.3"/>
    <row r="47" spans="1:4" ht="12.75" customHeight="1" x14ac:dyDescent="0.3"/>
    <row r="48" spans="1: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280"/>
  <sheetViews>
    <sheetView showGridLines="0" zoomScale="90" zoomScaleNormal="90" workbookViewId="0"/>
  </sheetViews>
  <sheetFormatPr defaultColWidth="9" defaultRowHeight="12.75" x14ac:dyDescent="0.2"/>
  <cols>
    <col min="1" max="1" width="16" style="3" customWidth="1"/>
    <col min="2" max="2" width="15.25" style="3" customWidth="1"/>
    <col min="3" max="3" width="12.875" style="3" customWidth="1"/>
    <col min="4" max="12" width="13.125" style="3" customWidth="1"/>
    <col min="13" max="16384" width="9" style="3"/>
  </cols>
  <sheetData>
    <row r="1" spans="1:11" customFormat="1" ht="14.45" customHeight="1" x14ac:dyDescent="0.25">
      <c r="A1" s="6" t="s">
        <v>48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customFormat="1" ht="14.45" customHeight="1" x14ac:dyDescent="0.2">
      <c r="A2" s="8" t="s">
        <v>49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 customFormat="1" ht="12.75" customHeight="1" x14ac:dyDescent="0.2">
      <c r="A3" s="3"/>
      <c r="B3" s="3"/>
      <c r="C3" s="3"/>
      <c r="D3" s="3"/>
      <c r="E3" s="3"/>
      <c r="F3" s="3"/>
      <c r="G3" s="3"/>
      <c r="H3" s="3"/>
      <c r="I3" s="3"/>
    </row>
    <row r="4" spans="1:11" customFormat="1" ht="12.75" customHeight="1" x14ac:dyDescent="0.2">
      <c r="A4" s="3"/>
      <c r="B4" s="3"/>
      <c r="C4" s="3"/>
      <c r="D4" s="3"/>
      <c r="E4" s="3"/>
      <c r="F4" s="3"/>
      <c r="G4" s="3"/>
      <c r="H4" s="3"/>
      <c r="I4" s="3"/>
    </row>
    <row r="5" spans="1:11" customFormat="1" ht="12.75" customHeight="1" x14ac:dyDescent="0.2">
      <c r="A5" s="36"/>
      <c r="B5" s="36"/>
      <c r="C5" s="36"/>
      <c r="D5" s="36"/>
      <c r="E5" s="36"/>
      <c r="F5" s="2"/>
      <c r="G5" s="2"/>
      <c r="H5" s="2"/>
      <c r="I5" s="2"/>
      <c r="J5" s="2"/>
    </row>
    <row r="6" spans="1:11" customFormat="1" ht="12.75" customHeight="1" x14ac:dyDescent="0.2">
      <c r="A6" s="68" t="s">
        <v>75</v>
      </c>
      <c r="B6" s="28"/>
      <c r="C6" s="69" t="s">
        <v>76</v>
      </c>
      <c r="D6" s="28">
        <v>2016</v>
      </c>
      <c r="E6" s="28">
        <v>2017</v>
      </c>
      <c r="F6" s="28">
        <v>2018</v>
      </c>
      <c r="G6" s="28">
        <v>2019</v>
      </c>
      <c r="H6" s="39">
        <v>2020</v>
      </c>
      <c r="I6" s="39" t="s">
        <v>58</v>
      </c>
    </row>
    <row r="7" spans="1:11" customFormat="1" ht="12.75" customHeight="1" x14ac:dyDescent="0.2">
      <c r="A7" s="40"/>
      <c r="B7" s="40"/>
      <c r="C7" s="64" t="s">
        <v>59</v>
      </c>
      <c r="D7" s="64" t="s">
        <v>59</v>
      </c>
      <c r="E7" s="64" t="s">
        <v>59</v>
      </c>
      <c r="F7" s="64" t="s">
        <v>59</v>
      </c>
      <c r="G7" s="64" t="s">
        <v>59</v>
      </c>
      <c r="H7" s="64" t="s">
        <v>59</v>
      </c>
      <c r="I7" s="41" t="s">
        <v>60</v>
      </c>
    </row>
    <row r="8" spans="1:11" customFormat="1" ht="12.75" customHeight="1" x14ac:dyDescent="0.2">
      <c r="A8" s="27" t="s">
        <v>61</v>
      </c>
      <c r="B8" s="27"/>
      <c r="C8" s="42"/>
      <c r="D8" s="43">
        <v>1.5108593012275628E-2</v>
      </c>
      <c r="E8" s="43">
        <v>1.0232558139534831E-2</v>
      </c>
      <c r="F8" s="43">
        <v>1.9337016574585641E-2</v>
      </c>
      <c r="G8" s="43">
        <v>2.07768744354111E-2</v>
      </c>
      <c r="H8" s="43">
        <v>1.5929203539823078E-2</v>
      </c>
      <c r="I8" s="43">
        <v>0.02</v>
      </c>
    </row>
    <row r="9" spans="1:11" customFormat="1" ht="12.75" customHeight="1" x14ac:dyDescent="0.2">
      <c r="A9" s="44" t="s">
        <v>71</v>
      </c>
      <c r="B9" s="44"/>
      <c r="C9" s="46">
        <v>1</v>
      </c>
      <c r="D9" s="47">
        <f>C9*(1+D8)^0.5</f>
        <v>1.0075259763461564</v>
      </c>
      <c r="E9" s="47">
        <f t="shared" ref="E9:I9" si="0">D9*(1+E8)</f>
        <v>1.0178355444762099</v>
      </c>
      <c r="F9" s="47">
        <f t="shared" si="0"/>
        <v>1.0375174472699489</v>
      </c>
      <c r="G9" s="47">
        <f>F9*(1+G8)</f>
        <v>1.0590738169964249</v>
      </c>
      <c r="H9" s="47">
        <f t="shared" si="0"/>
        <v>1.0759440193910583</v>
      </c>
      <c r="I9" s="47">
        <f t="shared" si="0"/>
        <v>1.0974628997788796</v>
      </c>
    </row>
    <row r="10" spans="1:11" customFormat="1" ht="12.75" customHeight="1" x14ac:dyDescent="0.2">
      <c r="A10" s="45"/>
      <c r="B10" s="45"/>
      <c r="C10" s="45"/>
      <c r="D10" s="48"/>
      <c r="E10" s="48"/>
      <c r="F10" s="48"/>
      <c r="G10" s="48"/>
      <c r="H10" s="48"/>
    </row>
    <row r="11" spans="1:11" customFormat="1" ht="12.75" customHeight="1" x14ac:dyDescent="0.2">
      <c r="A11" s="36" t="s">
        <v>57</v>
      </c>
      <c r="B11" s="36"/>
      <c r="C11" s="37" t="s">
        <v>76</v>
      </c>
      <c r="D11" s="27" t="s">
        <v>68</v>
      </c>
      <c r="E11" s="38"/>
      <c r="F11" s="2"/>
      <c r="G11" s="2"/>
      <c r="H11" s="2"/>
      <c r="I11" s="2"/>
      <c r="J11" s="2"/>
      <c r="K11" s="2"/>
    </row>
    <row r="12" spans="1:11" customFormat="1" ht="12.75" customHeight="1" x14ac:dyDescent="0.2">
      <c r="A12" s="45"/>
      <c r="B12" s="45"/>
      <c r="C12" s="45"/>
      <c r="D12" s="45"/>
      <c r="E12" s="48"/>
      <c r="F12" s="48"/>
      <c r="G12" s="48"/>
      <c r="H12" s="48"/>
      <c r="I12" s="48"/>
    </row>
    <row r="13" spans="1:11" customFormat="1" ht="12.75" customHeight="1" x14ac:dyDescent="0.2">
      <c r="A13" s="45"/>
      <c r="B13" s="45"/>
      <c r="C13" s="45"/>
      <c r="D13" s="45"/>
      <c r="E13" s="48"/>
      <c r="F13" s="48"/>
      <c r="G13" s="48"/>
      <c r="H13" s="48"/>
      <c r="I13" s="48"/>
    </row>
    <row r="14" spans="1:11" customFormat="1" ht="12.75" customHeight="1" x14ac:dyDescent="0.2">
      <c r="A14" s="36" t="s">
        <v>69</v>
      </c>
      <c r="B14" s="36"/>
      <c r="C14" s="49" t="s">
        <v>76</v>
      </c>
      <c r="D14" s="27" t="s">
        <v>70</v>
      </c>
      <c r="J14" s="4"/>
      <c r="K14" s="4"/>
    </row>
    <row r="15" spans="1:11" customFormat="1" ht="12.75" customHeight="1" x14ac:dyDescent="0.2">
      <c r="A15" s="36" t="s">
        <v>62</v>
      </c>
      <c r="B15" s="36"/>
      <c r="C15" s="37" t="s">
        <v>58</v>
      </c>
      <c r="D15" s="27" t="s">
        <v>72</v>
      </c>
      <c r="J15" s="4"/>
      <c r="K15" s="4"/>
    </row>
    <row r="16" spans="1:11" customFormat="1" ht="12.75" customHeight="1" x14ac:dyDescent="0.2">
      <c r="A16" s="36" t="s">
        <v>63</v>
      </c>
      <c r="B16" s="36"/>
      <c r="C16" s="50">
        <f>INDEX($C$9:$I$9, MATCH(C15, $C$6:$I$6,0))/INDEX($C$9:$I$9, MATCH(C11, $C$6:$I$6, 0))</f>
        <v>1.0974628997788796</v>
      </c>
      <c r="D16" s="51"/>
      <c r="E16" s="52"/>
      <c r="F16" s="1"/>
      <c r="G16" s="1"/>
      <c r="H16" s="1"/>
      <c r="I16" s="1"/>
      <c r="J16" s="1"/>
      <c r="K16" s="1"/>
    </row>
    <row r="17" spans="1:13" customFormat="1" ht="12.75" customHeight="1" x14ac:dyDescent="0.2">
      <c r="A17" s="3"/>
      <c r="B17" s="3"/>
      <c r="C17" s="4"/>
      <c r="D17" s="3"/>
      <c r="E17" s="3"/>
      <c r="F17" s="3"/>
      <c r="G17" s="3"/>
      <c r="H17" s="3"/>
      <c r="I17" s="3"/>
      <c r="J17" s="3"/>
      <c r="K17" s="3"/>
      <c r="M17" s="3"/>
    </row>
    <row r="18" spans="1:13" customFormat="1" ht="12.75" customHeight="1" x14ac:dyDescent="0.2">
      <c r="A18" s="3"/>
      <c r="B18" s="3"/>
      <c r="C18" s="4"/>
      <c r="D18" s="3"/>
      <c r="E18" s="3"/>
      <c r="F18" s="3"/>
      <c r="G18" s="3"/>
      <c r="H18" s="3"/>
      <c r="I18" s="3"/>
      <c r="J18" s="3"/>
      <c r="K18" s="3"/>
      <c r="M18" s="3"/>
    </row>
    <row r="19" spans="1:13" customFormat="1" ht="12.75" customHeight="1" x14ac:dyDescent="0.2">
      <c r="A19" s="68" t="s">
        <v>41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M19" s="3"/>
    </row>
    <row r="20" spans="1:13" customFormat="1" ht="12.75" customHeight="1" x14ac:dyDescent="0.2">
      <c r="A20" s="3"/>
      <c r="B20" s="3"/>
      <c r="C20" s="4"/>
      <c r="D20" s="3"/>
      <c r="E20" s="3"/>
      <c r="F20" s="3"/>
      <c r="G20" s="3"/>
      <c r="H20" s="3"/>
      <c r="I20" s="3"/>
      <c r="J20" s="3"/>
      <c r="K20" s="3"/>
      <c r="M20" s="3"/>
    </row>
    <row r="21" spans="1:13" customFormat="1" ht="12.75" customHeight="1" x14ac:dyDescent="0.2">
      <c r="A21" s="3"/>
      <c r="B21" s="3"/>
      <c r="C21" s="4"/>
      <c r="D21" s="3"/>
      <c r="E21" s="3"/>
      <c r="F21" s="3"/>
      <c r="G21" s="3"/>
      <c r="H21" s="3"/>
      <c r="I21" s="3"/>
      <c r="J21" s="3"/>
      <c r="K21" s="3"/>
      <c r="M21" s="3"/>
    </row>
    <row r="22" spans="1:13" customFormat="1" ht="12.75" customHeight="1" x14ac:dyDescent="0.2">
      <c r="A22" s="3"/>
      <c r="B22" s="3"/>
      <c r="C22" s="4"/>
      <c r="D22" s="3"/>
      <c r="E22" s="3"/>
      <c r="F22" s="3"/>
      <c r="G22" s="3"/>
      <c r="H22" s="3"/>
      <c r="I22" s="3"/>
      <c r="J22" s="3"/>
      <c r="K22" s="3"/>
      <c r="M22" s="3"/>
    </row>
    <row r="23" spans="1:13" customFormat="1" ht="12.75" customHeight="1" x14ac:dyDescent="0.2">
      <c r="A23" s="3" t="s">
        <v>65</v>
      </c>
      <c r="B23" s="3"/>
      <c r="C23" s="60">
        <v>24347</v>
      </c>
      <c r="D23" s="61" t="s">
        <v>66</v>
      </c>
      <c r="E23" s="3"/>
      <c r="F23" s="3"/>
      <c r="G23" s="3"/>
      <c r="H23" s="3"/>
      <c r="I23" s="3"/>
      <c r="J23" s="3"/>
      <c r="K23" s="3"/>
      <c r="M23" s="3"/>
    </row>
    <row r="24" spans="1:13" customFormat="1" ht="12.75" customHeight="1" x14ac:dyDescent="0.2">
      <c r="A24" s="3" t="s">
        <v>65</v>
      </c>
      <c r="B24" s="3"/>
      <c r="C24" s="62">
        <f>C23*Conv_2021</f>
        <v>26719.92922091638</v>
      </c>
      <c r="D24" s="61" t="s">
        <v>67</v>
      </c>
      <c r="E24" s="3"/>
      <c r="F24" s="3"/>
      <c r="G24" s="3"/>
      <c r="H24" s="3"/>
      <c r="I24" s="3"/>
      <c r="J24" s="3"/>
      <c r="K24" s="3"/>
      <c r="M24" s="3"/>
    </row>
    <row r="25" spans="1:13" customFormat="1" ht="12.75" customHeight="1" x14ac:dyDescent="0.2">
      <c r="E25" s="3"/>
      <c r="F25" s="3"/>
      <c r="G25" s="3"/>
      <c r="H25" s="3"/>
      <c r="I25" s="3"/>
      <c r="J25" s="3"/>
      <c r="K25" s="3"/>
      <c r="M25" s="3"/>
    </row>
    <row r="26" spans="1:13" customFormat="1" ht="12.75" customHeight="1" x14ac:dyDescent="0.2">
      <c r="E26" s="3"/>
      <c r="F26" s="3"/>
      <c r="G26" s="3"/>
      <c r="H26" s="3"/>
      <c r="I26" s="3"/>
      <c r="J26" s="3"/>
      <c r="K26" s="3"/>
      <c r="M26" s="3"/>
    </row>
    <row r="27" spans="1:13" customFormat="1" ht="12.75" customHeight="1" x14ac:dyDescent="0.2">
      <c r="E27" s="3"/>
      <c r="F27" s="3"/>
      <c r="G27" s="3"/>
      <c r="H27" s="3"/>
      <c r="I27" s="3"/>
      <c r="J27" s="3"/>
      <c r="K27" s="3"/>
      <c r="M27" s="3"/>
    </row>
    <row r="28" spans="1:13" customFormat="1" ht="12.75" customHeight="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3" customFormat="1" ht="12.75" customHeight="1" x14ac:dyDescent="0.2">
      <c r="A29" s="68" t="s">
        <v>77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</row>
    <row r="30" spans="1:13" customFormat="1" ht="12.75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3" customFormat="1" ht="12.75" customHeight="1" thickBot="1" x14ac:dyDescent="0.25">
      <c r="A31" s="3"/>
      <c r="B31" s="54" t="s">
        <v>1</v>
      </c>
      <c r="C31" s="74" t="s">
        <v>73</v>
      </c>
      <c r="D31" s="74"/>
      <c r="E31" s="3"/>
      <c r="F31" s="3"/>
      <c r="G31" s="3"/>
      <c r="H31" s="3"/>
      <c r="I31" s="3"/>
      <c r="J31" s="3"/>
      <c r="K31" s="3"/>
    </row>
    <row r="32" spans="1:13" customFormat="1" ht="12.75" customHeight="1" x14ac:dyDescent="0.2">
      <c r="A32" s="3"/>
      <c r="B32" s="54"/>
      <c r="C32" s="65" t="s">
        <v>74</v>
      </c>
      <c r="D32" s="66" t="s">
        <v>29</v>
      </c>
      <c r="E32" s="3"/>
      <c r="F32" s="3"/>
      <c r="G32" s="3"/>
      <c r="H32" s="3"/>
      <c r="I32" s="3"/>
      <c r="J32" s="3"/>
      <c r="K32" s="3"/>
    </row>
    <row r="33" spans="1:12" customFormat="1" ht="12.75" customHeight="1" x14ac:dyDescent="0.2">
      <c r="A33" s="3"/>
      <c r="B33" s="70" t="s">
        <v>33</v>
      </c>
      <c r="C33" s="71">
        <v>194.95146849940997</v>
      </c>
      <c r="D33" s="67">
        <v>253.05967573962374</v>
      </c>
      <c r="E33" s="3"/>
      <c r="F33" s="3"/>
      <c r="G33" s="3"/>
      <c r="H33" s="3"/>
      <c r="I33" s="3"/>
      <c r="J33" s="3"/>
      <c r="K33" s="3"/>
    </row>
    <row r="34" spans="1:12" customFormat="1" ht="12.75" customHeight="1" x14ac:dyDescent="0.2">
      <c r="A34" s="3"/>
      <c r="B34" s="70" t="s">
        <v>32</v>
      </c>
      <c r="C34" s="71">
        <v>164.68866873960764</v>
      </c>
      <c r="D34" s="67">
        <v>253.97768873437226</v>
      </c>
      <c r="E34" s="3"/>
      <c r="F34" s="3"/>
      <c r="G34" s="3"/>
      <c r="H34" s="3"/>
      <c r="I34" s="3"/>
      <c r="J34" s="3"/>
      <c r="K34" s="3"/>
    </row>
    <row r="35" spans="1:12" customFormat="1" ht="12.75" customHeight="1" x14ac:dyDescent="0.2">
      <c r="A35" s="3"/>
      <c r="B35" s="70" t="s">
        <v>31</v>
      </c>
      <c r="C35" s="71">
        <v>186.25</v>
      </c>
      <c r="D35" s="67">
        <v>253.46</v>
      </c>
      <c r="E35" s="3"/>
      <c r="F35" s="3"/>
      <c r="G35" s="3"/>
      <c r="H35" s="3"/>
      <c r="I35" s="3"/>
      <c r="J35" s="3"/>
      <c r="K35" s="3"/>
    </row>
    <row r="36" spans="1:12" customFormat="1" ht="12.75" customHeight="1" x14ac:dyDescent="0.2">
      <c r="A36" s="3"/>
      <c r="B36" s="70" t="s">
        <v>35</v>
      </c>
      <c r="C36" s="71">
        <v>164.19454627357271</v>
      </c>
      <c r="D36" s="67">
        <v>237.58039358525423</v>
      </c>
      <c r="E36" s="3"/>
      <c r="F36" s="3"/>
      <c r="G36" s="3"/>
      <c r="H36" s="3"/>
      <c r="I36" s="3"/>
      <c r="J36" s="3"/>
      <c r="K36" s="3"/>
    </row>
    <row r="37" spans="1:12" customFormat="1" ht="12.75" customHeight="1" x14ac:dyDescent="0.2">
      <c r="A37" s="3"/>
      <c r="B37" s="70" t="s">
        <v>34</v>
      </c>
      <c r="C37" s="71">
        <v>207.6163800660531</v>
      </c>
      <c r="D37" s="67">
        <v>308.72996515172207</v>
      </c>
      <c r="E37" s="3"/>
      <c r="F37" s="3"/>
      <c r="G37" s="3"/>
      <c r="H37" s="3"/>
      <c r="I37" s="3"/>
      <c r="J37" s="3"/>
      <c r="K37" s="3"/>
    </row>
    <row r="38" spans="1:12" customFormat="1" ht="12.75" customHeight="1" x14ac:dyDescent="0.2">
      <c r="A38" s="3"/>
      <c r="B38" s="70" t="s">
        <v>37</v>
      </c>
      <c r="C38" s="71">
        <v>218.35284529307376</v>
      </c>
      <c r="D38" s="67">
        <v>299.65899848363671</v>
      </c>
      <c r="E38" s="3"/>
      <c r="F38" s="3"/>
      <c r="G38" s="3"/>
      <c r="H38" s="3"/>
      <c r="I38" s="3"/>
      <c r="J38" s="3"/>
      <c r="K38" s="3"/>
    </row>
    <row r="39" spans="1:12" customFormat="1" ht="12.75" customHeight="1" x14ac:dyDescent="0.2">
      <c r="A39" s="3"/>
      <c r="B39" s="70" t="s">
        <v>36</v>
      </c>
      <c r="C39" s="71">
        <v>200.85746753885263</v>
      </c>
      <c r="D39" s="67">
        <v>294.27271565141496</v>
      </c>
      <c r="E39" s="3"/>
      <c r="F39" s="3"/>
      <c r="G39" s="3"/>
      <c r="H39" s="3"/>
      <c r="I39" s="3"/>
      <c r="J39" s="3"/>
      <c r="K39" s="3"/>
    </row>
    <row r="40" spans="1:12" customFormat="1" ht="12.75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2" customFormat="1" ht="12.75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2" customFormat="1" ht="12.75" customHeight="1" x14ac:dyDescent="0.2">
      <c r="A42" s="68" t="s">
        <v>78</v>
      </c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</row>
    <row r="43" spans="1:12" customFormat="1" ht="12.75" customHeight="1" x14ac:dyDescent="0.2">
      <c r="A43" s="3"/>
      <c r="B43" s="4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customFormat="1" ht="12.75" customHeight="1" thickBot="1" x14ac:dyDescent="0.25">
      <c r="A44" s="3"/>
      <c r="B44" s="54" t="s">
        <v>1</v>
      </c>
      <c r="C44" s="54" t="s">
        <v>0</v>
      </c>
      <c r="D44" s="54" t="s">
        <v>30</v>
      </c>
      <c r="E44" s="55" t="s">
        <v>50</v>
      </c>
      <c r="F44" s="55" t="s">
        <v>51</v>
      </c>
      <c r="G44" s="77" t="s">
        <v>82</v>
      </c>
      <c r="H44" s="74" t="s">
        <v>81</v>
      </c>
      <c r="I44" s="74"/>
      <c r="J44" s="74" t="s">
        <v>56</v>
      </c>
      <c r="K44" s="74"/>
      <c r="L44" s="3"/>
    </row>
    <row r="45" spans="1:12" customFormat="1" ht="12.75" customHeight="1" thickBot="1" x14ac:dyDescent="0.25">
      <c r="A45" s="3"/>
      <c r="B45" s="56"/>
      <c r="C45" s="54"/>
      <c r="D45" s="54"/>
      <c r="E45" s="57" t="s">
        <v>52</v>
      </c>
      <c r="F45" s="57" t="s">
        <v>53</v>
      </c>
      <c r="G45" s="77"/>
      <c r="H45" s="54" t="s">
        <v>79</v>
      </c>
      <c r="I45" s="57" t="s">
        <v>80</v>
      </c>
      <c r="J45" s="58" t="s">
        <v>74</v>
      </c>
      <c r="K45" s="59" t="s">
        <v>29</v>
      </c>
      <c r="L45" s="3"/>
    </row>
    <row r="46" spans="1:12" customFormat="1" ht="12.75" customHeight="1" x14ac:dyDescent="0.2">
      <c r="A46" s="3"/>
      <c r="B46" s="25" t="s">
        <v>3</v>
      </c>
      <c r="C46" s="12" t="s">
        <v>2</v>
      </c>
      <c r="D46" s="70" t="s">
        <v>31</v>
      </c>
      <c r="E46" s="72">
        <v>9</v>
      </c>
      <c r="F46" s="53"/>
      <c r="G46" s="72" t="s">
        <v>42</v>
      </c>
      <c r="H46" s="75">
        <v>864</v>
      </c>
      <c r="I46" s="75">
        <v>360</v>
      </c>
      <c r="J46" s="14">
        <f>INDEX(Inputs!C$33:C$39,MATCH(Inputs!$D46,Inputs!$B$33:$B$39,0))*Conv_2021</f>
        <v>204.40246508381631</v>
      </c>
      <c r="K46" s="14">
        <f>INDEX(Inputs!D$33:D$39,MATCH(Inputs!$D46,Inputs!$B$33:$B$39,0))*Conv_2021</f>
        <v>278.16294657795481</v>
      </c>
      <c r="L46" s="3"/>
    </row>
    <row r="47" spans="1:12" customFormat="1" ht="12.75" customHeight="1" x14ac:dyDescent="0.2">
      <c r="A47" s="3"/>
      <c r="B47" s="25" t="s">
        <v>4</v>
      </c>
      <c r="C47" s="12" t="s">
        <v>2</v>
      </c>
      <c r="D47" s="70" t="s">
        <v>31</v>
      </c>
      <c r="E47" s="72">
        <v>18</v>
      </c>
      <c r="F47" s="53"/>
      <c r="G47" s="72" t="s">
        <v>42</v>
      </c>
      <c r="H47" s="75">
        <v>1728</v>
      </c>
      <c r="I47" s="75">
        <v>720</v>
      </c>
      <c r="J47" s="14">
        <f>INDEX(Inputs!C$33:C$39,MATCH(Inputs!$D47,Inputs!$B$33:$B$39,0))*Conv_2021</f>
        <v>204.40246508381631</v>
      </c>
      <c r="K47" s="14">
        <f>INDEX(Inputs!D$33:D$39,MATCH(Inputs!$D47,Inputs!$B$33:$B$39,0))*Conv_2021</f>
        <v>278.16294657795481</v>
      </c>
      <c r="L47" s="3"/>
    </row>
    <row r="48" spans="1:12" customFormat="1" ht="12.75" customHeight="1" x14ac:dyDescent="0.2">
      <c r="A48" s="3"/>
      <c r="B48" s="25" t="s">
        <v>5</v>
      </c>
      <c r="C48" s="12" t="s">
        <v>2</v>
      </c>
      <c r="D48" s="70" t="s">
        <v>32</v>
      </c>
      <c r="E48" s="72">
        <v>7</v>
      </c>
      <c r="F48" s="53"/>
      <c r="G48" s="72" t="s">
        <v>42</v>
      </c>
      <c r="H48" s="75">
        <v>672</v>
      </c>
      <c r="I48" s="75">
        <v>280</v>
      </c>
      <c r="J48" s="14">
        <f>INDEX(Inputs!C$33:C$39,MATCH(Inputs!$D48,Inputs!$B$33:$B$39,0))*Conv_2021</f>
        <v>180.7397039556931</v>
      </c>
      <c r="K48" s="14">
        <f>INDEX(Inputs!D$33:D$39,MATCH(Inputs!$D48,Inputs!$B$33:$B$39,0))*Conv_2021</f>
        <v>278.73109075756184</v>
      </c>
      <c r="L48" s="3"/>
    </row>
    <row r="49" spans="1:12" customFormat="1" ht="12.75" customHeight="1" x14ac:dyDescent="0.2">
      <c r="A49" s="3"/>
      <c r="B49" s="25" t="s">
        <v>6</v>
      </c>
      <c r="C49" s="12" t="s">
        <v>2</v>
      </c>
      <c r="D49" s="70" t="s">
        <v>32</v>
      </c>
      <c r="E49" s="72">
        <v>7</v>
      </c>
      <c r="F49" s="53"/>
      <c r="G49" s="72" t="s">
        <v>42</v>
      </c>
      <c r="H49" s="75">
        <v>672</v>
      </c>
      <c r="I49" s="75">
        <v>280</v>
      </c>
      <c r="J49" s="14">
        <f>INDEX(Inputs!C$33:C$39,MATCH(Inputs!$D49,Inputs!$B$33:$B$39,0))*Conv_2021</f>
        <v>180.7397039556931</v>
      </c>
      <c r="K49" s="14">
        <f>INDEX(Inputs!D$33:D$39,MATCH(Inputs!$D49,Inputs!$B$33:$B$39,0))*Conv_2021</f>
        <v>278.73109075756184</v>
      </c>
      <c r="L49" s="3"/>
    </row>
    <row r="50" spans="1:12" customFormat="1" ht="12.75" customHeight="1" x14ac:dyDescent="0.2">
      <c r="A50" s="3"/>
      <c r="B50" s="25" t="s">
        <v>7</v>
      </c>
      <c r="C50" s="12" t="s">
        <v>2</v>
      </c>
      <c r="D50" s="70" t="s">
        <v>32</v>
      </c>
      <c r="E50" s="72">
        <v>9</v>
      </c>
      <c r="F50" s="53"/>
      <c r="G50" s="72" t="s">
        <v>42</v>
      </c>
      <c r="H50" s="75">
        <v>864</v>
      </c>
      <c r="I50" s="75">
        <v>360</v>
      </c>
      <c r="J50" s="14">
        <f>INDEX(Inputs!C$33:C$39,MATCH(Inputs!$D50,Inputs!$B$33:$B$39,0))*Conv_2021</f>
        <v>180.7397039556931</v>
      </c>
      <c r="K50" s="14">
        <f>INDEX(Inputs!D$33:D$39,MATCH(Inputs!$D50,Inputs!$B$33:$B$39,0))*Conv_2021</f>
        <v>278.73109075756184</v>
      </c>
      <c r="L50" s="3"/>
    </row>
    <row r="51" spans="1:12" customFormat="1" ht="12.75" customHeight="1" x14ac:dyDescent="0.2">
      <c r="A51" s="3"/>
      <c r="B51" s="25" t="s">
        <v>8</v>
      </c>
      <c r="C51" s="12" t="s">
        <v>2</v>
      </c>
      <c r="D51" s="70" t="s">
        <v>31</v>
      </c>
      <c r="E51" s="72">
        <v>2</v>
      </c>
      <c r="F51" s="53"/>
      <c r="G51" s="72" t="s">
        <v>42</v>
      </c>
      <c r="H51" s="75">
        <v>192</v>
      </c>
      <c r="I51" s="75">
        <v>80</v>
      </c>
      <c r="J51" s="14">
        <f>INDEX(Inputs!C$33:C$39,MATCH(Inputs!$D51,Inputs!$B$33:$B$39,0))*Conv_2021</f>
        <v>204.40246508381631</v>
      </c>
      <c r="K51" s="14">
        <f>INDEX(Inputs!D$33:D$39,MATCH(Inputs!$D51,Inputs!$B$33:$B$39,0))*Conv_2021</f>
        <v>278.16294657795481</v>
      </c>
      <c r="L51" s="3"/>
    </row>
    <row r="52" spans="1:12" customFormat="1" ht="12.75" customHeight="1" x14ac:dyDescent="0.2">
      <c r="A52" s="3"/>
      <c r="B52" s="25" t="s">
        <v>9</v>
      </c>
      <c r="C52" s="12" t="s">
        <v>2</v>
      </c>
      <c r="D52" s="70" t="s">
        <v>32</v>
      </c>
      <c r="E52" s="72">
        <v>9</v>
      </c>
      <c r="F52" s="53"/>
      <c r="G52" s="72" t="s">
        <v>42</v>
      </c>
      <c r="H52" s="75">
        <v>864</v>
      </c>
      <c r="I52" s="75">
        <v>360</v>
      </c>
      <c r="J52" s="14">
        <f>INDEX(Inputs!C$33:C$39,MATCH(Inputs!$D52,Inputs!$B$33:$B$39,0))*Conv_2021</f>
        <v>180.7397039556931</v>
      </c>
      <c r="K52" s="14">
        <f>INDEX(Inputs!D$33:D$39,MATCH(Inputs!$D52,Inputs!$B$33:$B$39,0))*Conv_2021</f>
        <v>278.73109075756184</v>
      </c>
      <c r="L52" s="3"/>
    </row>
    <row r="53" spans="1:12" customFormat="1" ht="12.75" customHeight="1" x14ac:dyDescent="0.2">
      <c r="A53" s="3"/>
      <c r="B53" s="25" t="s">
        <v>11</v>
      </c>
      <c r="C53" s="12" t="s">
        <v>10</v>
      </c>
      <c r="D53" s="70" t="s">
        <v>33</v>
      </c>
      <c r="E53" s="72">
        <v>25</v>
      </c>
      <c r="F53" s="53"/>
      <c r="G53" s="72" t="s">
        <v>42</v>
      </c>
      <c r="H53" s="75">
        <v>2400</v>
      </c>
      <c r="I53" s="75">
        <v>1000</v>
      </c>
      <c r="J53" s="14">
        <f>INDEX(Inputs!C$33:C$39,MATCH(Inputs!$D53,Inputs!$B$33:$B$39,0))*Conv_2021</f>
        <v>213.95200393551335</v>
      </c>
      <c r="K53" s="14">
        <f>INDEX(Inputs!D$33:D$39,MATCH(Inputs!$D53,Inputs!$B$33:$B$39,0))*Conv_2021</f>
        <v>277.72360555431044</v>
      </c>
      <c r="L53" s="3"/>
    </row>
    <row r="54" spans="1:12" customFormat="1" ht="12.75" customHeight="1" x14ac:dyDescent="0.2">
      <c r="A54" s="3"/>
      <c r="B54" s="25" t="s">
        <v>12</v>
      </c>
      <c r="C54" s="12" t="s">
        <v>10</v>
      </c>
      <c r="D54" s="70" t="s">
        <v>33</v>
      </c>
      <c r="E54" s="72">
        <v>23</v>
      </c>
      <c r="F54" s="53"/>
      <c r="G54" s="72" t="s">
        <v>42</v>
      </c>
      <c r="H54" s="75">
        <v>2208</v>
      </c>
      <c r="I54" s="75">
        <v>920</v>
      </c>
      <c r="J54" s="14">
        <f>INDEX(Inputs!C$33:C$39,MATCH(Inputs!$D54,Inputs!$B$33:$B$39,0))*Conv_2021</f>
        <v>213.95200393551335</v>
      </c>
      <c r="K54" s="14">
        <f>INDEX(Inputs!D$33:D$39,MATCH(Inputs!$D54,Inputs!$B$33:$B$39,0))*Conv_2021</f>
        <v>277.72360555431044</v>
      </c>
      <c r="L54" s="3"/>
    </row>
    <row r="55" spans="1:12" customFormat="1" ht="12.75" customHeight="1" x14ac:dyDescent="0.2">
      <c r="A55" s="3"/>
      <c r="B55" s="25" t="s">
        <v>13</v>
      </c>
      <c r="C55" s="12" t="s">
        <v>10</v>
      </c>
      <c r="D55" s="70" t="s">
        <v>32</v>
      </c>
      <c r="E55" s="72">
        <v>12</v>
      </c>
      <c r="F55" s="53"/>
      <c r="G55" s="72" t="s">
        <v>42</v>
      </c>
      <c r="H55" s="75">
        <v>1152</v>
      </c>
      <c r="I55" s="75">
        <v>480</v>
      </c>
      <c r="J55" s="14">
        <f>INDEX(Inputs!C$33:C$39,MATCH(Inputs!$D55,Inputs!$B$33:$B$39,0))*Conv_2021</f>
        <v>180.7397039556931</v>
      </c>
      <c r="K55" s="14">
        <f>INDEX(Inputs!D$33:D$39,MATCH(Inputs!$D55,Inputs!$B$33:$B$39,0))*Conv_2021</f>
        <v>278.73109075756184</v>
      </c>
      <c r="L55" s="3"/>
    </row>
    <row r="56" spans="1:12" customFormat="1" ht="12.75" customHeight="1" x14ac:dyDescent="0.2">
      <c r="A56" s="3"/>
      <c r="B56" s="25" t="s">
        <v>14</v>
      </c>
      <c r="C56" s="12" t="s">
        <v>10</v>
      </c>
      <c r="D56" s="70" t="s">
        <v>32</v>
      </c>
      <c r="E56" s="72">
        <v>6</v>
      </c>
      <c r="F56" s="53"/>
      <c r="G56" s="72" t="s">
        <v>42</v>
      </c>
      <c r="H56" s="75">
        <v>576</v>
      </c>
      <c r="I56" s="75">
        <v>240</v>
      </c>
      <c r="J56" s="14">
        <f>INDEX(Inputs!C$33:C$39,MATCH(Inputs!$D56,Inputs!$B$33:$B$39,0))*Conv_2021</f>
        <v>180.7397039556931</v>
      </c>
      <c r="K56" s="14">
        <f>INDEX(Inputs!D$33:D$39,MATCH(Inputs!$D56,Inputs!$B$33:$B$39,0))*Conv_2021</f>
        <v>278.73109075756184</v>
      </c>
      <c r="L56" s="3"/>
    </row>
    <row r="57" spans="1:12" customFormat="1" ht="12.75" customHeight="1" x14ac:dyDescent="0.2">
      <c r="A57" s="3"/>
      <c r="B57" s="25" t="s">
        <v>15</v>
      </c>
      <c r="C57" s="12" t="s">
        <v>10</v>
      </c>
      <c r="D57" s="70" t="s">
        <v>32</v>
      </c>
      <c r="E57" s="72">
        <v>20</v>
      </c>
      <c r="F57" s="53"/>
      <c r="G57" s="72" t="s">
        <v>42</v>
      </c>
      <c r="H57" s="75">
        <v>1920</v>
      </c>
      <c r="I57" s="75">
        <v>800</v>
      </c>
      <c r="J57" s="14">
        <f>INDEX(Inputs!C$33:C$39,MATCH(Inputs!$D57,Inputs!$B$33:$B$39,0))*Conv_2021</f>
        <v>180.7397039556931</v>
      </c>
      <c r="K57" s="14">
        <f>INDEX(Inputs!D$33:D$39,MATCH(Inputs!$D57,Inputs!$B$33:$B$39,0))*Conv_2021</f>
        <v>278.73109075756184</v>
      </c>
      <c r="L57" s="3"/>
    </row>
    <row r="58" spans="1:12" customFormat="1" ht="12.75" customHeight="1" x14ac:dyDescent="0.2">
      <c r="A58" s="3"/>
      <c r="B58" s="25" t="s">
        <v>16</v>
      </c>
      <c r="C58" s="12" t="s">
        <v>10</v>
      </c>
      <c r="D58" s="70" t="s">
        <v>32</v>
      </c>
      <c r="E58" s="72">
        <v>7</v>
      </c>
      <c r="F58" s="53"/>
      <c r="G58" s="72" t="s">
        <v>42</v>
      </c>
      <c r="H58" s="75">
        <v>672</v>
      </c>
      <c r="I58" s="75">
        <v>280</v>
      </c>
      <c r="J58" s="14">
        <f>INDEX(Inputs!C$33:C$39,MATCH(Inputs!$D58,Inputs!$B$33:$B$39,0))*Conv_2021</f>
        <v>180.7397039556931</v>
      </c>
      <c r="K58" s="14">
        <f>INDEX(Inputs!D$33:D$39,MATCH(Inputs!$D58,Inputs!$B$33:$B$39,0))*Conv_2021</f>
        <v>278.73109075756184</v>
      </c>
      <c r="L58" s="3"/>
    </row>
    <row r="59" spans="1:12" customFormat="1" ht="12.75" customHeight="1" x14ac:dyDescent="0.2">
      <c r="A59" s="3"/>
      <c r="B59" s="25" t="s">
        <v>18</v>
      </c>
      <c r="C59" s="12" t="s">
        <v>17</v>
      </c>
      <c r="D59" s="70" t="s">
        <v>34</v>
      </c>
      <c r="E59" s="72">
        <v>7</v>
      </c>
      <c r="F59" s="63">
        <v>1</v>
      </c>
      <c r="G59" s="72" t="s">
        <v>43</v>
      </c>
      <c r="H59" s="75">
        <v>576</v>
      </c>
      <c r="I59" s="75">
        <v>240</v>
      </c>
      <c r="J59" s="14">
        <f>INDEX(Inputs!C$33:C$39,MATCH(Inputs!$D59,Inputs!$B$33:$B$39,0))*Conv_2021</f>
        <v>227.85127450888459</v>
      </c>
      <c r="K59" s="14">
        <f>INDEX(Inputs!D$33:D$39,MATCH(Inputs!$D59,Inputs!$B$33:$B$39,0))*Conv_2021</f>
        <v>338.81968280404135</v>
      </c>
      <c r="L59" s="3"/>
    </row>
    <row r="60" spans="1:12" customFormat="1" ht="12.75" customHeight="1" x14ac:dyDescent="0.2">
      <c r="A60" s="3"/>
      <c r="B60" s="25" t="s">
        <v>19</v>
      </c>
      <c r="C60" s="12" t="s">
        <v>17</v>
      </c>
      <c r="D60" s="70" t="s">
        <v>35</v>
      </c>
      <c r="E60" s="72">
        <v>6</v>
      </c>
      <c r="F60" s="63">
        <v>3</v>
      </c>
      <c r="G60" s="72" t="s">
        <v>43</v>
      </c>
      <c r="H60" s="75">
        <v>288</v>
      </c>
      <c r="I60" s="75">
        <v>120</v>
      </c>
      <c r="J60" s="14">
        <f>INDEX(Inputs!C$33:C$39,MATCH(Inputs!$D60,Inputs!$B$33:$B$39,0))*Conv_2021</f>
        <v>180.19742288127253</v>
      </c>
      <c r="K60" s="14">
        <f>INDEX(Inputs!D$33:D$39,MATCH(Inputs!$D60,Inputs!$B$33:$B$39,0))*Conv_2021</f>
        <v>260.7356676746806</v>
      </c>
      <c r="L60" s="3"/>
    </row>
    <row r="61" spans="1:12" customFormat="1" ht="12.75" customHeight="1" x14ac:dyDescent="0.2">
      <c r="A61" s="3"/>
      <c r="B61" s="25" t="s">
        <v>20</v>
      </c>
      <c r="C61" s="12" t="s">
        <v>17</v>
      </c>
      <c r="D61" s="70" t="s">
        <v>32</v>
      </c>
      <c r="E61" s="72">
        <v>8</v>
      </c>
      <c r="F61" s="63">
        <v>1</v>
      </c>
      <c r="G61" s="72" t="s">
        <v>43</v>
      </c>
      <c r="H61" s="75">
        <v>672</v>
      </c>
      <c r="I61" s="75">
        <v>280</v>
      </c>
      <c r="J61" s="14">
        <f>INDEX(Inputs!C$33:C$39,MATCH(Inputs!$D61,Inputs!$B$33:$B$39,0))*Conv_2021</f>
        <v>180.7397039556931</v>
      </c>
      <c r="K61" s="14">
        <f>INDEX(Inputs!D$33:D$39,MATCH(Inputs!$D61,Inputs!$B$33:$B$39,0))*Conv_2021</f>
        <v>278.73109075756184</v>
      </c>
      <c r="L61" s="3"/>
    </row>
    <row r="62" spans="1:12" customFormat="1" ht="12.75" customHeight="1" x14ac:dyDescent="0.2">
      <c r="A62" s="3"/>
      <c r="B62" s="25" t="s">
        <v>21</v>
      </c>
      <c r="C62" s="12" t="s">
        <v>17</v>
      </c>
      <c r="D62" s="70" t="s">
        <v>36</v>
      </c>
      <c r="E62" s="72">
        <v>15</v>
      </c>
      <c r="F62" s="63">
        <v>1</v>
      </c>
      <c r="G62" s="72" t="s">
        <v>43</v>
      </c>
      <c r="H62" s="75">
        <v>1344</v>
      </c>
      <c r="I62" s="75">
        <v>560</v>
      </c>
      <c r="J62" s="14">
        <f>INDEX(Inputs!C$33:C$39,MATCH(Inputs!$D62,Inputs!$B$33:$B$39,0))*Conv_2021</f>
        <v>220.43361876743137</v>
      </c>
      <c r="K62" s="14">
        <f>INDEX(Inputs!D$33:D$39,MATCH(Inputs!$D62,Inputs!$B$33:$B$39,0))*Conv_2021</f>
        <v>322.95338784460756</v>
      </c>
      <c r="L62" s="3"/>
    </row>
    <row r="63" spans="1:12" customFormat="1" ht="12.75" customHeight="1" x14ac:dyDescent="0.3">
      <c r="A63" s="3"/>
      <c r="B63" s="25" t="s">
        <v>22</v>
      </c>
      <c r="C63" s="12" t="s">
        <v>17</v>
      </c>
      <c r="D63" s="70" t="s">
        <v>36</v>
      </c>
      <c r="E63" s="72">
        <v>7</v>
      </c>
      <c r="F63" s="63">
        <v>3</v>
      </c>
      <c r="G63" s="72" t="s">
        <v>43</v>
      </c>
      <c r="H63" s="75">
        <v>384</v>
      </c>
      <c r="I63" s="75">
        <v>160</v>
      </c>
      <c r="J63" s="14">
        <f>INDEX(Inputs!C$33:C$39,MATCH(Inputs!$D63,Inputs!$B$33:$B$39,0))*Conv_2021</f>
        <v>220.43361876743137</v>
      </c>
      <c r="K63" s="14">
        <f>INDEX(Inputs!D$33:D$39,MATCH(Inputs!$D63,Inputs!$B$33:$B$39,0))*Conv_2021</f>
        <v>322.95338784460756</v>
      </c>
      <c r="L63" s="3"/>
    </row>
    <row r="64" spans="1:12" customFormat="1" ht="12.75" customHeight="1" x14ac:dyDescent="0.3">
      <c r="A64" s="3"/>
      <c r="B64" s="25" t="s">
        <v>23</v>
      </c>
      <c r="C64" s="12" t="s">
        <v>17</v>
      </c>
      <c r="D64" s="70" t="s">
        <v>37</v>
      </c>
      <c r="E64" s="72">
        <v>4</v>
      </c>
      <c r="F64" s="63">
        <v>1</v>
      </c>
      <c r="G64" s="72" t="s">
        <v>43</v>
      </c>
      <c r="H64" s="75">
        <v>288</v>
      </c>
      <c r="I64" s="75">
        <v>120</v>
      </c>
      <c r="J64" s="14">
        <f>INDEX(Inputs!C$33:C$39,MATCH(Inputs!$D64,Inputs!$B$33:$B$39,0))*Conv_2021</f>
        <v>239.63414677030579</v>
      </c>
      <c r="K64" s="14">
        <f>INDEX(Inputs!D$33:D$39,MATCH(Inputs!$D64,Inputs!$B$33:$B$39,0))*Conv_2021</f>
        <v>328.8646334206868</v>
      </c>
      <c r="L64" s="3"/>
    </row>
    <row r="65" spans="1:12" customFormat="1" ht="12.75" customHeight="1" x14ac:dyDescent="0.3">
      <c r="A65" s="3"/>
      <c r="B65" s="25" t="s">
        <v>24</v>
      </c>
      <c r="C65" s="12" t="s">
        <v>17</v>
      </c>
      <c r="D65" s="70" t="s">
        <v>34</v>
      </c>
      <c r="E65" s="72">
        <v>11</v>
      </c>
      <c r="F65" s="63">
        <v>1</v>
      </c>
      <c r="G65" s="72" t="s">
        <v>43</v>
      </c>
      <c r="H65" s="75">
        <v>960</v>
      </c>
      <c r="I65" s="75">
        <v>400</v>
      </c>
      <c r="J65" s="14">
        <f>INDEX(Inputs!C$33:C$39,MATCH(Inputs!$D65,Inputs!$B$33:$B$39,0))*Conv_2021</f>
        <v>227.85127450888459</v>
      </c>
      <c r="K65" s="14">
        <f>INDEX(Inputs!D$33:D$39,MATCH(Inputs!$D65,Inputs!$B$33:$B$39,0))*Conv_2021</f>
        <v>338.81968280404135</v>
      </c>
      <c r="L65" s="3"/>
    </row>
    <row r="66" spans="1:12" customFormat="1" ht="12.75" customHeight="1" x14ac:dyDescent="0.3">
      <c r="A66" s="3"/>
      <c r="B66" s="25" t="s">
        <v>25</v>
      </c>
      <c r="C66" s="12" t="s">
        <v>17</v>
      </c>
      <c r="D66" s="70" t="s">
        <v>36</v>
      </c>
      <c r="E66" s="72">
        <v>19</v>
      </c>
      <c r="F66" s="63">
        <v>5</v>
      </c>
      <c r="G66" s="72" t="s">
        <v>43</v>
      </c>
      <c r="H66" s="75">
        <v>1344</v>
      </c>
      <c r="I66" s="75">
        <v>560</v>
      </c>
      <c r="J66" s="14">
        <f>INDEX(Inputs!C$33:C$39,MATCH(Inputs!$D66,Inputs!$B$33:$B$39,0))*Conv_2021</f>
        <v>220.43361876743137</v>
      </c>
      <c r="K66" s="14">
        <f>INDEX(Inputs!D$33:D$39,MATCH(Inputs!$D66,Inputs!$B$33:$B$39,0))*Conv_2021</f>
        <v>322.95338784460756</v>
      </c>
      <c r="L66" s="3"/>
    </row>
    <row r="67" spans="1:12" customFormat="1" ht="12.75" customHeight="1" x14ac:dyDescent="0.3">
      <c r="A67" s="3"/>
      <c r="B67" s="25" t="s">
        <v>26</v>
      </c>
      <c r="C67" s="12" t="s">
        <v>17</v>
      </c>
      <c r="D67" s="70" t="s">
        <v>35</v>
      </c>
      <c r="E67" s="72">
        <v>22</v>
      </c>
      <c r="F67" s="63">
        <v>2</v>
      </c>
      <c r="G67" s="72" t="s">
        <v>43</v>
      </c>
      <c r="H67" s="75">
        <v>96</v>
      </c>
      <c r="I67" s="75">
        <v>40</v>
      </c>
      <c r="J67" s="14">
        <f>INDEX(Inputs!C$33:C$39,MATCH(Inputs!$D67,Inputs!$B$33:$B$39,0))*Conv_2021</f>
        <v>180.19742288127253</v>
      </c>
      <c r="K67" s="14">
        <f>INDEX(Inputs!D$33:D$39,MATCH(Inputs!$D67,Inputs!$B$33:$B$39,0))*Conv_2021</f>
        <v>260.7356676746806</v>
      </c>
      <c r="L67" s="3"/>
    </row>
    <row r="68" spans="1:12" customFormat="1" ht="12.75" customHeight="1" x14ac:dyDescent="0.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customFormat="1" ht="12.75" customHeight="1" x14ac:dyDescent="0.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customFormat="1" ht="12.75" customHeight="1" x14ac:dyDescent="0.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customFormat="1" ht="13.5" x14ac:dyDescent="0.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customFormat="1" ht="13.5" x14ac:dyDescent="0.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customFormat="1" ht="13.5" x14ac:dyDescent="0.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</row>
    <row r="74" spans="1:12" customFormat="1" ht="13.5" x14ac:dyDescent="0.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</row>
    <row r="75" spans="1:12" customFormat="1" ht="13.5" x14ac:dyDescent="0.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</row>
    <row r="76" spans="1:12" customFormat="1" ht="13.5" x14ac:dyDescent="0.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</row>
    <row r="77" spans="1:12" customFormat="1" ht="13.5" x14ac:dyDescent="0.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</row>
    <row r="78" spans="1:12" customFormat="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</row>
    <row r="79" spans="1:12" customForma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</row>
    <row r="80" spans="1:12" customFormat="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</row>
    <row r="81" spans="1:12" customFormat="1" ht="12.75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customFormat="1" ht="12.75" customHeight="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customFormat="1" ht="12.75" customHeight="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customFormat="1" ht="12.75" customHeight="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customFormat="1" ht="12.75" customHeight="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customFormat="1" ht="12.75" customHeight="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customFormat="1" ht="12.75" customHeight="1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customFormat="1" ht="12.75" customHeight="1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customFormat="1" ht="12.75" customHeight="1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customFormat="1" ht="12.75" customHeight="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customFormat="1" ht="12.75" customHeight="1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customFormat="1" ht="12.75" customHeight="1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customFormat="1" ht="12.75" customHeight="1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customFormat="1" ht="12.75" customHeight="1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customFormat="1" ht="12.75" customHeight="1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customFormat="1" ht="12.75" customHeight="1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customFormat="1" ht="12.75" customHeight="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customFormat="1" ht="12.75" customHeight="1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customFormat="1" ht="12.75" customHeight="1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customFormat="1" ht="12.75" customHeight="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customFormat="1" ht="12.75" customHeight="1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customFormat="1" ht="12.75" customHeight="1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customFormat="1" ht="12.75" customHeight="1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customFormat="1" ht="12.7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customFormat="1" ht="12.75" customHeight="1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customFormat="1" ht="12.75" customHeight="1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customFormat="1" ht="12.75" customHeight="1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2.75" customHeight="1" x14ac:dyDescent="0.2"/>
    <row r="109" spans="1:12" ht="12.75" customHeight="1" x14ac:dyDescent="0.2"/>
    <row r="110" spans="1:12" ht="12.75" customHeight="1" x14ac:dyDescent="0.2"/>
    <row r="111" spans="1:12" ht="12.75" customHeight="1" x14ac:dyDescent="0.2"/>
    <row r="112" spans="1: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</sheetData>
  <sortState ref="C28:E29">
    <sortCondition ref="C28:C29"/>
  </sortState>
  <dataValidations count="1">
    <dataValidation type="list" allowBlank="1" showInputMessage="1" showErrorMessage="1" sqref="C11 C14:C15">
      <formula1>$C$6:$I$6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Output</vt:lpstr>
      <vt:lpstr>Calcs</vt:lpstr>
      <vt:lpstr>Inputs</vt:lpstr>
      <vt:lpstr>Conv_2021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2020-01-03T04:46:08Z</dcterms:created>
  <dcterms:modified xsi:type="dcterms:W3CDTF">2020-01-28T06:51:30Z</dcterms:modified>
</cp:coreProperties>
</file>