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UE_R" sheetId="76" r:id="rId1"/>
    <sheet name="Output_UE_NR" sheetId="78" r:id="rId2"/>
    <sheet name="Output_VPN_R" sheetId="72" r:id="rId3"/>
    <sheet name="Output_VPN_NR" sheetId="77" r:id="rId4"/>
    <sheet name="Summary" sheetId="70" r:id="rId5"/>
    <sheet name="Assumptions" sheetId="74" r:id="rId6"/>
    <sheet name="Option 1" sheetId="69" r:id="rId7"/>
    <sheet name="Option 2" sheetId="71" r:id="rId8"/>
    <sheet name="Option 3" sheetId="73" r:id="rId9"/>
    <sheet name="Option 4" sheetId="75" r:id="rId10"/>
  </sheets>
  <definedNames>
    <definedName name="Conv_2021">Assumptions!$B$18</definedName>
    <definedName name="Option1_categories">'Option 1'!$C$27:$C$32</definedName>
    <definedName name="Option1_costs">'Option 1'!$Q$27:$U$32</definedName>
    <definedName name="Option2_categories">'Option 2'!$C$41:$C$46</definedName>
    <definedName name="Option2_costs">'Option 2'!$Q$41:$U$46</definedName>
    <definedName name="Option3_categories">'Option 3'!$C$35:$C$40</definedName>
    <definedName name="Option3_costs">'Option 3'!$Q$35:$U$40</definedName>
    <definedName name="Option4_categories">'Option 4'!$C$49:$C$54</definedName>
    <definedName name="Option4_costs">'Option 4'!$Q$49:$U$54</definedName>
    <definedName name="_xlnm.Print_Area" localSheetId="4">Summary!$A$1:$J$39</definedName>
    <definedName name="years" localSheetId="9">'Option 4'!$Q$8:$U$8</definedName>
    <definedName name="years">'Option 1'!$Q$8:$U$8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74" l="1"/>
  <c r="U21" i="73" l="1"/>
  <c r="T21" i="73"/>
  <c r="S21" i="73"/>
  <c r="R21" i="73"/>
  <c r="Q21" i="73"/>
  <c r="U20" i="73"/>
  <c r="T20" i="73"/>
  <c r="S20" i="73"/>
  <c r="R20" i="73"/>
  <c r="Q20" i="73"/>
  <c r="D5" i="76" l="1"/>
  <c r="E5" i="76" s="1"/>
  <c r="D5" i="78"/>
  <c r="E5" i="78" s="1"/>
  <c r="D5" i="72"/>
  <c r="E5" i="72" s="1"/>
  <c r="D5" i="77"/>
  <c r="E5" i="77" s="1"/>
  <c r="Z10" i="78"/>
  <c r="Y10" i="78"/>
  <c r="X10" i="78"/>
  <c r="W10" i="78"/>
  <c r="V10" i="78"/>
  <c r="S10" i="78"/>
  <c r="T10" i="78" s="1"/>
  <c r="P10" i="78"/>
  <c r="Q10" i="78" s="1"/>
  <c r="M10" i="78"/>
  <c r="J10" i="78"/>
  <c r="K10" i="78" s="1"/>
  <c r="G10" i="78"/>
  <c r="H10" i="78" s="1"/>
  <c r="A1" i="78"/>
  <c r="N10" i="78"/>
  <c r="Z10" i="77"/>
  <c r="Y10" i="77"/>
  <c r="X10" i="77"/>
  <c r="W10" i="77"/>
  <c r="V10" i="77"/>
  <c r="S10" i="77"/>
  <c r="T10" i="77" s="1"/>
  <c r="P10" i="77"/>
  <c r="Q10" i="77" s="1"/>
  <c r="M10" i="77"/>
  <c r="N10" i="77" s="1"/>
  <c r="J10" i="77"/>
  <c r="K10" i="77" s="1"/>
  <c r="G10" i="77"/>
  <c r="H10" i="77" s="1"/>
  <c r="A1" i="77"/>
  <c r="F134" i="75"/>
  <c r="F133" i="75"/>
  <c r="F132" i="75"/>
  <c r="F130" i="75"/>
  <c r="F129" i="75"/>
  <c r="F128" i="75"/>
  <c r="F126" i="75"/>
  <c r="F125" i="75"/>
  <c r="F124" i="75"/>
  <c r="F122" i="75"/>
  <c r="F121" i="75"/>
  <c r="F120" i="75"/>
  <c r="F118" i="75"/>
  <c r="F117" i="75"/>
  <c r="F116" i="75"/>
  <c r="F114" i="75"/>
  <c r="F113" i="75"/>
  <c r="F112" i="75"/>
  <c r="F110" i="75"/>
  <c r="F109" i="75"/>
  <c r="F108" i="75"/>
  <c r="F106" i="75"/>
  <c r="F105" i="75"/>
  <c r="F104" i="75"/>
  <c r="F97" i="75"/>
  <c r="F96" i="75"/>
  <c r="F95" i="75"/>
  <c r="F94" i="75"/>
  <c r="F93" i="75"/>
  <c r="F92" i="75"/>
  <c r="F91" i="75"/>
  <c r="F90" i="75"/>
  <c r="F89" i="75"/>
  <c r="F88" i="75"/>
  <c r="F87" i="75"/>
  <c r="F86" i="75"/>
  <c r="F85" i="75"/>
  <c r="F84" i="75"/>
  <c r="F83" i="75"/>
  <c r="F81" i="75"/>
  <c r="F80" i="75"/>
  <c r="F79" i="75"/>
  <c r="F78" i="75"/>
  <c r="F77" i="75"/>
  <c r="F76" i="75"/>
  <c r="F75" i="75"/>
  <c r="F74" i="75"/>
  <c r="F73" i="75"/>
  <c r="F72" i="75"/>
  <c r="F71" i="75"/>
  <c r="F70" i="75"/>
  <c r="F69" i="75"/>
  <c r="F68" i="75"/>
  <c r="F67" i="75"/>
  <c r="F116" i="73"/>
  <c r="F115" i="73"/>
  <c r="F114" i="73"/>
  <c r="F112" i="73"/>
  <c r="F111" i="73"/>
  <c r="F110" i="73"/>
  <c r="F108" i="73"/>
  <c r="F107" i="73"/>
  <c r="F106" i="73"/>
  <c r="F104" i="73"/>
  <c r="F103" i="73"/>
  <c r="F102" i="73"/>
  <c r="F100" i="73"/>
  <c r="F99" i="73"/>
  <c r="F98" i="73"/>
  <c r="F96" i="73"/>
  <c r="F95" i="73"/>
  <c r="F94" i="73"/>
  <c r="F92" i="73"/>
  <c r="F91" i="73"/>
  <c r="F90" i="73"/>
  <c r="F88" i="73"/>
  <c r="F87" i="73"/>
  <c r="F86" i="73"/>
  <c r="F79" i="73"/>
  <c r="F78" i="73"/>
  <c r="F77" i="73"/>
  <c r="F63" i="73"/>
  <c r="F62" i="73"/>
  <c r="F61" i="73"/>
  <c r="F76" i="73"/>
  <c r="F75" i="73"/>
  <c r="F74" i="73"/>
  <c r="F73" i="73"/>
  <c r="F72" i="73"/>
  <c r="F71" i="73"/>
  <c r="F70" i="73"/>
  <c r="F69" i="73"/>
  <c r="F68" i="73"/>
  <c r="F67" i="73"/>
  <c r="F66" i="73"/>
  <c r="F65" i="73"/>
  <c r="F60" i="73"/>
  <c r="F59" i="73"/>
  <c r="F58" i="73"/>
  <c r="F57" i="73"/>
  <c r="F56" i="73"/>
  <c r="F55" i="73"/>
  <c r="F54" i="73"/>
  <c r="F53" i="73"/>
  <c r="F52" i="73"/>
  <c r="F51" i="73"/>
  <c r="F50" i="73"/>
  <c r="F49" i="73"/>
  <c r="F78" i="71"/>
  <c r="F77" i="71"/>
  <c r="F76" i="71"/>
  <c r="F75" i="71"/>
  <c r="F74" i="71"/>
  <c r="F73" i="71"/>
  <c r="F72" i="71"/>
  <c r="F71" i="71"/>
  <c r="F70" i="71"/>
  <c r="F69" i="71"/>
  <c r="F68" i="71"/>
  <c r="F67" i="71"/>
  <c r="F65" i="71"/>
  <c r="F64" i="71"/>
  <c r="F63" i="71"/>
  <c r="F62" i="71"/>
  <c r="F61" i="71"/>
  <c r="F60" i="71"/>
  <c r="F59" i="71"/>
  <c r="F58" i="71"/>
  <c r="F57" i="71"/>
  <c r="F56" i="71"/>
  <c r="F55" i="71"/>
  <c r="F54" i="71"/>
  <c r="F64" i="69"/>
  <c r="F63" i="69"/>
  <c r="F62" i="69"/>
  <c r="F61" i="69"/>
  <c r="F60" i="69"/>
  <c r="F59" i="69"/>
  <c r="F58" i="69"/>
  <c r="F57" i="69"/>
  <c r="F56" i="69"/>
  <c r="F55" i="69"/>
  <c r="F54" i="69"/>
  <c r="F53" i="69"/>
  <c r="F51" i="69"/>
  <c r="F50" i="69"/>
  <c r="F49" i="69"/>
  <c r="F48" i="69"/>
  <c r="F47" i="69"/>
  <c r="F46" i="69"/>
  <c r="F45" i="69"/>
  <c r="F44" i="69"/>
  <c r="F43" i="69"/>
  <c r="F42" i="69"/>
  <c r="F40" i="69"/>
  <c r="F41" i="69"/>
  <c r="U32" i="75"/>
  <c r="T32" i="75"/>
  <c r="S32" i="75"/>
  <c r="R32" i="75"/>
  <c r="Q32" i="75"/>
  <c r="Z10" i="76"/>
  <c r="Y10" i="76"/>
  <c r="X10" i="76"/>
  <c r="W10" i="76"/>
  <c r="V10" i="76"/>
  <c r="S10" i="76"/>
  <c r="T10" i="76" s="1"/>
  <c r="P10" i="76"/>
  <c r="Q10" i="76" s="1"/>
  <c r="M10" i="76"/>
  <c r="N10" i="76" s="1"/>
  <c r="J10" i="76"/>
  <c r="K10" i="76" s="1"/>
  <c r="G10" i="76"/>
  <c r="H10" i="76" s="1"/>
  <c r="A1" i="76"/>
  <c r="U23" i="75"/>
  <c r="T23" i="75"/>
  <c r="S23" i="75"/>
  <c r="R23" i="75"/>
  <c r="Q23" i="75"/>
  <c r="U17" i="69"/>
  <c r="T17" i="69"/>
  <c r="S17" i="69"/>
  <c r="R17" i="69"/>
  <c r="Q17" i="69"/>
  <c r="U22" i="69"/>
  <c r="T22" i="69"/>
  <c r="S22" i="69"/>
  <c r="R22" i="69"/>
  <c r="Q22" i="69"/>
  <c r="U21" i="69"/>
  <c r="T21" i="69"/>
  <c r="S21" i="69"/>
  <c r="R21" i="69"/>
  <c r="Q21" i="69"/>
  <c r="U15" i="75"/>
  <c r="T15" i="75"/>
  <c r="S15" i="75"/>
  <c r="R15" i="75"/>
  <c r="Q15" i="75"/>
  <c r="Q17" i="75"/>
  <c r="R17" i="75"/>
  <c r="S17" i="75"/>
  <c r="T17" i="75"/>
  <c r="U17" i="75"/>
  <c r="U31" i="75"/>
  <c r="T31" i="75"/>
  <c r="S31" i="75"/>
  <c r="R31" i="75"/>
  <c r="Q31" i="75"/>
  <c r="U14" i="75"/>
  <c r="T14" i="75"/>
  <c r="S14" i="75"/>
  <c r="R14" i="75"/>
  <c r="Q14" i="75"/>
  <c r="U22" i="75"/>
  <c r="T22" i="75"/>
  <c r="S22" i="75"/>
  <c r="R22" i="75"/>
  <c r="Q22" i="75"/>
  <c r="C139" i="75"/>
  <c r="C46" i="75"/>
  <c r="C45" i="75"/>
  <c r="U44" i="75"/>
  <c r="T44" i="75"/>
  <c r="S44" i="75"/>
  <c r="R44" i="75"/>
  <c r="Q44" i="75"/>
  <c r="U43" i="75"/>
  <c r="T43" i="75"/>
  <c r="S43" i="75"/>
  <c r="R43" i="75"/>
  <c r="Q43" i="75"/>
  <c r="U42" i="75"/>
  <c r="T42" i="75"/>
  <c r="S42" i="75"/>
  <c r="R42" i="75"/>
  <c r="Q42" i="75"/>
  <c r="U35" i="75"/>
  <c r="T35" i="75"/>
  <c r="S35" i="75"/>
  <c r="R35" i="75"/>
  <c r="Q35" i="75"/>
  <c r="U34" i="75"/>
  <c r="T34" i="75"/>
  <c r="S34" i="75"/>
  <c r="R34" i="75"/>
  <c r="Q34" i="75"/>
  <c r="U33" i="75"/>
  <c r="T33" i="75"/>
  <c r="S33" i="75"/>
  <c r="R33" i="75"/>
  <c r="Q33" i="75"/>
  <c r="U30" i="75"/>
  <c r="T30" i="75"/>
  <c r="S30" i="75"/>
  <c r="R30" i="75"/>
  <c r="Q30" i="75"/>
  <c r="U29" i="75"/>
  <c r="T29" i="75"/>
  <c r="S29" i="75"/>
  <c r="R29" i="75"/>
  <c r="Q29" i="75"/>
  <c r="U28" i="75"/>
  <c r="T28" i="75"/>
  <c r="S28" i="75"/>
  <c r="R28" i="75"/>
  <c r="Q28" i="75"/>
  <c r="U27" i="75"/>
  <c r="T27" i="75"/>
  <c r="S27" i="75"/>
  <c r="R27" i="75"/>
  <c r="Q27" i="75"/>
  <c r="U24" i="75"/>
  <c r="T24" i="75"/>
  <c r="S24" i="75"/>
  <c r="R24" i="75"/>
  <c r="Q24" i="75"/>
  <c r="U21" i="75"/>
  <c r="T21" i="75"/>
  <c r="S21" i="75"/>
  <c r="R21" i="75"/>
  <c r="Q21" i="75"/>
  <c r="U18" i="75"/>
  <c r="T18" i="75"/>
  <c r="S18" i="75"/>
  <c r="R18" i="75"/>
  <c r="Q18" i="75"/>
  <c r="U16" i="75"/>
  <c r="T16" i="75"/>
  <c r="S16" i="75"/>
  <c r="R16" i="75"/>
  <c r="Q16" i="75"/>
  <c r="U13" i="75"/>
  <c r="T13" i="75"/>
  <c r="S13" i="75"/>
  <c r="R13" i="75"/>
  <c r="Q13" i="75"/>
  <c r="U12" i="75"/>
  <c r="T12" i="75"/>
  <c r="S12" i="75"/>
  <c r="R12" i="75"/>
  <c r="Q12" i="75"/>
  <c r="U11" i="75"/>
  <c r="T11" i="75"/>
  <c r="S11" i="75"/>
  <c r="R11" i="75"/>
  <c r="Q11" i="75"/>
  <c r="U10" i="75"/>
  <c r="T10" i="75"/>
  <c r="S10" i="75"/>
  <c r="R10" i="75"/>
  <c r="Q10" i="75"/>
  <c r="A5" i="75"/>
  <c r="A2" i="75"/>
  <c r="A1" i="75"/>
  <c r="U20" i="69"/>
  <c r="T20" i="69"/>
  <c r="S20" i="69"/>
  <c r="R20" i="69"/>
  <c r="Q20" i="69"/>
  <c r="U19" i="71"/>
  <c r="T19" i="71"/>
  <c r="S19" i="71"/>
  <c r="R19" i="71"/>
  <c r="Q19" i="71"/>
  <c r="U24" i="71"/>
  <c r="T24" i="71"/>
  <c r="S24" i="71"/>
  <c r="R24" i="71"/>
  <c r="Q24" i="71"/>
  <c r="U23" i="71"/>
  <c r="T23" i="71"/>
  <c r="S23" i="71"/>
  <c r="R23" i="71"/>
  <c r="Q23" i="71"/>
  <c r="T22" i="73"/>
  <c r="U14" i="71"/>
  <c r="T14" i="71"/>
  <c r="S14" i="71"/>
  <c r="R14" i="71"/>
  <c r="Q14" i="71"/>
  <c r="U10" i="71"/>
  <c r="U11" i="71"/>
  <c r="U12" i="71"/>
  <c r="U13" i="71"/>
  <c r="U15" i="71"/>
  <c r="U16" i="71"/>
  <c r="U17" i="71"/>
  <c r="U18" i="71"/>
  <c r="U44" i="71"/>
  <c r="U45" i="71"/>
  <c r="U46" i="71"/>
  <c r="Q10" i="71"/>
  <c r="Q11" i="71"/>
  <c r="Q12" i="71"/>
  <c r="Q13" i="71"/>
  <c r="Q15" i="71"/>
  <c r="Q16" i="71"/>
  <c r="Q17" i="71"/>
  <c r="Q18" i="71"/>
  <c r="Q44" i="71"/>
  <c r="Q45" i="71"/>
  <c r="Q46" i="71"/>
  <c r="R10" i="71"/>
  <c r="R11" i="71"/>
  <c r="R12" i="71"/>
  <c r="R13" i="71"/>
  <c r="R15" i="71"/>
  <c r="R16" i="71"/>
  <c r="R17" i="71"/>
  <c r="R18" i="71"/>
  <c r="R44" i="71"/>
  <c r="R45" i="71"/>
  <c r="R46" i="71"/>
  <c r="S10" i="71"/>
  <c r="S11" i="71"/>
  <c r="S12" i="71"/>
  <c r="S13" i="71"/>
  <c r="S15" i="71"/>
  <c r="S16" i="71"/>
  <c r="S17" i="71"/>
  <c r="S18" i="71"/>
  <c r="S44" i="71"/>
  <c r="S45" i="71"/>
  <c r="S46" i="71"/>
  <c r="T10" i="71"/>
  <c r="T11" i="71"/>
  <c r="T12" i="71"/>
  <c r="T13" i="71"/>
  <c r="T15" i="71"/>
  <c r="T16" i="71"/>
  <c r="T17" i="71"/>
  <c r="T18" i="71"/>
  <c r="T44" i="71"/>
  <c r="T45" i="71"/>
  <c r="T46" i="71"/>
  <c r="U23" i="69"/>
  <c r="S10" i="73"/>
  <c r="S11" i="73"/>
  <c r="S12" i="73"/>
  <c r="S13" i="73"/>
  <c r="S14" i="73"/>
  <c r="S15" i="73"/>
  <c r="S16" i="73"/>
  <c r="U10" i="69"/>
  <c r="U11" i="69"/>
  <c r="U12" i="69"/>
  <c r="U13" i="69"/>
  <c r="U16" i="69"/>
  <c r="U30" i="69"/>
  <c r="U31" i="69"/>
  <c r="T10" i="69"/>
  <c r="T11" i="69"/>
  <c r="T12" i="69"/>
  <c r="T13" i="69"/>
  <c r="T16" i="69"/>
  <c r="T30" i="69"/>
  <c r="T31" i="69"/>
  <c r="S10" i="69"/>
  <c r="S11" i="69"/>
  <c r="S12" i="69"/>
  <c r="S13" i="69"/>
  <c r="S16" i="69"/>
  <c r="S30" i="69"/>
  <c r="S31" i="69"/>
  <c r="R10" i="69"/>
  <c r="R11" i="69"/>
  <c r="R12" i="69"/>
  <c r="R13" i="69"/>
  <c r="R16" i="69"/>
  <c r="R30" i="69"/>
  <c r="R31" i="69"/>
  <c r="Q10" i="69"/>
  <c r="Q11" i="69"/>
  <c r="Q12" i="69"/>
  <c r="Q13" i="69"/>
  <c r="Q16" i="69"/>
  <c r="Q30" i="69"/>
  <c r="Q31" i="69"/>
  <c r="U22" i="71"/>
  <c r="U25" i="71"/>
  <c r="U28" i="71"/>
  <c r="U29" i="71"/>
  <c r="U30" i="71"/>
  <c r="U31" i="71"/>
  <c r="U32" i="71"/>
  <c r="U33" i="71"/>
  <c r="U34" i="71"/>
  <c r="U35" i="71"/>
  <c r="U36" i="71"/>
  <c r="U37" i="71"/>
  <c r="T22" i="71"/>
  <c r="T25" i="71"/>
  <c r="T28" i="71"/>
  <c r="T29" i="71"/>
  <c r="T30" i="71"/>
  <c r="T31" i="71"/>
  <c r="T32" i="71"/>
  <c r="T33" i="71"/>
  <c r="T34" i="71"/>
  <c r="T35" i="71"/>
  <c r="T36" i="71"/>
  <c r="T37" i="71"/>
  <c r="S22" i="71"/>
  <c r="S25" i="71"/>
  <c r="S28" i="71"/>
  <c r="S29" i="71"/>
  <c r="S30" i="71"/>
  <c r="S31" i="71"/>
  <c r="S32" i="71"/>
  <c r="S33" i="71"/>
  <c r="S34" i="71"/>
  <c r="S35" i="71"/>
  <c r="S36" i="71"/>
  <c r="S37" i="71"/>
  <c r="R22" i="71"/>
  <c r="R25" i="71"/>
  <c r="R28" i="71"/>
  <c r="R29" i="71"/>
  <c r="R30" i="71"/>
  <c r="R31" i="71"/>
  <c r="R32" i="71"/>
  <c r="R33" i="71"/>
  <c r="R34" i="71"/>
  <c r="R35" i="71"/>
  <c r="R36" i="71"/>
  <c r="R37" i="71"/>
  <c r="Q22" i="71"/>
  <c r="Q25" i="71"/>
  <c r="Q28" i="71"/>
  <c r="Q29" i="71"/>
  <c r="Q30" i="71"/>
  <c r="Q31" i="71"/>
  <c r="Q32" i="71"/>
  <c r="Q33" i="71"/>
  <c r="Q34" i="71"/>
  <c r="Q35" i="71"/>
  <c r="Q36" i="71"/>
  <c r="Q37" i="71"/>
  <c r="R10" i="73"/>
  <c r="R11" i="73"/>
  <c r="R12" i="73"/>
  <c r="R13" i="73"/>
  <c r="R14" i="73"/>
  <c r="R15" i="73"/>
  <c r="R16" i="73"/>
  <c r="R19" i="73"/>
  <c r="R22" i="73"/>
  <c r="R25" i="73"/>
  <c r="R26" i="73"/>
  <c r="R27" i="73"/>
  <c r="R28" i="73"/>
  <c r="R29" i="73"/>
  <c r="R30" i="73"/>
  <c r="R31" i="73"/>
  <c r="R38" i="73"/>
  <c r="R39" i="73"/>
  <c r="R40" i="73"/>
  <c r="S19" i="73"/>
  <c r="S22" i="73"/>
  <c r="S25" i="73"/>
  <c r="S26" i="73"/>
  <c r="S27" i="73"/>
  <c r="S28" i="73"/>
  <c r="S29" i="73"/>
  <c r="S30" i="73"/>
  <c r="S31" i="73"/>
  <c r="S38" i="73"/>
  <c r="S39" i="73"/>
  <c r="S40" i="73"/>
  <c r="T10" i="73"/>
  <c r="T11" i="73"/>
  <c r="T12" i="73"/>
  <c r="T13" i="73"/>
  <c r="T14" i="73"/>
  <c r="T15" i="73"/>
  <c r="T16" i="73"/>
  <c r="T19" i="73"/>
  <c r="T25" i="73"/>
  <c r="T26" i="73"/>
  <c r="T27" i="73"/>
  <c r="T28" i="73"/>
  <c r="T29" i="73"/>
  <c r="T30" i="73"/>
  <c r="T31" i="73"/>
  <c r="T38" i="73"/>
  <c r="T39" i="73"/>
  <c r="T40" i="73"/>
  <c r="U10" i="73"/>
  <c r="U11" i="73"/>
  <c r="U12" i="73"/>
  <c r="U13" i="73"/>
  <c r="U14" i="73"/>
  <c r="U15" i="73"/>
  <c r="U16" i="73"/>
  <c r="U19" i="73"/>
  <c r="U22" i="73"/>
  <c r="U25" i="73"/>
  <c r="U26" i="73"/>
  <c r="U27" i="73"/>
  <c r="U28" i="73"/>
  <c r="U29" i="73"/>
  <c r="U30" i="73"/>
  <c r="U31" i="73"/>
  <c r="U38" i="73"/>
  <c r="U39" i="73"/>
  <c r="U40" i="73"/>
  <c r="Q10" i="73"/>
  <c r="Q11" i="73"/>
  <c r="Q12" i="73"/>
  <c r="Q13" i="73"/>
  <c r="Q14" i="73"/>
  <c r="Q15" i="73"/>
  <c r="Q16" i="73"/>
  <c r="Q19" i="73"/>
  <c r="Q22" i="73"/>
  <c r="Q25" i="73"/>
  <c r="Q26" i="73"/>
  <c r="Q27" i="73"/>
  <c r="Q28" i="73"/>
  <c r="Q29" i="73"/>
  <c r="Q30" i="73"/>
  <c r="Q31" i="73"/>
  <c r="Q38" i="73"/>
  <c r="Q39" i="73"/>
  <c r="Q40" i="73"/>
  <c r="E14" i="74"/>
  <c r="F14" i="74" s="1"/>
  <c r="G14" i="74" s="1"/>
  <c r="H14" i="74" s="1"/>
  <c r="I14" i="74" s="1"/>
  <c r="J14" i="74" s="1"/>
  <c r="B18" i="74" s="1"/>
  <c r="R54" i="75" s="1"/>
  <c r="J44" i="70"/>
  <c r="I44" i="70"/>
  <c r="H44" i="70"/>
  <c r="G44" i="70"/>
  <c r="F44" i="70"/>
  <c r="A26" i="74"/>
  <c r="A25" i="74"/>
  <c r="A24" i="74"/>
  <c r="A23" i="74"/>
  <c r="A5" i="73"/>
  <c r="A5" i="71"/>
  <c r="A5" i="69"/>
  <c r="C69" i="69"/>
  <c r="C84" i="71"/>
  <c r="C121" i="73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J35" i="70"/>
  <c r="I35" i="70"/>
  <c r="H35" i="70"/>
  <c r="G35" i="70"/>
  <c r="F35" i="70"/>
  <c r="G26" i="70"/>
  <c r="H26" i="70"/>
  <c r="I26" i="70"/>
  <c r="J26" i="70"/>
  <c r="F26" i="70"/>
  <c r="C42" i="73"/>
  <c r="C41" i="73"/>
  <c r="C48" i="71"/>
  <c r="C47" i="71"/>
  <c r="C34" i="69"/>
  <c r="C33" i="69"/>
  <c r="A2" i="73"/>
  <c r="A1" i="73"/>
  <c r="A2" i="71"/>
  <c r="A1" i="71"/>
  <c r="A2" i="69"/>
  <c r="A1" i="69"/>
  <c r="A1" i="72"/>
  <c r="A2" i="70"/>
  <c r="A1" i="70"/>
  <c r="A11" i="71"/>
  <c r="A10" i="71"/>
  <c r="A12" i="71"/>
  <c r="A13" i="71"/>
  <c r="A17" i="71"/>
  <c r="A18" i="71"/>
  <c r="A20" i="71"/>
  <c r="A22" i="71"/>
  <c r="A28" i="71"/>
  <c r="T23" i="69"/>
  <c r="S23" i="69"/>
  <c r="R23" i="69"/>
  <c r="Q23" i="69"/>
  <c r="B32" i="74"/>
  <c r="Q28" i="69" l="1"/>
  <c r="Q27" i="69"/>
  <c r="R28" i="69"/>
  <c r="T32" i="69"/>
  <c r="S32" i="69"/>
  <c r="U39" i="75"/>
  <c r="T40" i="75"/>
  <c r="R42" i="71"/>
  <c r="Q36" i="73"/>
  <c r="S36" i="73"/>
  <c r="Q43" i="71"/>
  <c r="S28" i="69"/>
  <c r="R40" i="75"/>
  <c r="U29" i="69"/>
  <c r="Q41" i="71"/>
  <c r="Q29" i="69"/>
  <c r="U32" i="69"/>
  <c r="T28" i="69"/>
  <c r="U43" i="71"/>
  <c r="T41" i="71"/>
  <c r="S41" i="71"/>
  <c r="U41" i="71"/>
  <c r="S39" i="75"/>
  <c r="R43" i="71"/>
  <c r="S43" i="71"/>
  <c r="R41" i="71"/>
  <c r="Q39" i="75"/>
  <c r="T39" i="75"/>
  <c r="S40" i="75"/>
  <c r="Q41" i="75"/>
  <c r="S41" i="75"/>
  <c r="R41" i="75"/>
  <c r="S29" i="69"/>
  <c r="Q32" i="69"/>
  <c r="Q42" i="71"/>
  <c r="Q47" i="71" s="1"/>
  <c r="Q48" i="71" s="1"/>
  <c r="S42" i="71"/>
  <c r="T43" i="71"/>
  <c r="T42" i="71"/>
  <c r="U42" i="71"/>
  <c r="U40" i="75"/>
  <c r="R51" i="73"/>
  <c r="R67" i="73" s="1"/>
  <c r="S55" i="75"/>
  <c r="Q53" i="75"/>
  <c r="T55" i="75"/>
  <c r="S78" i="75"/>
  <c r="Q78" i="75"/>
  <c r="Q118" i="75" s="1"/>
  <c r="S77" i="75"/>
  <c r="S117" i="75" s="1"/>
  <c r="T76" i="75"/>
  <c r="S74" i="75"/>
  <c r="S90" i="75" s="1"/>
  <c r="U71" i="75"/>
  <c r="S70" i="75"/>
  <c r="S108" i="75" s="1"/>
  <c r="T67" i="75"/>
  <c r="T83" i="75" s="1"/>
  <c r="U60" i="73"/>
  <c r="R60" i="73"/>
  <c r="R100" i="73" s="1"/>
  <c r="T59" i="73"/>
  <c r="T99" i="73" s="1"/>
  <c r="Q59" i="73"/>
  <c r="Q99" i="73" s="1"/>
  <c r="U54" i="73"/>
  <c r="U70" i="73" s="1"/>
  <c r="U108" i="73" s="1"/>
  <c r="U53" i="73"/>
  <c r="U69" i="73" s="1"/>
  <c r="U107" i="73" s="1"/>
  <c r="U52" i="73"/>
  <c r="U90" i="73" s="1"/>
  <c r="R52" i="73"/>
  <c r="R90" i="73" s="1"/>
  <c r="U50" i="73"/>
  <c r="T65" i="71"/>
  <c r="T78" i="71" s="1"/>
  <c r="Q65" i="71"/>
  <c r="Q78" i="71" s="1"/>
  <c r="Q64" i="71"/>
  <c r="Q77" i="71" s="1"/>
  <c r="S63" i="71"/>
  <c r="S76" i="71" s="1"/>
  <c r="U59" i="71"/>
  <c r="U72" i="71" s="1"/>
  <c r="U58" i="71"/>
  <c r="U71" i="71" s="1"/>
  <c r="R58" i="71"/>
  <c r="R71" i="71" s="1"/>
  <c r="R57" i="71"/>
  <c r="R70" i="71" s="1"/>
  <c r="R56" i="71"/>
  <c r="R69" i="71" s="1"/>
  <c r="U51" i="69"/>
  <c r="U64" i="69" s="1"/>
  <c r="S51" i="69"/>
  <c r="S64" i="69" s="1"/>
  <c r="Q50" i="69"/>
  <c r="Q63" i="69" s="1"/>
  <c r="S49" i="69"/>
  <c r="S62" i="69" s="1"/>
  <c r="R45" i="69"/>
  <c r="R58" i="69" s="1"/>
  <c r="T44" i="69"/>
  <c r="T57" i="69" s="1"/>
  <c r="U43" i="69"/>
  <c r="U56" i="69" s="1"/>
  <c r="R43" i="69"/>
  <c r="R56" i="69" s="1"/>
  <c r="T75" i="73"/>
  <c r="T115" i="73" s="1"/>
  <c r="Q42" i="69"/>
  <c r="Q55" i="69" s="1"/>
  <c r="S61" i="73"/>
  <c r="S77" i="73" s="1"/>
  <c r="R46" i="69"/>
  <c r="R59" i="69" s="1"/>
  <c r="R41" i="69"/>
  <c r="R54" i="69" s="1"/>
  <c r="T81" i="75"/>
  <c r="T97" i="75" s="1"/>
  <c r="T77" i="75"/>
  <c r="Q77" i="75"/>
  <c r="Q117" i="75" s="1"/>
  <c r="R76" i="75"/>
  <c r="R116" i="75" s="1"/>
  <c r="R75" i="75"/>
  <c r="R91" i="75" s="1"/>
  <c r="T72" i="75"/>
  <c r="T110" i="75" s="1"/>
  <c r="Q72" i="75"/>
  <c r="Q88" i="75" s="1"/>
  <c r="Q126" i="75" s="1"/>
  <c r="R71" i="75"/>
  <c r="R109" i="75" s="1"/>
  <c r="T70" i="75"/>
  <c r="T108" i="75" s="1"/>
  <c r="Q70" i="75"/>
  <c r="Q108" i="75" s="1"/>
  <c r="R67" i="75"/>
  <c r="R83" i="75" s="1"/>
  <c r="S60" i="73"/>
  <c r="S76" i="73" s="1"/>
  <c r="S116" i="73" s="1"/>
  <c r="U59" i="73"/>
  <c r="U99" i="73" s="1"/>
  <c r="R59" i="73"/>
  <c r="R75" i="73" s="1"/>
  <c r="R115" i="73" s="1"/>
  <c r="U58" i="73"/>
  <c r="U98" i="73" s="1"/>
  <c r="S58" i="73"/>
  <c r="S98" i="73" s="1"/>
  <c r="Q58" i="73"/>
  <c r="Q98" i="73" s="1"/>
  <c r="T56" i="73"/>
  <c r="T72" i="73" s="1"/>
  <c r="Q56" i="73"/>
  <c r="Q72" i="73" s="1"/>
  <c r="R54" i="73"/>
  <c r="R92" i="73" s="1"/>
  <c r="R53" i="73"/>
  <c r="R91" i="73" s="1"/>
  <c r="S52" i="73"/>
  <c r="Q52" i="73"/>
  <c r="Q90" i="73" s="1"/>
  <c r="S50" i="73"/>
  <c r="U65" i="71"/>
  <c r="U78" i="71" s="1"/>
  <c r="R65" i="71"/>
  <c r="R78" i="71" s="1"/>
  <c r="T64" i="71"/>
  <c r="T77" i="71" s="1"/>
  <c r="T63" i="71"/>
  <c r="T76" i="71" s="1"/>
  <c r="Q63" i="71"/>
  <c r="Q76" i="71" s="1"/>
  <c r="R60" i="71"/>
  <c r="R73" i="71" s="1"/>
  <c r="S59" i="71"/>
  <c r="S72" i="71" s="1"/>
  <c r="S58" i="71"/>
  <c r="S71" i="71" s="1"/>
  <c r="U57" i="71"/>
  <c r="U70" i="71" s="1"/>
  <c r="U56" i="71"/>
  <c r="Q54" i="71"/>
  <c r="Q67" i="71" s="1"/>
  <c r="U50" i="69"/>
  <c r="U63" i="69" s="1"/>
  <c r="R50" i="69"/>
  <c r="R63" i="69" s="1"/>
  <c r="T49" i="69"/>
  <c r="U45" i="69"/>
  <c r="U58" i="69" s="1"/>
  <c r="Q44" i="69"/>
  <c r="Q57" i="69" s="1"/>
  <c r="S43" i="69"/>
  <c r="S56" i="69" s="1"/>
  <c r="U47" i="69"/>
  <c r="U60" i="69" s="1"/>
  <c r="T78" i="75"/>
  <c r="T118" i="75" s="1"/>
  <c r="Q76" i="75"/>
  <c r="R72" i="75"/>
  <c r="U70" i="75"/>
  <c r="U108" i="75" s="1"/>
  <c r="S59" i="73"/>
  <c r="S75" i="73" s="1"/>
  <c r="S115" i="73" s="1"/>
  <c r="T58" i="73"/>
  <c r="T98" i="73" s="1"/>
  <c r="U56" i="73"/>
  <c r="S54" i="73"/>
  <c r="S70" i="73" s="1"/>
  <c r="S108" i="73" s="1"/>
  <c r="S53" i="73"/>
  <c r="S69" i="73" s="1"/>
  <c r="S107" i="73" s="1"/>
  <c r="T50" i="73"/>
  <c r="T66" i="73" s="1"/>
  <c r="R64" i="71"/>
  <c r="R77" i="71" s="1"/>
  <c r="R63" i="71"/>
  <c r="R76" i="71" s="1"/>
  <c r="T59" i="71"/>
  <c r="T72" i="71" s="1"/>
  <c r="S57" i="71"/>
  <c r="S70" i="71" s="1"/>
  <c r="T54" i="71"/>
  <c r="T67" i="71" s="1"/>
  <c r="R51" i="69"/>
  <c r="R64" i="69" s="1"/>
  <c r="T45" i="69"/>
  <c r="T58" i="69" s="1"/>
  <c r="S44" i="69"/>
  <c r="S57" i="69" s="1"/>
  <c r="Q43" i="69"/>
  <c r="Q56" i="69" s="1"/>
  <c r="T47" i="69"/>
  <c r="T60" i="69" s="1"/>
  <c r="R47" i="69"/>
  <c r="R60" i="69" s="1"/>
  <c r="S42" i="69"/>
  <c r="S55" i="69" s="1"/>
  <c r="U61" i="73"/>
  <c r="U77" i="73" s="1"/>
  <c r="Q61" i="73"/>
  <c r="Q77" i="73" s="1"/>
  <c r="Q49" i="73"/>
  <c r="Q65" i="73" s="1"/>
  <c r="U40" i="69"/>
  <c r="U53" i="69" s="1"/>
  <c r="Q58" i="75"/>
  <c r="R53" i="75"/>
  <c r="S57" i="75"/>
  <c r="S59" i="75"/>
  <c r="Q56" i="75"/>
  <c r="S54" i="75"/>
  <c r="S58" i="75"/>
  <c r="T56" i="75"/>
  <c r="R56" i="73"/>
  <c r="R72" i="73" s="1"/>
  <c r="U64" i="71"/>
  <c r="U77" i="71" s="1"/>
  <c r="Q59" i="71"/>
  <c r="Q72" i="71" s="1"/>
  <c r="T50" i="69"/>
  <c r="T63" i="69" s="1"/>
  <c r="S76" i="75"/>
  <c r="S116" i="75" s="1"/>
  <c r="U72" i="75"/>
  <c r="U110" i="75" s="1"/>
  <c r="T71" i="75"/>
  <c r="T109" i="75" s="1"/>
  <c r="R58" i="73"/>
  <c r="R98" i="73" s="1"/>
  <c r="S56" i="73"/>
  <c r="S72" i="73" s="1"/>
  <c r="Q54" i="73"/>
  <c r="Q92" i="73" s="1"/>
  <c r="Q53" i="73"/>
  <c r="Q91" i="73" s="1"/>
  <c r="R50" i="73"/>
  <c r="U63" i="71"/>
  <c r="U76" i="71" s="1"/>
  <c r="S62" i="71"/>
  <c r="S75" i="71" s="1"/>
  <c r="R59" i="71"/>
  <c r="R72" i="71" s="1"/>
  <c r="Q57" i="71"/>
  <c r="Q70" i="71" s="1"/>
  <c r="Q51" i="69"/>
  <c r="Q64" i="69" s="1"/>
  <c r="U49" i="69"/>
  <c r="U62" i="69" s="1"/>
  <c r="S45" i="69"/>
  <c r="S58" i="69" s="1"/>
  <c r="R44" i="69"/>
  <c r="R57" i="69" s="1"/>
  <c r="U48" i="69"/>
  <c r="U61" i="69" s="1"/>
  <c r="U42" i="69"/>
  <c r="U55" i="69" s="1"/>
  <c r="R61" i="73"/>
  <c r="R77" i="73" s="1"/>
  <c r="T61" i="73"/>
  <c r="Q57" i="73"/>
  <c r="Q73" i="73" s="1"/>
  <c r="S56" i="75"/>
  <c r="Q57" i="75"/>
  <c r="Q55" i="75"/>
  <c r="U57" i="75"/>
  <c r="R55" i="75"/>
  <c r="R60" i="75"/>
  <c r="U53" i="75"/>
  <c r="U59" i="75"/>
  <c r="R78" i="75"/>
  <c r="R118" i="75" s="1"/>
  <c r="R77" i="75"/>
  <c r="S71" i="75"/>
  <c r="R70" i="75"/>
  <c r="Q60" i="73"/>
  <c r="Q100" i="73" s="1"/>
  <c r="Q50" i="73"/>
  <c r="Q66" i="73" s="1"/>
  <c r="S60" i="71"/>
  <c r="S73" i="71" s="1"/>
  <c r="Q58" i="71"/>
  <c r="Q71" i="71" s="1"/>
  <c r="T52" i="73"/>
  <c r="T90" i="73" s="1"/>
  <c r="T41" i="69"/>
  <c r="T54" i="69" s="1"/>
  <c r="T59" i="75"/>
  <c r="R68" i="75"/>
  <c r="R84" i="75" s="1"/>
  <c r="S50" i="69"/>
  <c r="S63" i="69" s="1"/>
  <c r="S41" i="69"/>
  <c r="S54" i="69" s="1"/>
  <c r="Q41" i="69"/>
  <c r="Q54" i="69" s="1"/>
  <c r="U51" i="73"/>
  <c r="U67" i="73" s="1"/>
  <c r="U58" i="75"/>
  <c r="R59" i="75"/>
  <c r="U78" i="75"/>
  <c r="U118" i="75" s="1"/>
  <c r="S72" i="75"/>
  <c r="S88" i="75" s="1"/>
  <c r="S126" i="75" s="1"/>
  <c r="T53" i="73"/>
  <c r="T69" i="73" s="1"/>
  <c r="T107" i="73" s="1"/>
  <c r="S64" i="71"/>
  <c r="S77" i="71" s="1"/>
  <c r="T57" i="71"/>
  <c r="T70" i="71" s="1"/>
  <c r="Q49" i="69"/>
  <c r="Q40" i="69"/>
  <c r="Q53" i="69" s="1"/>
  <c r="U54" i="75"/>
  <c r="S52" i="75"/>
  <c r="T57" i="75"/>
  <c r="R52" i="75"/>
  <c r="R57" i="75"/>
  <c r="U77" i="75"/>
  <c r="U117" i="75" s="1"/>
  <c r="Q71" i="75"/>
  <c r="Q109" i="75" s="1"/>
  <c r="Q56" i="71"/>
  <c r="Q69" i="71" s="1"/>
  <c r="T51" i="69"/>
  <c r="T64" i="69" s="1"/>
  <c r="Q45" i="69"/>
  <c r="Q48" i="69"/>
  <c r="Q61" i="69" s="1"/>
  <c r="T46" i="69"/>
  <c r="T59" i="69" s="1"/>
  <c r="R57" i="73"/>
  <c r="R73" i="73" s="1"/>
  <c r="T54" i="75"/>
  <c r="Q60" i="75"/>
  <c r="R56" i="75"/>
  <c r="U76" i="75"/>
  <c r="U116" i="75" s="1"/>
  <c r="U44" i="69"/>
  <c r="U57" i="69" s="1"/>
  <c r="Q47" i="69"/>
  <c r="T62" i="73"/>
  <c r="S46" i="69"/>
  <c r="S59" i="69" s="1"/>
  <c r="Q46" i="69"/>
  <c r="Q59" i="69" s="1"/>
  <c r="Q59" i="75"/>
  <c r="S53" i="75"/>
  <c r="T60" i="73"/>
  <c r="T100" i="73" s="1"/>
  <c r="T54" i="73"/>
  <c r="T92" i="73" s="1"/>
  <c r="S65" i="71"/>
  <c r="S78" i="71" s="1"/>
  <c r="T58" i="71"/>
  <c r="T71" i="71" s="1"/>
  <c r="R49" i="69"/>
  <c r="R62" i="69" s="1"/>
  <c r="T43" i="69"/>
  <c r="T56" i="69" s="1"/>
  <c r="U55" i="73"/>
  <c r="U71" i="73" s="1"/>
  <c r="S47" i="69"/>
  <c r="S60" i="69" s="1"/>
  <c r="Q51" i="73"/>
  <c r="Q67" i="73" s="1"/>
  <c r="U62" i="73"/>
  <c r="U78" i="73" s="1"/>
  <c r="R61" i="71"/>
  <c r="R74" i="71" s="1"/>
  <c r="S61" i="71"/>
  <c r="S74" i="71" s="1"/>
  <c r="U61" i="71"/>
  <c r="U74" i="71" s="1"/>
  <c r="S55" i="71"/>
  <c r="S68" i="71" s="1"/>
  <c r="U60" i="71"/>
  <c r="U73" i="71" s="1"/>
  <c r="Q62" i="73"/>
  <c r="Q78" i="73" s="1"/>
  <c r="T55" i="73"/>
  <c r="T71" i="73" s="1"/>
  <c r="S62" i="73"/>
  <c r="S78" i="73" s="1"/>
  <c r="R62" i="73"/>
  <c r="R78" i="73" s="1"/>
  <c r="R40" i="69"/>
  <c r="R53" i="69" s="1"/>
  <c r="U46" i="69"/>
  <c r="U59" i="69" s="1"/>
  <c r="S49" i="73"/>
  <c r="S54" i="71"/>
  <c r="S67" i="71" s="1"/>
  <c r="T55" i="71"/>
  <c r="T68" i="71" s="1"/>
  <c r="S67" i="75"/>
  <c r="S83" i="75" s="1"/>
  <c r="R79" i="75"/>
  <c r="R95" i="75" s="1"/>
  <c r="T80" i="75"/>
  <c r="T96" i="75" s="1"/>
  <c r="S69" i="75"/>
  <c r="Q81" i="75"/>
  <c r="Q97" i="75" s="1"/>
  <c r="U81" i="75"/>
  <c r="U97" i="75" s="1"/>
  <c r="S73" i="75"/>
  <c r="S89" i="75" s="1"/>
  <c r="T48" i="69"/>
  <c r="T61" i="69" s="1"/>
  <c r="T51" i="73"/>
  <c r="T67" i="73" s="1"/>
  <c r="T49" i="73"/>
  <c r="T65" i="73" s="1"/>
  <c r="S63" i="73"/>
  <c r="S79" i="73" s="1"/>
  <c r="T42" i="69"/>
  <c r="T55" i="69" s="1"/>
  <c r="T74" i="75"/>
  <c r="T90" i="75" s="1"/>
  <c r="R55" i="73"/>
  <c r="R71" i="73" s="1"/>
  <c r="Q61" i="71"/>
  <c r="Q74" i="71" s="1"/>
  <c r="T61" i="71"/>
  <c r="T74" i="71" s="1"/>
  <c r="S55" i="73"/>
  <c r="S71" i="73" s="1"/>
  <c r="R54" i="71"/>
  <c r="R67" i="71" s="1"/>
  <c r="Q60" i="71"/>
  <c r="Q73" i="71" s="1"/>
  <c r="Q63" i="73"/>
  <c r="Q79" i="73" s="1"/>
  <c r="U63" i="73"/>
  <c r="U79" i="73" s="1"/>
  <c r="U49" i="73"/>
  <c r="T63" i="73"/>
  <c r="T79" i="73" s="1"/>
  <c r="S57" i="73"/>
  <c r="S73" i="73" s="1"/>
  <c r="Q62" i="71"/>
  <c r="Q75" i="71" s="1"/>
  <c r="R62" i="71"/>
  <c r="R75" i="71" s="1"/>
  <c r="T62" i="71"/>
  <c r="T75" i="71" s="1"/>
  <c r="U62" i="71"/>
  <c r="U75" i="71" s="1"/>
  <c r="U41" i="69"/>
  <c r="R42" i="69"/>
  <c r="R55" i="69" s="1"/>
  <c r="T52" i="75"/>
  <c r="S79" i="75"/>
  <c r="S95" i="75" s="1"/>
  <c r="Q80" i="75"/>
  <c r="Q96" i="75" s="1"/>
  <c r="U80" i="75"/>
  <c r="U96" i="75" s="1"/>
  <c r="S60" i="75"/>
  <c r="T69" i="75"/>
  <c r="T85" i="75" s="1"/>
  <c r="S75" i="75"/>
  <c r="S91" i="75" s="1"/>
  <c r="R81" i="75"/>
  <c r="R97" i="75" s="1"/>
  <c r="S68" i="75"/>
  <c r="R73" i="75"/>
  <c r="Q74" i="75"/>
  <c r="Q90" i="75" s="1"/>
  <c r="U56" i="75"/>
  <c r="U57" i="73"/>
  <c r="U73" i="73" s="1"/>
  <c r="T57" i="73"/>
  <c r="T73" i="73" s="1"/>
  <c r="S51" i="73"/>
  <c r="S67" i="73" s="1"/>
  <c r="S56" i="71"/>
  <c r="S69" i="71" s="1"/>
  <c r="T56" i="71"/>
  <c r="T69" i="71" s="1"/>
  <c r="U54" i="71"/>
  <c r="U67" i="71" s="1"/>
  <c r="R55" i="71"/>
  <c r="R68" i="71" s="1"/>
  <c r="T60" i="71"/>
  <c r="T73" i="71" s="1"/>
  <c r="R58" i="75"/>
  <c r="Q52" i="75"/>
  <c r="U67" i="75"/>
  <c r="U83" i="75" s="1"/>
  <c r="T79" i="75"/>
  <c r="R80" i="75"/>
  <c r="R96" i="75" s="1"/>
  <c r="U69" i="75"/>
  <c r="U85" i="75" s="1"/>
  <c r="T75" i="75"/>
  <c r="T91" i="75" s="1"/>
  <c r="S81" i="75"/>
  <c r="S97" i="75" s="1"/>
  <c r="Q73" i="75"/>
  <c r="Q89" i="75" s="1"/>
  <c r="R48" i="69"/>
  <c r="R61" i="69" s="1"/>
  <c r="R63" i="73"/>
  <c r="R96" i="73" s="1"/>
  <c r="K12" i="76" s="1"/>
  <c r="R49" i="73"/>
  <c r="T40" i="69"/>
  <c r="T53" i="69" s="1"/>
  <c r="Q55" i="71"/>
  <c r="Q68" i="71" s="1"/>
  <c r="U55" i="71"/>
  <c r="U68" i="71" s="1"/>
  <c r="Q79" i="75"/>
  <c r="Q95" i="75" s="1"/>
  <c r="U79" i="75"/>
  <c r="U95" i="75" s="1"/>
  <c r="S80" i="75"/>
  <c r="R69" i="75"/>
  <c r="R85" i="75" s="1"/>
  <c r="Q75" i="75"/>
  <c r="Q91" i="75" s="1"/>
  <c r="U75" i="75"/>
  <c r="Q68" i="75"/>
  <c r="Q84" i="75" s="1"/>
  <c r="T73" i="75"/>
  <c r="T89" i="75" s="1"/>
  <c r="R74" i="75"/>
  <c r="R39" i="75"/>
  <c r="U52" i="75"/>
  <c r="T58" i="75"/>
  <c r="U60" i="75"/>
  <c r="U41" i="75"/>
  <c r="T60" i="75"/>
  <c r="T41" i="75"/>
  <c r="Q54" i="75"/>
  <c r="Q69" i="75"/>
  <c r="T53" i="75"/>
  <c r="T68" i="75"/>
  <c r="U55" i="75"/>
  <c r="U73" i="75"/>
  <c r="Q67" i="75"/>
  <c r="U74" i="75"/>
  <c r="U68" i="75"/>
  <c r="Q40" i="75"/>
  <c r="Q55" i="73"/>
  <c r="Q71" i="73" s="1"/>
  <c r="Q35" i="73"/>
  <c r="U37" i="73"/>
  <c r="R36" i="73"/>
  <c r="U35" i="73"/>
  <c r="S37" i="73"/>
  <c r="R37" i="73"/>
  <c r="T36" i="73"/>
  <c r="T37" i="73"/>
  <c r="Q37" i="73"/>
  <c r="S35" i="73"/>
  <c r="U72" i="73"/>
  <c r="U36" i="73"/>
  <c r="R35" i="73"/>
  <c r="T35" i="73"/>
  <c r="T29" i="69"/>
  <c r="U27" i="69"/>
  <c r="R32" i="69"/>
  <c r="T27" i="69"/>
  <c r="U28" i="69"/>
  <c r="R29" i="69"/>
  <c r="S27" i="69"/>
  <c r="R27" i="69"/>
  <c r="S40" i="69"/>
  <c r="S48" i="69"/>
  <c r="S61" i="69" s="1"/>
  <c r="Q49" i="71" l="1"/>
  <c r="Q45" i="75"/>
  <c r="S92" i="73"/>
  <c r="Q41" i="73"/>
  <c r="Q76" i="73"/>
  <c r="Q116" i="73" s="1"/>
  <c r="U75" i="73"/>
  <c r="U115" i="73" s="1"/>
  <c r="T87" i="73"/>
  <c r="P12" i="72" s="1"/>
  <c r="U45" i="75"/>
  <c r="U46" i="75" s="1"/>
  <c r="T106" i="75"/>
  <c r="Q33" i="69"/>
  <c r="R47" i="71"/>
  <c r="R48" i="71" s="1"/>
  <c r="U47" i="71"/>
  <c r="U48" i="71" s="1"/>
  <c r="R45" i="75"/>
  <c r="H16" i="70"/>
  <c r="T45" i="75"/>
  <c r="T47" i="75" s="1"/>
  <c r="R86" i="73"/>
  <c r="I12" i="72" s="1"/>
  <c r="R68" i="73"/>
  <c r="R106" i="73" s="1"/>
  <c r="S47" i="71"/>
  <c r="S48" i="71" s="1"/>
  <c r="U114" i="75"/>
  <c r="T88" i="75"/>
  <c r="T126" i="75" s="1"/>
  <c r="S86" i="73"/>
  <c r="L12" i="72" s="1"/>
  <c r="S41" i="73"/>
  <c r="S43" i="73" s="1"/>
  <c r="T91" i="73"/>
  <c r="R41" i="73"/>
  <c r="R43" i="73" s="1"/>
  <c r="R79" i="73"/>
  <c r="R112" i="73" s="1"/>
  <c r="K12" i="78" s="1"/>
  <c r="R111" i="73"/>
  <c r="J12" i="78" s="1"/>
  <c r="S96" i="73"/>
  <c r="N12" i="76" s="1"/>
  <c r="G17" i="70"/>
  <c r="Q69" i="73"/>
  <c r="Q107" i="73" s="1"/>
  <c r="T47" i="71"/>
  <c r="Q110" i="75"/>
  <c r="R76" i="73"/>
  <c r="R116" i="73" s="1"/>
  <c r="T33" i="69"/>
  <c r="T35" i="69" s="1"/>
  <c r="R99" i="73"/>
  <c r="S33" i="69"/>
  <c r="S35" i="69" s="1"/>
  <c r="S113" i="75"/>
  <c r="S45" i="75"/>
  <c r="S92" i="75"/>
  <c r="S132" i="75" s="1"/>
  <c r="S99" i="73"/>
  <c r="S65" i="73"/>
  <c r="S102" i="73" s="1"/>
  <c r="L12" i="77" s="1"/>
  <c r="R113" i="75"/>
  <c r="Q112" i="73"/>
  <c r="H12" i="78" s="1"/>
  <c r="R104" i="75"/>
  <c r="Q95" i="73"/>
  <c r="G12" i="76" s="1"/>
  <c r="Q68" i="73"/>
  <c r="Q106" i="73" s="1"/>
  <c r="T104" i="75"/>
  <c r="U91" i="73"/>
  <c r="R88" i="73"/>
  <c r="K12" i="72" s="1"/>
  <c r="R105" i="75"/>
  <c r="R120" i="75"/>
  <c r="T113" i="75"/>
  <c r="U96" i="73"/>
  <c r="T12" i="76" s="1"/>
  <c r="Q96" i="73"/>
  <c r="H12" i="76" s="1"/>
  <c r="T95" i="73"/>
  <c r="P12" i="76" s="1"/>
  <c r="R112" i="75"/>
  <c r="T78" i="73"/>
  <c r="T111" i="73" s="1"/>
  <c r="P12" i="78" s="1"/>
  <c r="S112" i="75"/>
  <c r="S110" i="73"/>
  <c r="L12" i="78" s="1"/>
  <c r="S96" i="75"/>
  <c r="S105" i="75"/>
  <c r="H29" i="70"/>
  <c r="Q70" i="73"/>
  <c r="Q108" i="73" s="1"/>
  <c r="S95" i="73"/>
  <c r="M12" i="76" s="1"/>
  <c r="Q88" i="73"/>
  <c r="H12" i="72" s="1"/>
  <c r="T129" i="75"/>
  <c r="S128" i="75"/>
  <c r="S120" i="75"/>
  <c r="T96" i="73"/>
  <c r="Q12" i="76" s="1"/>
  <c r="U94" i="75"/>
  <c r="U134" i="75" s="1"/>
  <c r="U110" i="73"/>
  <c r="R12" i="78" s="1"/>
  <c r="J29" i="70"/>
  <c r="S94" i="73"/>
  <c r="L12" i="76" s="1"/>
  <c r="S114" i="75"/>
  <c r="T112" i="75"/>
  <c r="U74" i="73"/>
  <c r="U114" i="73" s="1"/>
  <c r="Q128" i="75"/>
  <c r="Q129" i="75"/>
  <c r="U87" i="73"/>
  <c r="S12" i="72" s="1"/>
  <c r="S112" i="73"/>
  <c r="N12" i="78" s="1"/>
  <c r="H28" i="70"/>
  <c r="R87" i="73"/>
  <c r="J12" i="72" s="1"/>
  <c r="T79" i="71"/>
  <c r="H17" i="70"/>
  <c r="R122" i="75"/>
  <c r="U106" i="75"/>
  <c r="T104" i="73"/>
  <c r="Q12" i="77" s="1"/>
  <c r="U104" i="73"/>
  <c r="T12" i="77" s="1"/>
  <c r="U66" i="73"/>
  <c r="U103" i="73" s="1"/>
  <c r="S12" i="77" s="1"/>
  <c r="T76" i="73"/>
  <c r="T116" i="73" s="1"/>
  <c r="Q94" i="75"/>
  <c r="Q134" i="75" s="1"/>
  <c r="Q113" i="75"/>
  <c r="U54" i="69"/>
  <c r="J12" i="70" s="1"/>
  <c r="S88" i="73"/>
  <c r="N12" i="72" s="1"/>
  <c r="R106" i="75"/>
  <c r="U112" i="73"/>
  <c r="T12" i="78" s="1"/>
  <c r="T74" i="73"/>
  <c r="T114" i="73" s="1"/>
  <c r="R65" i="73"/>
  <c r="R102" i="73" s="1"/>
  <c r="I12" i="77" s="1"/>
  <c r="T114" i="75"/>
  <c r="Q121" i="75"/>
  <c r="G12" i="70"/>
  <c r="R79" i="71"/>
  <c r="R121" i="75"/>
  <c r="R94" i="75"/>
  <c r="R134" i="75" s="1"/>
  <c r="S104" i="75"/>
  <c r="T86" i="73"/>
  <c r="O12" i="72" s="1"/>
  <c r="S87" i="73"/>
  <c r="M12" i="72" s="1"/>
  <c r="Q93" i="75"/>
  <c r="Q133" i="75" s="1"/>
  <c r="Q105" i="75"/>
  <c r="Q114" i="75"/>
  <c r="I28" i="70"/>
  <c r="Q86" i="75"/>
  <c r="Q124" i="75" s="1"/>
  <c r="S111" i="73"/>
  <c r="M12" i="78" s="1"/>
  <c r="R130" i="75"/>
  <c r="S86" i="75"/>
  <c r="S124" i="75" s="1"/>
  <c r="I12" i="70"/>
  <c r="I16" i="70"/>
  <c r="J13" i="70"/>
  <c r="J16" i="70"/>
  <c r="Q79" i="71"/>
  <c r="Q81" i="71" s="1"/>
  <c r="R104" i="73"/>
  <c r="K12" i="77" s="1"/>
  <c r="R108" i="75"/>
  <c r="R86" i="75"/>
  <c r="R124" i="75" s="1"/>
  <c r="Q60" i="69"/>
  <c r="F13" i="70" s="1"/>
  <c r="R88" i="75"/>
  <c r="R126" i="75" s="1"/>
  <c r="R110" i="75"/>
  <c r="U76" i="73"/>
  <c r="U116" i="73" s="1"/>
  <c r="U100" i="73"/>
  <c r="G28" i="70"/>
  <c r="R95" i="73"/>
  <c r="J12" i="76" s="1"/>
  <c r="T88" i="73"/>
  <c r="Q12" i="72" s="1"/>
  <c r="R66" i="73"/>
  <c r="R103" i="73" s="1"/>
  <c r="J12" i="77" s="1"/>
  <c r="Q112" i="75"/>
  <c r="Q61" i="75"/>
  <c r="Q130" i="75"/>
  <c r="U65" i="73"/>
  <c r="U102" i="73" s="1"/>
  <c r="R12" i="77" s="1"/>
  <c r="U86" i="73"/>
  <c r="R12" i="72" s="1"/>
  <c r="U69" i="71"/>
  <c r="U79" i="71" s="1"/>
  <c r="S87" i="75"/>
  <c r="S125" i="75" s="1"/>
  <c r="S109" i="75"/>
  <c r="T87" i="75"/>
  <c r="T125" i="75" s="1"/>
  <c r="Q92" i="75"/>
  <c r="Q132" i="75" s="1"/>
  <c r="Q116" i="75"/>
  <c r="T94" i="75"/>
  <c r="T134" i="75" s="1"/>
  <c r="S66" i="73"/>
  <c r="R69" i="73"/>
  <c r="R107" i="73" s="1"/>
  <c r="F12" i="70"/>
  <c r="J17" i="70"/>
  <c r="I29" i="70"/>
  <c r="S79" i="71"/>
  <c r="Q111" i="73"/>
  <c r="G12" i="78" s="1"/>
  <c r="U111" i="73"/>
  <c r="S12" i="78" s="1"/>
  <c r="U68" i="73"/>
  <c r="U106" i="73" s="1"/>
  <c r="R94" i="73"/>
  <c r="I12" i="76" s="1"/>
  <c r="Q104" i="73"/>
  <c r="H12" i="77" s="1"/>
  <c r="U88" i="73"/>
  <c r="T12" i="72" s="1"/>
  <c r="T70" i="73"/>
  <c r="T108" i="73" s="1"/>
  <c r="Q103" i="73"/>
  <c r="G12" i="77" s="1"/>
  <c r="R89" i="75"/>
  <c r="R128" i="75" s="1"/>
  <c r="T61" i="75"/>
  <c r="T95" i="75"/>
  <c r="T120" i="75" s="1"/>
  <c r="S84" i="75"/>
  <c r="S121" i="75" s="1"/>
  <c r="U122" i="75"/>
  <c r="S110" i="75"/>
  <c r="R114" i="75"/>
  <c r="T86" i="75"/>
  <c r="T124" i="75" s="1"/>
  <c r="R90" i="75"/>
  <c r="R129" i="75" s="1"/>
  <c r="U104" i="75"/>
  <c r="R74" i="73"/>
  <c r="R114" i="73" s="1"/>
  <c r="U88" i="75"/>
  <c r="U126" i="75" s="1"/>
  <c r="Q75" i="73"/>
  <c r="Q115" i="73" s="1"/>
  <c r="U92" i="75"/>
  <c r="U132" i="75" s="1"/>
  <c r="T62" i="69"/>
  <c r="T65" i="69" s="1"/>
  <c r="Q58" i="69"/>
  <c r="F16" i="70" s="1"/>
  <c r="S93" i="75"/>
  <c r="S133" i="75" s="1"/>
  <c r="Q74" i="73"/>
  <c r="Q114" i="73" s="1"/>
  <c r="R92" i="75"/>
  <c r="R132" i="75" s="1"/>
  <c r="T122" i="75"/>
  <c r="U91" i="75"/>
  <c r="U130" i="75" s="1"/>
  <c r="R93" i="75"/>
  <c r="R133" i="75" s="1"/>
  <c r="R117" i="75"/>
  <c r="T94" i="73"/>
  <c r="O12" i="76" s="1"/>
  <c r="Q62" i="69"/>
  <c r="F17" i="70" s="1"/>
  <c r="Q87" i="75"/>
  <c r="Q125" i="75" s="1"/>
  <c r="G13" i="70"/>
  <c r="U87" i="75"/>
  <c r="U125" i="75" s="1"/>
  <c r="U109" i="75"/>
  <c r="R65" i="69"/>
  <c r="S103" i="73"/>
  <c r="M12" i="77" s="1"/>
  <c r="S85" i="75"/>
  <c r="S122" i="75" s="1"/>
  <c r="S106" i="75"/>
  <c r="R61" i="75"/>
  <c r="H13" i="70"/>
  <c r="I13" i="70"/>
  <c r="G16" i="70"/>
  <c r="U95" i="73"/>
  <c r="S12" i="76" s="1"/>
  <c r="T77" i="73"/>
  <c r="T110" i="73" s="1"/>
  <c r="O12" i="78" s="1"/>
  <c r="U94" i="73"/>
  <c r="R12" i="76" s="1"/>
  <c r="U92" i="73"/>
  <c r="Q86" i="73"/>
  <c r="F12" i="72" s="1"/>
  <c r="S91" i="73"/>
  <c r="S100" i="73"/>
  <c r="U120" i="75"/>
  <c r="S130" i="75"/>
  <c r="S61" i="75"/>
  <c r="Q87" i="73"/>
  <c r="G12" i="72" s="1"/>
  <c r="T68" i="73"/>
  <c r="T106" i="73" s="1"/>
  <c r="U93" i="75"/>
  <c r="U133" i="75" s="1"/>
  <c r="U86" i="75"/>
  <c r="U124" i="75" s="1"/>
  <c r="S68" i="73"/>
  <c r="S106" i="73" s="1"/>
  <c r="S90" i="73"/>
  <c r="T93" i="75"/>
  <c r="T133" i="75" s="1"/>
  <c r="T117" i="75"/>
  <c r="R70" i="73"/>
  <c r="R108" i="73" s="1"/>
  <c r="S74" i="73"/>
  <c r="S114" i="73" s="1"/>
  <c r="R87" i="75"/>
  <c r="R125" i="75" s="1"/>
  <c r="T92" i="75"/>
  <c r="T132" i="75" s="1"/>
  <c r="T116" i="75"/>
  <c r="S94" i="75"/>
  <c r="S134" i="75" s="1"/>
  <c r="S118" i="75"/>
  <c r="T46" i="75"/>
  <c r="U47" i="75"/>
  <c r="Q47" i="75"/>
  <c r="Q46" i="75"/>
  <c r="U89" i="75"/>
  <c r="U128" i="75" s="1"/>
  <c r="U112" i="75"/>
  <c r="R46" i="75"/>
  <c r="R47" i="75"/>
  <c r="U113" i="75"/>
  <c r="U90" i="75"/>
  <c r="U129" i="75" s="1"/>
  <c r="Q106" i="75"/>
  <c r="Q85" i="75"/>
  <c r="Q122" i="75" s="1"/>
  <c r="S129" i="75"/>
  <c r="T130" i="75"/>
  <c r="T105" i="75"/>
  <c r="T84" i="75"/>
  <c r="T121" i="75" s="1"/>
  <c r="U84" i="75"/>
  <c r="U121" i="75" s="1"/>
  <c r="U105" i="75"/>
  <c r="Q104" i="75"/>
  <c r="Q83" i="75"/>
  <c r="Q120" i="75" s="1"/>
  <c r="U61" i="75"/>
  <c r="Q110" i="73"/>
  <c r="F12" i="78" s="1"/>
  <c r="R110" i="73"/>
  <c r="I12" i="78" s="1"/>
  <c r="Q94" i="73"/>
  <c r="F12" i="76" s="1"/>
  <c r="U41" i="73"/>
  <c r="U43" i="73" s="1"/>
  <c r="T112" i="73"/>
  <c r="Q12" i="78" s="1"/>
  <c r="Q102" i="73"/>
  <c r="F12" i="77" s="1"/>
  <c r="T41" i="73"/>
  <c r="T42" i="73" s="1"/>
  <c r="U42" i="73"/>
  <c r="S42" i="73"/>
  <c r="S104" i="73"/>
  <c r="N12" i="77" s="1"/>
  <c r="Q42" i="73"/>
  <c r="Q43" i="73"/>
  <c r="S49" i="71"/>
  <c r="F28" i="70"/>
  <c r="U49" i="71"/>
  <c r="R49" i="71"/>
  <c r="S53" i="69"/>
  <c r="H12" i="70" s="1"/>
  <c r="T34" i="69"/>
  <c r="U33" i="69"/>
  <c r="R33" i="69"/>
  <c r="T103" i="73" l="1"/>
  <c r="P12" i="77" s="1"/>
  <c r="S81" i="71"/>
  <c r="Z12" i="76"/>
  <c r="G29" i="70"/>
  <c r="G30" i="70" s="1"/>
  <c r="F29" i="70"/>
  <c r="F30" i="70" s="1"/>
  <c r="H18" i="70"/>
  <c r="Z12" i="78"/>
  <c r="W12" i="76"/>
  <c r="Y12" i="72"/>
  <c r="W12" i="72"/>
  <c r="S34" i="69"/>
  <c r="X12" i="76"/>
  <c r="Q35" i="69"/>
  <c r="Q34" i="69"/>
  <c r="W12" i="77"/>
  <c r="X12" i="72"/>
  <c r="Y12" i="76"/>
  <c r="V12" i="72"/>
  <c r="R81" i="71"/>
  <c r="G46" i="70"/>
  <c r="R42" i="73"/>
  <c r="G18" i="70"/>
  <c r="S47" i="75"/>
  <c r="S46" i="75"/>
  <c r="S63" i="75" s="1"/>
  <c r="H38" i="70"/>
  <c r="U65" i="69"/>
  <c r="T49" i="71"/>
  <c r="W49" i="71" s="1"/>
  <c r="W3" i="71" s="1"/>
  <c r="T48" i="71"/>
  <c r="T81" i="71" s="1"/>
  <c r="H30" i="70"/>
  <c r="G14" i="70"/>
  <c r="J38" i="70"/>
  <c r="J37" i="70"/>
  <c r="F47" i="70"/>
  <c r="I30" i="70"/>
  <c r="T102" i="73"/>
  <c r="F38" i="70" s="1"/>
  <c r="I14" i="70"/>
  <c r="J14" i="70"/>
  <c r="T80" i="73"/>
  <c r="T82" i="73" s="1"/>
  <c r="Q80" i="73"/>
  <c r="Q82" i="73" s="1"/>
  <c r="T98" i="75"/>
  <c r="T63" i="75"/>
  <c r="R135" i="75"/>
  <c r="Q117" i="73"/>
  <c r="H47" i="70"/>
  <c r="I17" i="70"/>
  <c r="I18" i="70" s="1"/>
  <c r="H46" i="70"/>
  <c r="J28" i="70"/>
  <c r="J30" i="70" s="1"/>
  <c r="F14" i="70"/>
  <c r="J18" i="70"/>
  <c r="F18" i="70"/>
  <c r="H14" i="70"/>
  <c r="E84" i="71"/>
  <c r="S80" i="73"/>
  <c r="S82" i="73" s="1"/>
  <c r="R98" i="75"/>
  <c r="R137" i="75" s="1"/>
  <c r="S98" i="75"/>
  <c r="S100" i="75" s="1"/>
  <c r="R63" i="75"/>
  <c r="Q65" i="69"/>
  <c r="T67" i="69"/>
  <c r="U81" i="71"/>
  <c r="U80" i="73"/>
  <c r="R80" i="73"/>
  <c r="Q98" i="75"/>
  <c r="Q100" i="75" s="1"/>
  <c r="T128" i="75"/>
  <c r="I47" i="70" s="1"/>
  <c r="G47" i="70"/>
  <c r="X12" i="78"/>
  <c r="V12" i="78"/>
  <c r="Z12" i="72"/>
  <c r="W12" i="78"/>
  <c r="Z12" i="77"/>
  <c r="V12" i="76"/>
  <c r="U117" i="73"/>
  <c r="S135" i="75"/>
  <c r="J47" i="70"/>
  <c r="W47" i="75"/>
  <c r="W3" i="75" s="1"/>
  <c r="F46" i="70"/>
  <c r="Q135" i="75"/>
  <c r="I46" i="70"/>
  <c r="U63" i="75"/>
  <c r="U135" i="75"/>
  <c r="J46" i="70"/>
  <c r="Q63" i="75"/>
  <c r="U98" i="75"/>
  <c r="T100" i="75"/>
  <c r="X12" i="77"/>
  <c r="T43" i="73"/>
  <c r="W43" i="73" s="1"/>
  <c r="W3" i="73" s="1"/>
  <c r="R117" i="73"/>
  <c r="Y12" i="78"/>
  <c r="H37" i="70"/>
  <c r="I38" i="70"/>
  <c r="S117" i="73"/>
  <c r="R35" i="69"/>
  <c r="R34" i="69"/>
  <c r="S65" i="69"/>
  <c r="U34" i="69"/>
  <c r="U35" i="69"/>
  <c r="W81" i="71" l="1"/>
  <c r="F37" i="70"/>
  <c r="F39" i="70" s="1"/>
  <c r="G38" i="70"/>
  <c r="G49" i="70"/>
  <c r="G37" i="70"/>
  <c r="I37" i="70"/>
  <c r="I39" i="70" s="1"/>
  <c r="O12" i="77"/>
  <c r="Y12" i="77" s="1"/>
  <c r="H21" i="70"/>
  <c r="AB12" i="76"/>
  <c r="S67" i="69"/>
  <c r="AB12" i="72"/>
  <c r="R82" i="73"/>
  <c r="S119" i="73"/>
  <c r="G21" i="70"/>
  <c r="H39" i="70"/>
  <c r="U67" i="69"/>
  <c r="T117" i="73"/>
  <c r="T119" i="73" s="1"/>
  <c r="R100" i="75"/>
  <c r="F31" i="70"/>
  <c r="J39" i="70"/>
  <c r="I21" i="70"/>
  <c r="L30" i="70"/>
  <c r="F49" i="70"/>
  <c r="T135" i="75"/>
  <c r="T137" i="75" s="1"/>
  <c r="Q119" i="73"/>
  <c r="U119" i="73"/>
  <c r="J21" i="70"/>
  <c r="L14" i="70"/>
  <c r="F21" i="70"/>
  <c r="H49" i="70"/>
  <c r="L18" i="70"/>
  <c r="U82" i="73"/>
  <c r="W82" i="73" s="1"/>
  <c r="S137" i="75"/>
  <c r="I49" i="70"/>
  <c r="J49" i="70"/>
  <c r="R119" i="73"/>
  <c r="E69" i="69"/>
  <c r="Q67" i="69"/>
  <c r="V12" i="77"/>
  <c r="U137" i="75"/>
  <c r="Q137" i="75"/>
  <c r="AB12" i="78"/>
  <c r="W63" i="75"/>
  <c r="U100" i="75"/>
  <c r="R67" i="69"/>
  <c r="W35" i="69"/>
  <c r="W3" i="69" s="1"/>
  <c r="G39" i="70" l="1"/>
  <c r="L39" i="70" s="1"/>
  <c r="E121" i="73"/>
  <c r="AB12" i="77"/>
  <c r="E139" i="75"/>
  <c r="W100" i="75"/>
  <c r="W67" i="69"/>
  <c r="L21" i="70"/>
  <c r="F22" i="70"/>
  <c r="W119" i="73"/>
  <c r="L49" i="70"/>
  <c r="W137" i="75"/>
  <c r="F50" i="70"/>
  <c r="D6" i="77"/>
  <c r="D6" i="72"/>
  <c r="D7" i="70" s="1"/>
  <c r="D6" i="78"/>
  <c r="D6" i="76"/>
  <c r="F40" i="70" l="1"/>
</calcChain>
</file>

<file path=xl/sharedStrings.xml><?xml version="1.0" encoding="utf-8"?>
<sst xmlns="http://schemas.openxmlformats.org/spreadsheetml/2006/main" count="1230" uniqueCount="107">
  <si>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</si>
  <si>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</si>
  <si>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</si>
  <si>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</si>
  <si>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</si>
  <si>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</si>
  <si>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</si>
  <si>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</si>
  <si>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</si>
  <si>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</si>
  <si>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</si>
  <si>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</si>
  <si>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</si>
  <si>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</si>
  <si>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</si>
  <si>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</si>
  <si>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</si>
  <si>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</si>
  <si>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</si>
  <si>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</si>
  <si>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</si>
  <si>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</si>
  <si>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</si>
  <si>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</si>
  <si>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</si>
  <si>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</si>
  <si>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</si>
  <si>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</si>
  <si>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</si>
  <si>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</si>
  <si>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</si>
  <si>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</si>
  <si>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</si>
  <si>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</si>
  <si>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</si>
  <si>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</si>
  <si>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</si>
  <si>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</si>
  <si>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</si>
  <si>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</si>
  <si>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</si>
  <si>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</si>
  <si>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</si>
  <si>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</si>
  <si>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</si>
  <si>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</si>
  <si>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</si>
  <si>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</si>
  <si>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</si>
  <si>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Prepare and Analyse</t>
  </si>
  <si>
    <t>Upgrade</t>
  </si>
  <si>
    <t>Test &amp; Deploy</t>
  </si>
  <si>
    <t>Embed</t>
  </si>
  <si>
    <t>Currency Maintenance</t>
  </si>
  <si>
    <t>UE</t>
  </si>
  <si>
    <t>Option 4</t>
  </si>
  <si>
    <t>Option</t>
  </si>
  <si>
    <t>Maintain existing VPN &amp; UE SAP systems using external support</t>
  </si>
  <si>
    <t>Implement separate instances of S/4 ERP for VPN &amp; UE</t>
  </si>
  <si>
    <t>Implement one integrated instance of S/4 ERP for VPN &amp; UE to use</t>
  </si>
  <si>
    <t>Implement one integrated instance of a non SAP ERP for VPN &amp; UE to use</t>
  </si>
  <si>
    <t>Option 3</t>
  </si>
  <si>
    <t>Hours</t>
  </si>
  <si>
    <t>Each</t>
  </si>
  <si>
    <t>All</t>
  </si>
  <si>
    <t>VPN &amp; UE</t>
  </si>
  <si>
    <t>SAP S/4 HANA</t>
  </si>
  <si>
    <t>Currency maintenance</t>
  </si>
  <si>
    <t>Additional third party support costs</t>
  </si>
  <si>
    <t>Migration to third party support</t>
  </si>
  <si>
    <t>Intergrate</t>
  </si>
  <si>
    <t>Operational change management</t>
  </si>
  <si>
    <t>Integrate</t>
  </si>
  <si>
    <t>Operational change management support</t>
  </si>
  <si>
    <t>United Energy</t>
  </si>
  <si>
    <t>Summary split by company</t>
  </si>
  <si>
    <t>LabourVPN</t>
  </si>
  <si>
    <t>MaterialsVPN</t>
  </si>
  <si>
    <t>ContractsVPN</t>
  </si>
  <si>
    <t>LabourUE</t>
  </si>
  <si>
    <t>MaterialsUE</t>
  </si>
  <si>
    <t>ContractsUE</t>
  </si>
  <si>
    <t>Total Expenditure ($ 2020/21)</t>
  </si>
  <si>
    <t>LabourAll</t>
  </si>
  <si>
    <t>MaterialsAll</t>
  </si>
  <si>
    <t>ContractsAll</t>
  </si>
  <si>
    <t>Contracts Opex</t>
  </si>
  <si>
    <t>Labour Opex</t>
  </si>
  <si>
    <t>Materials Opex</t>
  </si>
  <si>
    <t>Materials opex</t>
  </si>
  <si>
    <t>VPN Opex</t>
  </si>
  <si>
    <t>UE Opex</t>
  </si>
  <si>
    <t>VPN opex</t>
  </si>
  <si>
    <t>S4 upgrade</t>
  </si>
  <si>
    <t>UE opex</t>
  </si>
  <si>
    <t>Total Opex ($, 2020/21)</t>
  </si>
  <si>
    <t>Total Capex ($, 2020/21)</t>
  </si>
  <si>
    <t>VPN - Non Recurrent</t>
  </si>
  <si>
    <t>UE - Non Recurrent</t>
  </si>
  <si>
    <t>UE - Recurrent</t>
  </si>
  <si>
    <t>VPN - Recurrent</t>
  </si>
  <si>
    <t>NPV ($ 2020/21)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</si>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</sst>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#,##0.0_ ;[Red]\-#,##0.0\ "/>
    <numFmt numFmtId="175" formatCode="#,##0.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i/>
      <sz val="8"/>
      <color theme="0" tint="-0.34998626667073579"/>
      <name val="Calibri"/>
      <family val="2"/>
      <scheme val="minor"/>
    </font>
    <font>
      <b/>
      <sz val="12"/>
      <color rgb="FFFFFF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44546A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0" borderId="0" xfId="0" applyFont="1"/>
    <xf numFmtId="6" fontId="13" fillId="0" borderId="0" xfId="0" applyNumberFormat="1" applyFont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2" fillId="3" borderId="0" xfId="0" applyFont="1" applyFill="1"/>
    <xf numFmtId="0" fontId="22" fillId="3" borderId="0" xfId="0" applyFont="1" applyFill="1" applyAlignment="1">
      <alignment horizontal="center"/>
    </xf>
    <xf numFmtId="0" fontId="23" fillId="0" borderId="0" xfId="0" applyFont="1"/>
    <xf numFmtId="0" fontId="24" fillId="3" borderId="0" xfId="0" applyFont="1" applyFill="1"/>
    <xf numFmtId="0" fontId="24" fillId="3" borderId="0" xfId="0" applyFont="1" applyFill="1" applyAlignment="1">
      <alignment horizontal="center"/>
    </xf>
    <xf numFmtId="0" fontId="25" fillId="0" borderId="0" xfId="0" applyFont="1"/>
    <xf numFmtId="0" fontId="26" fillId="6" borderId="0" xfId="14" applyFont="1" applyFill="1" applyAlignment="1" applyProtection="1"/>
    <xf numFmtId="0" fontId="26" fillId="6" borderId="0" xfId="14" applyFont="1" applyFill="1" applyProtection="1"/>
    <xf numFmtId="0" fontId="26" fillId="6" borderId="0" xfId="14" applyFont="1" applyFill="1" applyAlignment="1" applyProtection="1">
      <alignment textRotation="2"/>
    </xf>
    <xf numFmtId="0" fontId="26" fillId="6" borderId="0" xfId="14" applyFont="1" applyFill="1" applyBorder="1" applyAlignment="1" applyProtection="1">
      <alignment textRotation="2"/>
    </xf>
    <xf numFmtId="0" fontId="27" fillId="7" borderId="0" xfId="14" applyFont="1" applyFill="1" applyAlignment="1" applyProtection="1"/>
    <xf numFmtId="0" fontId="28" fillId="6" borderId="0" xfId="14" applyFont="1" applyFill="1" applyAlignment="1" applyProtection="1"/>
    <xf numFmtId="0" fontId="28" fillId="6" borderId="0" xfId="14" applyFont="1" applyFill="1" applyProtection="1"/>
    <xf numFmtId="0" fontId="28" fillId="5" borderId="0" xfId="14" applyFont="1" applyFill="1" applyAlignment="1" applyProtection="1"/>
    <xf numFmtId="0" fontId="29" fillId="6" borderId="0" xfId="14" applyFont="1" applyFill="1" applyAlignment="1" applyProtection="1">
      <alignment textRotation="2"/>
    </xf>
    <xf numFmtId="0" fontId="29" fillId="6" borderId="0" xfId="14" applyFont="1" applyFill="1" applyProtection="1"/>
    <xf numFmtId="0" fontId="29" fillId="6" borderId="0" xfId="14" applyFont="1" applyFill="1" applyBorder="1" applyAlignment="1" applyProtection="1">
      <alignment textRotation="2"/>
    </xf>
    <xf numFmtId="0" fontId="29" fillId="6" borderId="0" xfId="14" applyFont="1" applyFill="1" applyAlignment="1" applyProtection="1"/>
    <xf numFmtId="0" fontId="30" fillId="6" borderId="0" xfId="14" applyFont="1" applyFill="1" applyAlignment="1" applyProtection="1"/>
    <xf numFmtId="0" fontId="31" fillId="7" borderId="0" xfId="14" applyFont="1" applyFill="1" applyBorder="1" applyProtection="1"/>
    <xf numFmtId="0" fontId="28" fillId="7" borderId="0" xfId="14" applyFont="1" applyFill="1" applyBorder="1" applyProtection="1"/>
    <xf numFmtId="0" fontId="31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8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1" fillId="6" borderId="0" xfId="14" applyFont="1" applyFill="1" applyAlignment="1" applyProtection="1">
      <alignment horizontal="center"/>
    </xf>
    <xf numFmtId="0" fontId="31" fillId="7" borderId="0" xfId="14" applyFont="1" applyFill="1" applyBorder="1"/>
    <xf numFmtId="3" fontId="31" fillId="7" borderId="0" xfId="14" applyNumberFormat="1" applyFont="1" applyFill="1" applyBorder="1"/>
    <xf numFmtId="169" fontId="12" fillId="0" borderId="0" xfId="0" applyNumberFormat="1" applyFont="1" applyFill="1"/>
    <xf numFmtId="0" fontId="23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right"/>
    </xf>
    <xf numFmtId="0" fontId="0" fillId="0" borderId="0" xfId="0" applyFont="1"/>
    <xf numFmtId="0" fontId="33" fillId="0" borderId="0" xfId="0" applyFont="1"/>
    <xf numFmtId="0" fontId="34" fillId="0" borderId="0" xfId="0" applyFont="1"/>
    <xf numFmtId="172" fontId="0" fillId="0" borderId="0" xfId="0" applyNumberFormat="1" applyFont="1"/>
    <xf numFmtId="10" fontId="34" fillId="0" borderId="0" xfId="26" applyNumberFormat="1" applyFont="1"/>
    <xf numFmtId="171" fontId="35" fillId="0" borderId="0" xfId="0" applyNumberFormat="1" applyFont="1"/>
    <xf numFmtId="0" fontId="35" fillId="0" borderId="0" xfId="0" applyFont="1"/>
    <xf numFmtId="171" fontId="36" fillId="0" borderId="0" xfId="0" applyNumberFormat="1" applyFont="1"/>
    <xf numFmtId="0" fontId="36" fillId="0" borderId="0" xfId="0" applyFont="1"/>
    <xf numFmtId="0" fontId="37" fillId="0" borderId="0" xfId="13" applyFont="1" applyFill="1" applyAlignment="1">
      <alignment horizontal="left" vertical="center"/>
    </xf>
    <xf numFmtId="1" fontId="38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0" fillId="9" borderId="0" xfId="0" applyFont="1" applyFill="1"/>
    <xf numFmtId="169" fontId="41" fillId="9" borderId="0" xfId="0" applyNumberFormat="1" applyFont="1" applyFill="1"/>
    <xf numFmtId="0" fontId="0" fillId="0" borderId="2" xfId="0" applyBorder="1"/>
    <xf numFmtId="1" fontId="42" fillId="2" borderId="1" xfId="26" applyNumberFormat="1" applyFont="1" applyFill="1" applyBorder="1" applyAlignment="1">
      <alignment horizontal="right"/>
    </xf>
    <xf numFmtId="10" fontId="42" fillId="2" borderId="0" xfId="26" applyNumberFormat="1" applyFont="1" applyFill="1"/>
    <xf numFmtId="1" fontId="42" fillId="2" borderId="0" xfId="26" applyNumberFormat="1" applyFont="1" applyFill="1"/>
    <xf numFmtId="1" fontId="42" fillId="2" borderId="0" xfId="26" applyNumberFormat="1" applyFont="1" applyFill="1" applyAlignment="1">
      <alignment horizontal="right"/>
    </xf>
    <xf numFmtId="0" fontId="44" fillId="2" borderId="7" xfId="0" applyFont="1" applyFill="1" applyBorder="1" applyAlignment="1">
      <alignment vertical="center"/>
    </xf>
    <xf numFmtId="0" fontId="44" fillId="2" borderId="5" xfId="0" applyFont="1" applyFill="1" applyBorder="1" applyAlignment="1">
      <alignment vertical="center"/>
    </xf>
    <xf numFmtId="0" fontId="44" fillId="2" borderId="8" xfId="0" applyFont="1" applyFill="1" applyBorder="1" applyAlignment="1">
      <alignment vertical="center"/>
    </xf>
    <xf numFmtId="168" fontId="44" fillId="2" borderId="1" xfId="0" applyNumberFormat="1" applyFont="1" applyFill="1" applyBorder="1" applyAlignment="1">
      <alignment horizontal="right" vertical="top"/>
    </xf>
    <xf numFmtId="170" fontId="44" fillId="2" borderId="1" xfId="0" applyNumberFormat="1" applyFont="1" applyFill="1" applyBorder="1" applyAlignment="1">
      <alignment horizontal="right" vertical="top"/>
    </xf>
    <xf numFmtId="1" fontId="44" fillId="2" borderId="1" xfId="0" applyNumberFormat="1" applyFont="1" applyFill="1" applyBorder="1"/>
    <xf numFmtId="166" fontId="44" fillId="2" borderId="1" xfId="0" applyNumberFormat="1" applyFont="1" applyFill="1" applyBorder="1"/>
    <xf numFmtId="0" fontId="44" fillId="2" borderId="7" xfId="0" applyFont="1" applyFill="1" applyBorder="1"/>
    <xf numFmtId="172" fontId="12" fillId="0" borderId="0" xfId="0" applyNumberFormat="1" applyFont="1"/>
    <xf numFmtId="169" fontId="39" fillId="6" borderId="0" xfId="0" applyNumberFormat="1" applyFont="1" applyFill="1" applyAlignment="1">
      <alignment horizontal="left"/>
    </xf>
    <xf numFmtId="0" fontId="45" fillId="6" borderId="0" xfId="14" applyFont="1" applyFill="1" applyAlignment="1" applyProtection="1"/>
    <xf numFmtId="0" fontId="46" fillId="0" borderId="0" xfId="0" applyFont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48" fillId="2" borderId="1" xfId="0" applyNumberFormat="1" applyFont="1" applyFill="1" applyBorder="1" applyAlignment="1">
      <alignment horizontal="right" vertical="top"/>
    </xf>
    <xf numFmtId="174" fontId="48" fillId="2" borderId="1" xfId="0" applyNumberFormat="1" applyFont="1" applyFill="1" applyBorder="1" applyAlignment="1">
      <alignment horizontal="right" vertical="top"/>
    </xf>
    <xf numFmtId="174" fontId="48" fillId="2" borderId="1" xfId="0" applyNumberFormat="1" applyFont="1" applyFill="1" applyBorder="1"/>
    <xf numFmtId="166" fontId="48" fillId="2" borderId="1" xfId="0" applyNumberFormat="1" applyFont="1" applyFill="1" applyBorder="1"/>
    <xf numFmtId="170" fontId="48" fillId="2" borderId="1" xfId="0" applyNumberFormat="1" applyFont="1" applyFill="1" applyBorder="1" applyAlignment="1">
      <alignment horizontal="right" vertical="top"/>
    </xf>
    <xf numFmtId="170" fontId="48" fillId="2" borderId="1" xfId="0" applyNumberFormat="1" applyFont="1" applyFill="1" applyBorder="1"/>
    <xf numFmtId="175" fontId="48" fillId="2" borderId="1" xfId="0" applyNumberFormat="1" applyFont="1" applyFill="1" applyBorder="1"/>
    <xf numFmtId="3" fontId="48" fillId="2" borderId="1" xfId="0" applyNumberFormat="1" applyFont="1" applyFill="1" applyBorder="1"/>
    <xf numFmtId="167" fontId="13" fillId="0" borderId="0" xfId="0" applyNumberFormat="1" applyFont="1" applyFill="1"/>
    <xf numFmtId="9" fontId="48" fillId="0" borderId="0" xfId="26" applyFont="1" applyFill="1"/>
    <xf numFmtId="0" fontId="49" fillId="0" borderId="2" xfId="0" applyFont="1" applyBorder="1"/>
    <xf numFmtId="0" fontId="49" fillId="0" borderId="0" xfId="0" applyFont="1" applyBorder="1"/>
    <xf numFmtId="6" fontId="12" fillId="0" borderId="0" xfId="0" applyNumberFormat="1" applyFont="1" applyFill="1" applyBorder="1" applyAlignment="1">
      <alignment horizontal="right" vertical="top"/>
    </xf>
    <xf numFmtId="3" fontId="12" fillId="0" borderId="0" xfId="0" applyNumberFormat="1" applyFont="1" applyFill="1"/>
    <xf numFmtId="0" fontId="50" fillId="0" borderId="2" xfId="0" applyFont="1" applyBorder="1"/>
    <xf numFmtId="0" fontId="50" fillId="0" borderId="0" xfId="0" applyFont="1" applyBorder="1"/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5" fillId="0" borderId="2" xfId="0" applyFont="1" applyBorder="1" applyAlignment="1">
      <alignment horizontal="left"/>
    </xf>
    <xf numFmtId="0" fontId="35" fillId="0" borderId="2" xfId="0" applyFont="1" applyBorder="1" applyAlignment="1">
      <alignment horizontal="right"/>
    </xf>
    <xf numFmtId="0" fontId="0" fillId="0" borderId="0" xfId="0" applyBorder="1"/>
    <xf numFmtId="0" fontId="36" fillId="0" borderId="0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3" fontId="23" fillId="0" borderId="0" xfId="0" applyNumberFormat="1" applyFont="1"/>
    <xf numFmtId="0" fontId="28" fillId="9" borderId="0" xfId="14" applyFont="1" applyFill="1" applyAlignment="1" applyProtection="1">
      <alignment horizontal="center" textRotation="2"/>
    </xf>
    <xf numFmtId="169" fontId="39" fillId="12" borderId="0" xfId="0" applyNumberFormat="1" applyFont="1" applyFill="1" applyAlignment="1">
      <alignment horizontal="left"/>
    </xf>
    <xf numFmtId="3" fontId="31" fillId="12" borderId="0" xfId="14" applyNumberFormat="1" applyFont="1" applyFill="1" applyBorder="1"/>
    <xf numFmtId="0" fontId="12" fillId="0" borderId="2" xfId="0" applyFont="1" applyFill="1" applyBorder="1"/>
    <xf numFmtId="0" fontId="50" fillId="0" borderId="2" xfId="0" applyFont="1" applyFill="1" applyBorder="1"/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Border="1"/>
    <xf numFmtId="0" fontId="50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49" fillId="0" borderId="0" xfId="0" applyFont="1" applyFill="1" applyBorder="1"/>
    <xf numFmtId="173" fontId="12" fillId="0" borderId="0" xfId="0" applyNumberFormat="1" applyFont="1" applyFill="1"/>
    <xf numFmtId="8" fontId="12" fillId="0" borderId="0" xfId="0" applyNumberFormat="1" applyFont="1"/>
    <xf numFmtId="6" fontId="13" fillId="14" borderId="0" xfId="0" applyNumberFormat="1" applyFont="1" applyFill="1" applyBorder="1"/>
    <xf numFmtId="0" fontId="12" fillId="0" borderId="9" xfId="0" applyFont="1" applyBorder="1" applyAlignment="1">
      <alignment horizontal="left"/>
    </xf>
    <xf numFmtId="10" fontId="42" fillId="2" borderId="9" xfId="26" applyNumberFormat="1" applyFont="1" applyFill="1" applyBorder="1"/>
    <xf numFmtId="0" fontId="13" fillId="14" borderId="0" xfId="0" applyFont="1" applyFill="1" applyBorder="1"/>
    <xf numFmtId="169" fontId="41" fillId="13" borderId="0" xfId="0" applyNumberFormat="1" applyFont="1" applyFill="1"/>
    <xf numFmtId="0" fontId="13" fillId="0" borderId="4" xfId="0" applyFont="1" applyFill="1" applyBorder="1"/>
    <xf numFmtId="0" fontId="46" fillId="0" borderId="0" xfId="0" applyFont="1" applyFill="1"/>
    <xf numFmtId="0" fontId="15" fillId="15" borderId="0" xfId="0" applyFont="1" applyFill="1"/>
    <xf numFmtId="0" fontId="16" fillId="15" borderId="0" xfId="0" applyFont="1" applyFill="1"/>
    <xf numFmtId="0" fontId="17" fillId="0" borderId="5" xfId="0" applyFont="1" applyBorder="1"/>
    <xf numFmtId="167" fontId="17" fillId="0" borderId="5" xfId="0" applyNumberFormat="1" applyFont="1" applyFill="1" applyBorder="1" applyAlignment="1">
      <alignment horizontal="right" vertical="top"/>
    </xf>
    <xf numFmtId="0" fontId="17" fillId="0" borderId="0" xfId="0" applyFont="1" applyBorder="1"/>
    <xf numFmtId="167" fontId="17" fillId="0" borderId="0" xfId="0" applyNumberFormat="1" applyFont="1" applyFill="1" applyBorder="1" applyAlignment="1">
      <alignment horizontal="right" vertical="top"/>
    </xf>
    <xf numFmtId="0" fontId="17" fillId="0" borderId="9" xfId="0" applyFont="1" applyBorder="1"/>
    <xf numFmtId="167" fontId="17" fillId="0" borderId="9" xfId="0" applyNumberFormat="1" applyFont="1" applyFill="1" applyBorder="1" applyAlignment="1">
      <alignment horizontal="right" vertical="top"/>
    </xf>
    <xf numFmtId="167" fontId="13" fillId="0" borderId="4" xfId="0" applyNumberFormat="1" applyFont="1" applyFill="1" applyBorder="1"/>
    <xf numFmtId="0" fontId="51" fillId="3" borderId="0" xfId="0" applyFont="1" applyFill="1"/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27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6"/>
  <sheetViews>
    <sheetView showGridLines="0" tabSelected="1" zoomScale="80" zoomScaleNormal="80" workbookViewId="0">
      <selection activeCell="A2" sqref="A2"/>
    </sheetView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9.42578125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99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14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/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54</v>
      </c>
      <c r="E12" s="75" t="s">
        <v>53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319.24663869804493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182.42665068459709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390.91425146699379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446.94529417726289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338.79235127139458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703.64565264058876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0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0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0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0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0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223.47264708863145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168.09312813080732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351.82282632029438</v>
      </c>
      <c r="U12" s="65"/>
      <c r="V12" s="76">
        <f>SUMIF($F$10:$T$10,V$10,$F12:$T12)</f>
        <v>892.58754084963584</v>
      </c>
      <c r="W12" s="76">
        <f>SUMIF($F$10:$T$10,W$10,$F12:$T12)</f>
        <v>1489.3832980892462</v>
      </c>
      <c r="X12" s="76">
        <f>SUMIF($F$10:$T$10,X$10,$F12:$T12)</f>
        <v>0</v>
      </c>
      <c r="Y12" s="76">
        <f>SUMIF($F$10:$T$10,Y$10,$F12:$T12)</f>
        <v>0</v>
      </c>
      <c r="Z12" s="76">
        <f>SUMIF($F$10:$T$10,Z$10,$F12:$T12)</f>
        <v>743.38860153973314</v>
      </c>
      <c r="AA12" s="65"/>
      <c r="AB12" s="147">
        <f>SUM(V12:Z12)</f>
        <v>3125.3594404786154</v>
      </c>
      <c r="AC12" s="134"/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4" spans="1:30" x14ac:dyDescent="0.3">
      <c r="AB14" s="144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  <row r="16" spans="1:30" x14ac:dyDescent="0.3">
      <c r="AB16" s="144"/>
    </row>
  </sheetData>
  <conditionalFormatting sqref="D6">
    <cfRule type="expression" dxfId="2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Z139"/>
  <sheetViews>
    <sheetView showGridLines="0" zoomScale="90" zoomScaleNormal="90" workbookViewId="0"/>
  </sheetViews>
  <sheetFormatPr defaultColWidth="9.140625" defaultRowHeight="12.75" x14ac:dyDescent="0.2"/>
  <cols>
    <col min="1" max="1" width="4.28515625" style="97" customWidth="1"/>
    <col min="2" max="2" width="2.7109375" style="97" customWidth="1"/>
    <col min="3" max="3" width="45.7109375" style="97" customWidth="1"/>
    <col min="4" max="4" width="11.5703125" style="97" customWidth="1"/>
    <col min="5" max="6" width="11.140625" style="97" customWidth="1"/>
    <col min="7" max="7" width="2.85546875" style="97" customWidth="1"/>
    <col min="8" max="8" width="12.140625" style="97" customWidth="1"/>
    <col min="9" max="9" width="12.7109375" style="12" customWidth="1"/>
    <col min="10" max="10" width="2.85546875" style="97" customWidth="1"/>
    <col min="11" max="15" width="12.140625" style="97" customWidth="1"/>
    <col min="16" max="16" width="2.85546875" style="97" customWidth="1"/>
    <col min="17" max="21" width="12.140625" style="97" customWidth="1"/>
    <col min="22" max="22" width="2.140625" style="97" customWidth="1"/>
    <col min="23" max="16384" width="9.140625" style="97"/>
  </cols>
  <sheetData>
    <row r="1" spans="1:26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55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16" t="b">
        <f>SUM(W7:W47)=0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</row>
    <row r="7" spans="1:26" ht="12.75" customHeight="1" x14ac:dyDescent="0.2">
      <c r="A7" s="7"/>
      <c r="C7" s="118" t="s">
        <v>44</v>
      </c>
      <c r="D7" s="118"/>
      <c r="E7" s="23" t="s">
        <v>23</v>
      </c>
      <c r="F7" s="23" t="s">
        <v>9</v>
      </c>
      <c r="H7" s="23" t="s">
        <v>15</v>
      </c>
      <c r="I7" s="23" t="s">
        <v>10</v>
      </c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ht="12.75" customHeight="1" x14ac:dyDescent="0.2">
      <c r="A8" s="7"/>
      <c r="B8" s="7"/>
      <c r="C8" s="7"/>
      <c r="D8" s="7"/>
      <c r="E8" s="7"/>
      <c r="F8" s="7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x14ac:dyDescent="0.2">
      <c r="D9" s="4"/>
    </row>
    <row r="10" spans="1:26" ht="12.75" customHeight="1" x14ac:dyDescent="0.2">
      <c r="C10" s="105" t="s">
        <v>49</v>
      </c>
      <c r="D10" s="106" t="s">
        <v>64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22"/>
      <c r="L10" s="125">
        <v>45000</v>
      </c>
      <c r="M10" s="125"/>
      <c r="N10" s="125"/>
      <c r="O10" s="122"/>
      <c r="P10" s="3"/>
      <c r="Q10" s="8">
        <f t="shared" ref="Q10:U18" si="0">K10*$H10</f>
        <v>0</v>
      </c>
      <c r="R10" s="8">
        <f t="shared" si="0"/>
        <v>5512500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05" t="s">
        <v>50</v>
      </c>
      <c r="D11" s="106" t="s">
        <v>64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23"/>
      <c r="L11" s="126"/>
      <c r="M11" s="126">
        <v>80000</v>
      </c>
      <c r="N11" s="126"/>
      <c r="O11" s="123"/>
      <c r="P11" s="3"/>
      <c r="Q11" s="8">
        <f t="shared" si="0"/>
        <v>0</v>
      </c>
      <c r="R11" s="8">
        <f t="shared" si="0"/>
        <v>0</v>
      </c>
      <c r="S11" s="8">
        <f t="shared" si="0"/>
        <v>9800000</v>
      </c>
      <c r="T11" s="8">
        <f t="shared" si="0"/>
        <v>0</v>
      </c>
      <c r="U11" s="8">
        <f t="shared" si="0"/>
        <v>0</v>
      </c>
    </row>
    <row r="12" spans="1:26" ht="12.75" customHeight="1" x14ac:dyDescent="0.25">
      <c r="A12" s="7"/>
      <c r="C12" s="105" t="s">
        <v>51</v>
      </c>
      <c r="D12" s="106" t="s">
        <v>64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24"/>
      <c r="L12" s="126"/>
      <c r="M12" s="126"/>
      <c r="N12" s="126">
        <v>60000</v>
      </c>
      <c r="O12" s="124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7350000</v>
      </c>
      <c r="U12" s="8">
        <f t="shared" si="0"/>
        <v>0</v>
      </c>
      <c r="Z12"/>
    </row>
    <row r="13" spans="1:26" ht="12.75" customHeight="1" x14ac:dyDescent="0.25">
      <c r="A13" s="7"/>
      <c r="C13" s="105" t="s">
        <v>52</v>
      </c>
      <c r="D13" s="106" t="s">
        <v>64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24"/>
      <c r="L13" s="126"/>
      <c r="M13" s="126"/>
      <c r="N13" s="126">
        <v>25000</v>
      </c>
      <c r="O13" s="124"/>
      <c r="P13" s="3"/>
      <c r="Q13" s="8">
        <f t="shared" si="0"/>
        <v>0</v>
      </c>
      <c r="R13" s="8">
        <f t="shared" si="0"/>
        <v>0</v>
      </c>
      <c r="S13" s="8">
        <f t="shared" si="0"/>
        <v>0</v>
      </c>
      <c r="T13" s="8">
        <f t="shared" si="0"/>
        <v>3062500</v>
      </c>
      <c r="U13" s="8">
        <f t="shared" si="0"/>
        <v>0</v>
      </c>
      <c r="Z13"/>
    </row>
    <row r="14" spans="1:26" ht="12.75" customHeight="1" x14ac:dyDescent="0.25">
      <c r="A14" s="7"/>
      <c r="C14" s="105" t="s">
        <v>70</v>
      </c>
      <c r="D14" s="106" t="s">
        <v>64</v>
      </c>
      <c r="E14" s="106" t="s">
        <v>5</v>
      </c>
      <c r="F14" s="107" t="s">
        <v>2</v>
      </c>
      <c r="G14" s="3"/>
      <c r="H14" s="108">
        <v>122.5</v>
      </c>
      <c r="I14" s="12" t="s">
        <v>62</v>
      </c>
      <c r="J14" s="3"/>
      <c r="K14" s="124"/>
      <c r="L14" s="126"/>
      <c r="M14" s="126"/>
      <c r="N14" s="126">
        <v>25000</v>
      </c>
      <c r="O14" s="124"/>
      <c r="P14" s="3"/>
      <c r="Q14" s="8">
        <f t="shared" ref="Q14" si="1">K14*$H14</f>
        <v>0</v>
      </c>
      <c r="R14" s="8">
        <f t="shared" ref="R14" si="2">L14*$H14</f>
        <v>0</v>
      </c>
      <c r="S14" s="8">
        <f t="shared" ref="S14" si="3">M14*$H14</f>
        <v>0</v>
      </c>
      <c r="T14" s="8">
        <f t="shared" ref="T14" si="4">N14*$H14</f>
        <v>3062500</v>
      </c>
      <c r="U14" s="8">
        <f t="shared" ref="U14" si="5">O14*$H14</f>
        <v>0</v>
      </c>
      <c r="Z14"/>
    </row>
    <row r="15" spans="1:26" ht="12.75" customHeight="1" x14ac:dyDescent="0.25">
      <c r="A15" s="7"/>
      <c r="C15" s="105" t="s">
        <v>71</v>
      </c>
      <c r="D15" s="106" t="s">
        <v>64</v>
      </c>
      <c r="E15" s="106" t="s">
        <v>5</v>
      </c>
      <c r="F15" s="107" t="s">
        <v>2</v>
      </c>
      <c r="G15" s="3"/>
      <c r="H15" s="108">
        <v>122.5</v>
      </c>
      <c r="I15" s="12" t="s">
        <v>62</v>
      </c>
      <c r="J15" s="3"/>
      <c r="K15" s="124"/>
      <c r="L15" s="126"/>
      <c r="M15" s="126">
        <v>32000</v>
      </c>
      <c r="N15" s="126"/>
      <c r="O15" s="124"/>
      <c r="P15" s="3"/>
      <c r="Q15" s="8">
        <f t="shared" ref="Q15" si="6">K15*$H15</f>
        <v>0</v>
      </c>
      <c r="R15" s="8">
        <f t="shared" ref="R15" si="7">L15*$H15</f>
        <v>0</v>
      </c>
      <c r="S15" s="8">
        <f t="shared" ref="S15" si="8">M15*$H15</f>
        <v>3920000</v>
      </c>
      <c r="T15" s="8">
        <f t="shared" ref="T15" si="9">N15*$H15</f>
        <v>0</v>
      </c>
      <c r="U15" s="8">
        <f t="shared" ref="U15" si="10">O15*$H15</f>
        <v>0</v>
      </c>
      <c r="Z15"/>
    </row>
    <row r="16" spans="1:26" ht="12.75" customHeight="1" x14ac:dyDescent="0.25">
      <c r="A16" s="7"/>
      <c r="C16" s="105" t="s">
        <v>67</v>
      </c>
      <c r="D16" s="106" t="s">
        <v>0</v>
      </c>
      <c r="E16" s="106" t="s">
        <v>5</v>
      </c>
      <c r="F16" s="107" t="s">
        <v>2</v>
      </c>
      <c r="G16" s="3"/>
      <c r="H16" s="108">
        <v>122.5</v>
      </c>
      <c r="I16" s="12" t="s">
        <v>62</v>
      </c>
      <c r="J16" s="3"/>
      <c r="K16" s="109">
        <v>2500</v>
      </c>
      <c r="L16" s="109">
        <v>3500</v>
      </c>
      <c r="M16" s="109"/>
      <c r="N16" s="109"/>
      <c r="O16" s="109"/>
      <c r="P16" s="3"/>
      <c r="Q16" s="8">
        <f t="shared" si="0"/>
        <v>306250</v>
      </c>
      <c r="R16" s="8">
        <f t="shared" si="0"/>
        <v>428750</v>
      </c>
      <c r="S16" s="8">
        <f t="shared" si="0"/>
        <v>0</v>
      </c>
      <c r="T16" s="8">
        <f t="shared" si="0"/>
        <v>0</v>
      </c>
      <c r="U16" s="8">
        <f t="shared" si="0"/>
        <v>0</v>
      </c>
      <c r="Z16"/>
    </row>
    <row r="17" spans="1:26" ht="12.75" customHeight="1" x14ac:dyDescent="0.25">
      <c r="A17" s="7"/>
      <c r="C17" s="105" t="s">
        <v>67</v>
      </c>
      <c r="D17" s="106" t="s">
        <v>54</v>
      </c>
      <c r="E17" s="106" t="s">
        <v>5</v>
      </c>
      <c r="F17" s="107" t="s">
        <v>2</v>
      </c>
      <c r="G17" s="3"/>
      <c r="H17" s="108">
        <v>122.5</v>
      </c>
      <c r="I17" s="12" t="s">
        <v>62</v>
      </c>
      <c r="J17" s="3"/>
      <c r="K17" s="109">
        <v>2500</v>
      </c>
      <c r="L17" s="109">
        <v>3500</v>
      </c>
      <c r="M17" s="109"/>
      <c r="N17" s="109"/>
      <c r="O17" s="109"/>
      <c r="P17" s="3"/>
      <c r="Q17" s="8">
        <f t="shared" si="0"/>
        <v>306250</v>
      </c>
      <c r="R17" s="8">
        <f t="shared" si="0"/>
        <v>428750</v>
      </c>
      <c r="S17" s="8">
        <f t="shared" si="0"/>
        <v>0</v>
      </c>
      <c r="T17" s="8">
        <f t="shared" si="0"/>
        <v>0</v>
      </c>
      <c r="U17" s="8">
        <f t="shared" si="0"/>
        <v>0</v>
      </c>
      <c r="Z17"/>
    </row>
    <row r="18" spans="1:26" ht="12.75" customHeight="1" x14ac:dyDescent="0.25">
      <c r="A18" s="7"/>
      <c r="C18" s="105" t="s">
        <v>67</v>
      </c>
      <c r="D18" s="106" t="s">
        <v>64</v>
      </c>
      <c r="E18" s="106" t="s">
        <v>5</v>
      </c>
      <c r="F18" s="107" t="s">
        <v>2</v>
      </c>
      <c r="G18" s="3"/>
      <c r="H18" s="108">
        <v>122.5</v>
      </c>
      <c r="I18" s="12" t="s">
        <v>62</v>
      </c>
      <c r="J18" s="3"/>
      <c r="K18" s="109"/>
      <c r="L18" s="109"/>
      <c r="M18" s="109"/>
      <c r="N18" s="109"/>
      <c r="O18" s="109">
        <v>3500</v>
      </c>
      <c r="P18" s="3"/>
      <c r="Q18" s="8">
        <f t="shared" si="0"/>
        <v>0</v>
      </c>
      <c r="R18" s="8">
        <f t="shared" si="0"/>
        <v>0</v>
      </c>
      <c r="S18" s="8">
        <f t="shared" si="0"/>
        <v>0</v>
      </c>
      <c r="T18" s="8">
        <f t="shared" si="0"/>
        <v>0</v>
      </c>
      <c r="U18" s="8">
        <f t="shared" si="0"/>
        <v>428750</v>
      </c>
      <c r="Z18"/>
    </row>
    <row r="19" spans="1:26" ht="12.75" customHeight="1" x14ac:dyDescent="0.25">
      <c r="A19" s="7"/>
      <c r="G19" s="3"/>
      <c r="J19" s="3"/>
      <c r="P19" s="3"/>
      <c r="Z19"/>
    </row>
    <row r="20" spans="1:26" ht="12.75" customHeight="1" x14ac:dyDescent="0.25">
      <c r="A20" s="7"/>
      <c r="G20" s="3"/>
      <c r="J20" s="3"/>
      <c r="P20" s="3"/>
      <c r="Z20"/>
    </row>
    <row r="21" spans="1:26" ht="12.75" customHeight="1" x14ac:dyDescent="0.25">
      <c r="A21" s="7"/>
      <c r="C21" s="105" t="s">
        <v>50</v>
      </c>
      <c r="D21" s="106" t="s">
        <v>64</v>
      </c>
      <c r="E21" s="106" t="s">
        <v>5</v>
      </c>
      <c r="F21" s="107" t="s">
        <v>1</v>
      </c>
      <c r="G21" s="3"/>
      <c r="H21" s="128">
        <v>3000000</v>
      </c>
      <c r="I21" s="12" t="s">
        <v>63</v>
      </c>
      <c r="J21" s="3"/>
      <c r="K21" s="127"/>
      <c r="L21" s="127">
        <v>1.5</v>
      </c>
      <c r="M21" s="127"/>
      <c r="N21" s="127"/>
      <c r="O21" s="127"/>
      <c r="P21" s="3"/>
      <c r="Q21" s="8">
        <f t="shared" ref="Q21:U24" si="11">K21*$H21</f>
        <v>0</v>
      </c>
      <c r="R21" s="8">
        <f t="shared" si="11"/>
        <v>4500000</v>
      </c>
      <c r="S21" s="8">
        <f t="shared" si="11"/>
        <v>0</v>
      </c>
      <c r="T21" s="8">
        <f t="shared" si="11"/>
        <v>0</v>
      </c>
      <c r="U21" s="8">
        <f t="shared" si="11"/>
        <v>0</v>
      </c>
      <c r="Z21"/>
    </row>
    <row r="22" spans="1:26" ht="12.75" customHeight="1" x14ac:dyDescent="0.25">
      <c r="A22" s="7"/>
      <c r="C22" s="105" t="s">
        <v>67</v>
      </c>
      <c r="D22" s="106" t="s">
        <v>0</v>
      </c>
      <c r="E22" s="106" t="s">
        <v>5</v>
      </c>
      <c r="F22" s="107" t="s">
        <v>1</v>
      </c>
      <c r="G22" s="3"/>
      <c r="H22" s="128">
        <v>75000</v>
      </c>
      <c r="I22" s="12" t="s">
        <v>63</v>
      </c>
      <c r="J22" s="3"/>
      <c r="K22" s="127">
        <v>2.3333333333333335</v>
      </c>
      <c r="L22" s="127">
        <v>4.333333333333333</v>
      </c>
      <c r="M22" s="127"/>
      <c r="N22" s="127"/>
      <c r="O22" s="127"/>
      <c r="P22" s="3"/>
      <c r="Q22" s="8">
        <f t="shared" ref="Q22" si="12">K22*$H22</f>
        <v>175000</v>
      </c>
      <c r="R22" s="8">
        <f t="shared" ref="R22" si="13">L22*$H22</f>
        <v>325000</v>
      </c>
      <c r="S22" s="8">
        <f t="shared" ref="S22" si="14">M22*$H22</f>
        <v>0</v>
      </c>
      <c r="T22" s="8">
        <f t="shared" ref="T22" si="15">N22*$H22</f>
        <v>0</v>
      </c>
      <c r="U22" s="8">
        <f t="shared" ref="U22" si="16">O22*$H22</f>
        <v>0</v>
      </c>
      <c r="Z22"/>
    </row>
    <row r="23" spans="1:26" ht="12.75" customHeight="1" x14ac:dyDescent="0.25">
      <c r="A23" s="7"/>
      <c r="C23" s="105" t="s">
        <v>67</v>
      </c>
      <c r="D23" s="106" t="s">
        <v>54</v>
      </c>
      <c r="E23" s="106" t="s">
        <v>5</v>
      </c>
      <c r="F23" s="107" t="s">
        <v>1</v>
      </c>
      <c r="G23" s="3"/>
      <c r="H23" s="128">
        <v>75000</v>
      </c>
      <c r="I23" s="12" t="s">
        <v>63</v>
      </c>
      <c r="J23" s="3"/>
      <c r="K23" s="127">
        <v>2.3333333333333335</v>
      </c>
      <c r="L23" s="127">
        <v>4.333333333333333</v>
      </c>
      <c r="M23" s="127"/>
      <c r="N23" s="127"/>
      <c r="O23" s="127"/>
      <c r="P23" s="3"/>
      <c r="Q23" s="8">
        <f t="shared" ref="Q23" si="17">K23*$H23</f>
        <v>175000</v>
      </c>
      <c r="R23" s="8">
        <f t="shared" ref="R23" si="18">L23*$H23</f>
        <v>325000</v>
      </c>
      <c r="S23" s="8">
        <f t="shared" ref="S23" si="19">M23*$H23</f>
        <v>0</v>
      </c>
      <c r="T23" s="8">
        <f t="shared" ref="T23" si="20">N23*$H23</f>
        <v>0</v>
      </c>
      <c r="U23" s="8">
        <f t="shared" ref="U23" si="21">O23*$H23</f>
        <v>0</v>
      </c>
      <c r="Z23"/>
    </row>
    <row r="24" spans="1:26" ht="12.75" customHeight="1" x14ac:dyDescent="0.25">
      <c r="A24" s="7"/>
      <c r="C24" s="105" t="s">
        <v>67</v>
      </c>
      <c r="D24" s="106" t="s">
        <v>64</v>
      </c>
      <c r="E24" s="106" t="s">
        <v>5</v>
      </c>
      <c r="F24" s="107" t="s">
        <v>1</v>
      </c>
      <c r="G24" s="3"/>
      <c r="H24" s="128">
        <v>75000</v>
      </c>
      <c r="I24" s="12" t="s">
        <v>63</v>
      </c>
      <c r="J24" s="3"/>
      <c r="K24" s="127"/>
      <c r="L24" s="127"/>
      <c r="M24" s="127"/>
      <c r="N24" s="127"/>
      <c r="O24" s="127">
        <v>4.3</v>
      </c>
      <c r="P24" s="3"/>
      <c r="Q24" s="8">
        <f t="shared" si="11"/>
        <v>0</v>
      </c>
      <c r="R24" s="8">
        <f t="shared" si="11"/>
        <v>0</v>
      </c>
      <c r="S24" s="8">
        <f t="shared" si="11"/>
        <v>0</v>
      </c>
      <c r="T24" s="8">
        <f t="shared" si="11"/>
        <v>0</v>
      </c>
      <c r="U24" s="8">
        <f t="shared" si="11"/>
        <v>322500</v>
      </c>
      <c r="Z24"/>
    </row>
    <row r="25" spans="1:26" ht="12.7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Z25"/>
    </row>
    <row r="26" spans="1:26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Z26"/>
    </row>
    <row r="27" spans="1:26" ht="12.75" customHeight="1" x14ac:dyDescent="0.2">
      <c r="A27" s="7"/>
      <c r="C27" s="105" t="s">
        <v>49</v>
      </c>
      <c r="D27" s="106" t="s">
        <v>64</v>
      </c>
      <c r="E27" s="106" t="s">
        <v>5</v>
      </c>
      <c r="F27" s="107" t="s">
        <v>4</v>
      </c>
      <c r="H27" s="6"/>
      <c r="I27" s="13" t="s">
        <v>42</v>
      </c>
      <c r="K27" s="121"/>
      <c r="L27" s="121">
        <v>2000000</v>
      </c>
      <c r="M27" s="121"/>
      <c r="N27" s="121"/>
      <c r="O27" s="121"/>
      <c r="Q27" s="8">
        <f t="shared" ref="Q27:U35" si="22">K27</f>
        <v>0</v>
      </c>
      <c r="R27" s="8">
        <f t="shared" si="22"/>
        <v>2000000</v>
      </c>
      <c r="S27" s="8">
        <f t="shared" si="22"/>
        <v>0</v>
      </c>
      <c r="T27" s="8">
        <f t="shared" si="22"/>
        <v>0</v>
      </c>
      <c r="U27" s="8">
        <f t="shared" si="22"/>
        <v>0</v>
      </c>
    </row>
    <row r="28" spans="1:26" ht="12.75" customHeight="1" x14ac:dyDescent="0.2">
      <c r="A28" s="7"/>
      <c r="C28" s="105" t="s">
        <v>50</v>
      </c>
      <c r="D28" s="106" t="s">
        <v>64</v>
      </c>
      <c r="E28" s="106" t="s">
        <v>5</v>
      </c>
      <c r="F28" s="107" t="s">
        <v>4</v>
      </c>
      <c r="H28" s="6"/>
      <c r="I28" s="13" t="s">
        <v>42</v>
      </c>
      <c r="K28" s="121"/>
      <c r="L28" s="121"/>
      <c r="M28" s="121">
        <v>10000000</v>
      </c>
      <c r="N28" s="121"/>
      <c r="O28" s="121"/>
      <c r="Q28" s="8">
        <f t="shared" si="22"/>
        <v>0</v>
      </c>
      <c r="R28" s="8">
        <f t="shared" si="22"/>
        <v>0</v>
      </c>
      <c r="S28" s="8">
        <f t="shared" si="22"/>
        <v>10000000</v>
      </c>
      <c r="T28" s="8">
        <f t="shared" si="22"/>
        <v>0</v>
      </c>
      <c r="U28" s="8">
        <f t="shared" si="22"/>
        <v>0</v>
      </c>
    </row>
    <row r="29" spans="1:26" ht="12.75" customHeight="1" x14ac:dyDescent="0.2">
      <c r="A29" s="7"/>
      <c r="C29" s="105" t="s">
        <v>51</v>
      </c>
      <c r="D29" s="106" t="s">
        <v>64</v>
      </c>
      <c r="E29" s="106" t="s">
        <v>5</v>
      </c>
      <c r="F29" s="107" t="s">
        <v>4</v>
      </c>
      <c r="H29" s="6"/>
      <c r="I29" s="13" t="s">
        <v>42</v>
      </c>
      <c r="K29" s="121"/>
      <c r="L29" s="121"/>
      <c r="M29" s="121"/>
      <c r="N29" s="121">
        <v>7500000</v>
      </c>
      <c r="O29" s="121"/>
      <c r="Q29" s="8">
        <f t="shared" si="22"/>
        <v>0</v>
      </c>
      <c r="R29" s="8">
        <f t="shared" si="22"/>
        <v>0</v>
      </c>
      <c r="S29" s="8">
        <f t="shared" si="22"/>
        <v>0</v>
      </c>
      <c r="T29" s="8">
        <f t="shared" si="22"/>
        <v>7500000</v>
      </c>
      <c r="U29" s="8">
        <f t="shared" si="22"/>
        <v>0</v>
      </c>
    </row>
    <row r="30" spans="1:26" ht="12.75" customHeight="1" x14ac:dyDescent="0.2">
      <c r="A30" s="7"/>
      <c r="C30" s="105" t="s">
        <v>52</v>
      </c>
      <c r="D30" s="106" t="s">
        <v>64</v>
      </c>
      <c r="E30" s="106" t="s">
        <v>5</v>
      </c>
      <c r="F30" s="107" t="s">
        <v>4</v>
      </c>
      <c r="H30" s="6"/>
      <c r="I30" s="13" t="s">
        <v>42</v>
      </c>
      <c r="K30" s="121"/>
      <c r="L30" s="121"/>
      <c r="M30" s="121"/>
      <c r="N30" s="121">
        <v>1800000</v>
      </c>
      <c r="O30" s="121"/>
      <c r="Q30" s="8">
        <f t="shared" si="22"/>
        <v>0</v>
      </c>
      <c r="R30" s="8">
        <f t="shared" si="22"/>
        <v>0</v>
      </c>
      <c r="S30" s="8">
        <f t="shared" si="22"/>
        <v>0</v>
      </c>
      <c r="T30" s="8">
        <f t="shared" si="22"/>
        <v>1800000</v>
      </c>
      <c r="U30" s="8">
        <f t="shared" si="22"/>
        <v>0</v>
      </c>
    </row>
    <row r="31" spans="1:26" ht="12.75" customHeight="1" x14ac:dyDescent="0.2">
      <c r="A31" s="7"/>
      <c r="C31" s="105" t="s">
        <v>72</v>
      </c>
      <c r="D31" s="106" t="s">
        <v>64</v>
      </c>
      <c r="E31" s="106" t="s">
        <v>5</v>
      </c>
      <c r="F31" s="107" t="s">
        <v>4</v>
      </c>
      <c r="H31" s="6"/>
      <c r="I31" s="13" t="s">
        <v>42</v>
      </c>
      <c r="K31" s="121"/>
      <c r="L31" s="121"/>
      <c r="M31" s="121"/>
      <c r="N31" s="121">
        <v>1500000</v>
      </c>
      <c r="O31" s="121"/>
      <c r="Q31" s="8">
        <f t="shared" ref="Q31" si="23">K31</f>
        <v>0</v>
      </c>
      <c r="R31" s="8">
        <f t="shared" ref="R31" si="24">L31</f>
        <v>0</v>
      </c>
      <c r="S31" s="8">
        <f t="shared" ref="S31" si="25">M31</f>
        <v>0</v>
      </c>
      <c r="T31" s="8">
        <f t="shared" ref="T31" si="26">N31</f>
        <v>1500000</v>
      </c>
      <c r="U31" s="8">
        <f t="shared" ref="U31" si="27">O31</f>
        <v>0</v>
      </c>
    </row>
    <row r="32" spans="1:26" ht="12.75" customHeight="1" x14ac:dyDescent="0.2">
      <c r="A32" s="7"/>
      <c r="C32" s="105" t="s">
        <v>73</v>
      </c>
      <c r="D32" s="106" t="s">
        <v>64</v>
      </c>
      <c r="E32" s="106" t="s">
        <v>5</v>
      </c>
      <c r="F32" s="107" t="s">
        <v>4</v>
      </c>
      <c r="H32" s="6"/>
      <c r="I32" s="13" t="s">
        <v>42</v>
      </c>
      <c r="K32" s="121"/>
      <c r="L32" s="121"/>
      <c r="M32" s="121"/>
      <c r="N32" s="121">
        <v>1000000</v>
      </c>
      <c r="O32" s="121"/>
      <c r="Q32" s="8">
        <f t="shared" ref="Q32" si="28">K32</f>
        <v>0</v>
      </c>
      <c r="R32" s="8">
        <f t="shared" ref="R32" si="29">L32</f>
        <v>0</v>
      </c>
      <c r="S32" s="8">
        <f t="shared" ref="S32" si="30">M32</f>
        <v>0</v>
      </c>
      <c r="T32" s="8">
        <f t="shared" ref="T32" si="31">N32</f>
        <v>1000000</v>
      </c>
      <c r="U32" s="8">
        <f t="shared" ref="U32" si="32">O32</f>
        <v>0</v>
      </c>
    </row>
    <row r="33" spans="1:26" ht="12.75" customHeight="1" x14ac:dyDescent="0.2">
      <c r="A33" s="7"/>
      <c r="C33" s="105" t="s">
        <v>67</v>
      </c>
      <c r="D33" s="106" t="s">
        <v>0</v>
      </c>
      <c r="E33" s="106" t="s">
        <v>5</v>
      </c>
      <c r="F33" s="107" t="s">
        <v>4</v>
      </c>
      <c r="H33" s="6"/>
      <c r="I33" s="13" t="s">
        <v>42</v>
      </c>
      <c r="K33" s="121">
        <v>375000</v>
      </c>
      <c r="L33" s="121">
        <v>675000</v>
      </c>
      <c r="M33" s="121"/>
      <c r="N33" s="121"/>
      <c r="O33" s="121"/>
      <c r="Q33" s="8">
        <f t="shared" si="22"/>
        <v>375000</v>
      </c>
      <c r="R33" s="8">
        <f t="shared" si="22"/>
        <v>675000</v>
      </c>
      <c r="S33" s="8">
        <f t="shared" si="22"/>
        <v>0</v>
      </c>
      <c r="T33" s="8">
        <f t="shared" si="22"/>
        <v>0</v>
      </c>
      <c r="U33" s="8">
        <f t="shared" si="22"/>
        <v>0</v>
      </c>
    </row>
    <row r="34" spans="1:26" ht="12.75" customHeight="1" x14ac:dyDescent="0.2">
      <c r="A34" s="7"/>
      <c r="C34" s="105" t="s">
        <v>67</v>
      </c>
      <c r="D34" s="106" t="s">
        <v>54</v>
      </c>
      <c r="E34" s="106" t="s">
        <v>5</v>
      </c>
      <c r="F34" s="107" t="s">
        <v>4</v>
      </c>
      <c r="H34" s="6"/>
      <c r="I34" s="13" t="s">
        <v>42</v>
      </c>
      <c r="K34" s="121">
        <v>375000</v>
      </c>
      <c r="L34" s="121">
        <v>675000</v>
      </c>
      <c r="M34" s="109"/>
      <c r="N34" s="109"/>
      <c r="O34" s="109"/>
      <c r="Q34" s="8">
        <f t="shared" si="22"/>
        <v>375000</v>
      </c>
      <c r="R34" s="8">
        <f t="shared" si="22"/>
        <v>675000</v>
      </c>
      <c r="S34" s="8">
        <f t="shared" si="22"/>
        <v>0</v>
      </c>
      <c r="T34" s="8">
        <f t="shared" si="22"/>
        <v>0</v>
      </c>
      <c r="U34" s="8">
        <f t="shared" si="22"/>
        <v>0</v>
      </c>
    </row>
    <row r="35" spans="1:26" ht="12.75" customHeight="1" x14ac:dyDescent="0.2">
      <c r="A35" s="7"/>
      <c r="C35" s="105" t="s">
        <v>67</v>
      </c>
      <c r="D35" s="106" t="s">
        <v>64</v>
      </c>
      <c r="E35" s="106" t="s">
        <v>5</v>
      </c>
      <c r="F35" s="107" t="s">
        <v>4</v>
      </c>
      <c r="H35" s="6"/>
      <c r="I35" s="13" t="s">
        <v>42</v>
      </c>
      <c r="K35" s="109"/>
      <c r="L35" s="109"/>
      <c r="M35" s="109"/>
      <c r="N35" s="109"/>
      <c r="O35" s="121">
        <v>675000</v>
      </c>
      <c r="Q35" s="8">
        <f t="shared" si="22"/>
        <v>0</v>
      </c>
      <c r="R35" s="8">
        <f t="shared" si="22"/>
        <v>0</v>
      </c>
      <c r="S35" s="8">
        <f t="shared" si="22"/>
        <v>0</v>
      </c>
      <c r="T35" s="8">
        <f t="shared" si="22"/>
        <v>0</v>
      </c>
      <c r="U35" s="8">
        <f t="shared" si="22"/>
        <v>675000</v>
      </c>
    </row>
    <row r="36" spans="1:26" ht="12.75" customHeight="1" x14ac:dyDescent="0.25">
      <c r="H36" s="6"/>
      <c r="I36" s="13"/>
      <c r="Z36"/>
    </row>
    <row r="37" spans="1:26" ht="12.75" customHeight="1" x14ac:dyDescent="0.25">
      <c r="I37" s="13"/>
      <c r="Z37"/>
    </row>
    <row r="38" spans="1:26" ht="12.75" customHeight="1" x14ac:dyDescent="0.25">
      <c r="C38" s="5" t="s">
        <v>13</v>
      </c>
      <c r="D38" s="7"/>
      <c r="I38" s="97"/>
      <c r="Z38"/>
    </row>
    <row r="39" spans="1:26" ht="12.75" customHeight="1" x14ac:dyDescent="0.2">
      <c r="C39" s="28" t="s">
        <v>2</v>
      </c>
      <c r="D39" s="28"/>
      <c r="E39" s="28" t="s">
        <v>5</v>
      </c>
      <c r="F39" s="28"/>
      <c r="H39" s="28"/>
      <c r="I39" s="13"/>
      <c r="K39" s="28"/>
      <c r="L39" s="28"/>
      <c r="M39" s="28"/>
      <c r="N39" s="28"/>
      <c r="O39" s="28"/>
      <c r="Q39" s="30">
        <f t="shared" ref="Q39:U44" si="33">SUMIFS(Q$10:Q$35,$F$10:$F$35,$C39,$E$10:$E$35,$E39)</f>
        <v>612500</v>
      </c>
      <c r="R39" s="30">
        <f t="shared" si="33"/>
        <v>6370000</v>
      </c>
      <c r="S39" s="30">
        <f t="shared" si="33"/>
        <v>13720000</v>
      </c>
      <c r="T39" s="30">
        <f t="shared" si="33"/>
        <v>13475000</v>
      </c>
      <c r="U39" s="30">
        <f t="shared" si="33"/>
        <v>428750</v>
      </c>
    </row>
    <row r="40" spans="1:26" ht="12.75" customHeight="1" x14ac:dyDescent="0.2">
      <c r="C40" s="4" t="s">
        <v>1</v>
      </c>
      <c r="D40" s="4"/>
      <c r="E40" s="4" t="s">
        <v>5</v>
      </c>
      <c r="F40" s="4"/>
      <c r="H40" s="4"/>
      <c r="I40" s="13"/>
      <c r="K40" s="4"/>
      <c r="L40" s="4"/>
      <c r="M40" s="4"/>
      <c r="N40" s="4"/>
      <c r="O40" s="4"/>
      <c r="Q40" s="9">
        <f t="shared" si="33"/>
        <v>350000</v>
      </c>
      <c r="R40" s="9">
        <f t="shared" si="33"/>
        <v>5150000</v>
      </c>
      <c r="S40" s="9">
        <f t="shared" si="33"/>
        <v>0</v>
      </c>
      <c r="T40" s="9">
        <f t="shared" si="33"/>
        <v>0</v>
      </c>
      <c r="U40" s="9">
        <f t="shared" si="33"/>
        <v>322500</v>
      </c>
    </row>
    <row r="41" spans="1:26" ht="12.75" customHeight="1" x14ac:dyDescent="0.2">
      <c r="C41" s="4" t="s">
        <v>4</v>
      </c>
      <c r="D41" s="4"/>
      <c r="E41" s="4" t="s">
        <v>5</v>
      </c>
      <c r="F41" s="4"/>
      <c r="H41" s="4"/>
      <c r="I41" s="13"/>
      <c r="K41" s="4"/>
      <c r="L41" s="4"/>
      <c r="M41" s="4"/>
      <c r="N41" s="4"/>
      <c r="O41" s="4"/>
      <c r="Q41" s="9">
        <f t="shared" si="33"/>
        <v>750000</v>
      </c>
      <c r="R41" s="9">
        <f t="shared" si="33"/>
        <v>3350000</v>
      </c>
      <c r="S41" s="9">
        <f t="shared" si="33"/>
        <v>10000000</v>
      </c>
      <c r="T41" s="9">
        <f t="shared" si="33"/>
        <v>11800000</v>
      </c>
      <c r="U41" s="9">
        <f t="shared" si="33"/>
        <v>675000</v>
      </c>
    </row>
    <row r="42" spans="1:26" ht="12.75" customHeight="1" x14ac:dyDescent="0.2">
      <c r="C42" s="4" t="s">
        <v>2</v>
      </c>
      <c r="D42" s="4"/>
      <c r="E42" s="4" t="s">
        <v>41</v>
      </c>
      <c r="F42" s="4"/>
      <c r="H42" s="4"/>
      <c r="I42" s="13"/>
      <c r="K42" s="4"/>
      <c r="L42" s="4"/>
      <c r="M42" s="4"/>
      <c r="N42" s="4"/>
      <c r="O42" s="4"/>
      <c r="Q42" s="9">
        <f t="shared" si="33"/>
        <v>0</v>
      </c>
      <c r="R42" s="9">
        <f t="shared" si="33"/>
        <v>0</v>
      </c>
      <c r="S42" s="9">
        <f t="shared" si="33"/>
        <v>0</v>
      </c>
      <c r="T42" s="9">
        <f t="shared" si="33"/>
        <v>0</v>
      </c>
      <c r="U42" s="9">
        <f t="shared" si="33"/>
        <v>0</v>
      </c>
    </row>
    <row r="43" spans="1:26" ht="12.75" customHeight="1" x14ac:dyDescent="0.2">
      <c r="C43" s="4" t="s">
        <v>1</v>
      </c>
      <c r="D43" s="4"/>
      <c r="E43" s="4" t="s">
        <v>41</v>
      </c>
      <c r="F43" s="4"/>
      <c r="H43" s="4"/>
      <c r="I43" s="13"/>
      <c r="K43" s="4"/>
      <c r="L43" s="4"/>
      <c r="M43" s="4"/>
      <c r="N43" s="4"/>
      <c r="O43" s="4"/>
      <c r="Q43" s="9">
        <f t="shared" si="33"/>
        <v>0</v>
      </c>
      <c r="R43" s="9">
        <f t="shared" si="33"/>
        <v>0</v>
      </c>
      <c r="S43" s="9">
        <f t="shared" si="33"/>
        <v>0</v>
      </c>
      <c r="T43" s="9">
        <f t="shared" si="33"/>
        <v>0</v>
      </c>
      <c r="U43" s="9">
        <f t="shared" si="33"/>
        <v>0</v>
      </c>
    </row>
    <row r="44" spans="1:26" ht="12.75" customHeight="1" x14ac:dyDescent="0.2">
      <c r="C44" s="4" t="s">
        <v>4</v>
      </c>
      <c r="D44" s="4"/>
      <c r="E44" s="4" t="s">
        <v>41</v>
      </c>
      <c r="F44" s="7"/>
      <c r="H44" s="7"/>
      <c r="I44" s="31"/>
      <c r="K44" s="7"/>
      <c r="L44" s="7"/>
      <c r="M44" s="7"/>
      <c r="N44" s="7"/>
      <c r="O44" s="7"/>
      <c r="Q44" s="9">
        <f t="shared" si="33"/>
        <v>0</v>
      </c>
      <c r="R44" s="9">
        <f t="shared" si="33"/>
        <v>0</v>
      </c>
      <c r="S44" s="9">
        <f t="shared" si="33"/>
        <v>0</v>
      </c>
      <c r="T44" s="9">
        <f t="shared" si="33"/>
        <v>0</v>
      </c>
      <c r="U44" s="9">
        <f t="shared" si="33"/>
        <v>0</v>
      </c>
    </row>
    <row r="45" spans="1:26" ht="12.75" customHeight="1" x14ac:dyDescent="0.2">
      <c r="C45" s="10" t="str">
        <f>"Total Expenditure ($ "&amp;Assumptions!$B$8&amp;")"</f>
        <v>Total Expenditure ($ 2019)</v>
      </c>
      <c r="D45" s="10"/>
      <c r="E45" s="10"/>
      <c r="F45" s="10"/>
      <c r="H45" s="10"/>
      <c r="I45" s="14"/>
      <c r="K45" s="10"/>
      <c r="L45" s="10"/>
      <c r="M45" s="10"/>
      <c r="N45" s="10"/>
      <c r="O45" s="10"/>
      <c r="Q45" s="11">
        <f>SUM(Q39:Q44)</f>
        <v>1712500</v>
      </c>
      <c r="R45" s="11">
        <f t="shared" ref="R45:U45" si="34">SUM(R39:R44)</f>
        <v>14870000</v>
      </c>
      <c r="S45" s="11">
        <f t="shared" si="34"/>
        <v>23720000</v>
      </c>
      <c r="T45" s="11">
        <f t="shared" si="34"/>
        <v>25275000</v>
      </c>
      <c r="U45" s="11">
        <f t="shared" si="34"/>
        <v>1426250</v>
      </c>
      <c r="V45" s="42"/>
    </row>
    <row r="46" spans="1:26" ht="12.75" customHeight="1" x14ac:dyDescent="0.2">
      <c r="C46" s="28" t="str">
        <f>"Total Expenditure ($ "&amp;Assumptions!B17&amp;")"</f>
        <v>Total Expenditure ($ 2020/21)</v>
      </c>
      <c r="D46" s="28"/>
      <c r="E46" s="28"/>
      <c r="F46" s="28"/>
      <c r="H46" s="28"/>
      <c r="I46" s="29"/>
      <c r="K46" s="28"/>
      <c r="L46" s="28"/>
      <c r="M46" s="28"/>
      <c r="N46" s="28"/>
      <c r="O46" s="28"/>
      <c r="Q46" s="43">
        <f>Q45*Assumptions!$B$18</f>
        <v>1785175.0816992715</v>
      </c>
      <c r="R46" s="43">
        <f>R45*Assumptions!$B$18</f>
        <v>15501053.118171193</v>
      </c>
      <c r="S46" s="43">
        <f>S45*Assumptions!$B$18</f>
        <v>24726629.452792246</v>
      </c>
      <c r="T46" s="43">
        <f>T45*Assumptions!$B$18</f>
        <v>26347620.54887538</v>
      </c>
      <c r="U46" s="43">
        <f>U45*Assumptions!$B$18</f>
        <v>1486777.2030794662</v>
      </c>
      <c r="V46" s="42"/>
    </row>
    <row r="47" spans="1:26" x14ac:dyDescent="0.2">
      <c r="C47" s="98" t="s">
        <v>12</v>
      </c>
      <c r="D47" s="98"/>
      <c r="E47" s="98"/>
      <c r="F47" s="98"/>
      <c r="H47" s="98"/>
      <c r="I47" s="98"/>
      <c r="K47" s="98"/>
      <c r="L47" s="98"/>
      <c r="M47" s="98"/>
      <c r="N47" s="98"/>
      <c r="O47" s="98"/>
      <c r="Q47" s="99">
        <f>Q45-SUM(Q10:Q35)</f>
        <v>0</v>
      </c>
      <c r="R47" s="99">
        <f>R45-SUM(R10:R35)</f>
        <v>0</v>
      </c>
      <c r="S47" s="99">
        <f>S45-SUM(S10:S35)</f>
        <v>0</v>
      </c>
      <c r="T47" s="99">
        <f>T45-SUM(T10:T35)</f>
        <v>0</v>
      </c>
      <c r="U47" s="99">
        <f>U45-SUM(U10:U35)</f>
        <v>0</v>
      </c>
      <c r="W47" s="99">
        <f>SUM(Q47:U47)</f>
        <v>0</v>
      </c>
    </row>
    <row r="48" spans="1:26" ht="12.75" customHeight="1" x14ac:dyDescent="0.2"/>
    <row r="50" spans="3:23" ht="12.75" customHeight="1" x14ac:dyDescent="0.2"/>
    <row r="51" spans="3:23" ht="12.75" customHeight="1" x14ac:dyDescent="0.2">
      <c r="C51" s="5" t="s">
        <v>75</v>
      </c>
      <c r="D51" s="7"/>
      <c r="G51" s="3"/>
      <c r="J51" s="3"/>
      <c r="P51" s="3"/>
    </row>
    <row r="52" spans="3:23" ht="12.75" customHeight="1" x14ac:dyDescent="0.2">
      <c r="C52" s="28" t="s">
        <v>2</v>
      </c>
      <c r="D52" s="28" t="s">
        <v>0</v>
      </c>
      <c r="E52" s="28" t="s">
        <v>5</v>
      </c>
      <c r="F52" s="131" t="s">
        <v>76</v>
      </c>
      <c r="G52" s="3"/>
      <c r="H52" s="28"/>
      <c r="I52" s="29"/>
      <c r="J52" s="3"/>
      <c r="K52" s="28"/>
      <c r="L52" s="28"/>
      <c r="M52" s="28"/>
      <c r="N52" s="28"/>
      <c r="O52" s="28"/>
      <c r="Q52" s="43">
        <f t="shared" ref="Q52:U60" si="35">SUMIFS(Q$10:Q$35,$F$10:$F$35,$C52,$E$10:$E$35,$E52,$D$10:$D$35,$D52)*Conv_2021</f>
        <v>319246.63869804493</v>
      </c>
      <c r="R52" s="43">
        <f t="shared" si="35"/>
        <v>446945.29417726287</v>
      </c>
      <c r="S52" s="43">
        <f t="shared" si="35"/>
        <v>0</v>
      </c>
      <c r="T52" s="43">
        <f t="shared" si="35"/>
        <v>0</v>
      </c>
      <c r="U52" s="43">
        <f t="shared" si="35"/>
        <v>0</v>
      </c>
    </row>
    <row r="53" spans="3:23" ht="12.75" customHeight="1" x14ac:dyDescent="0.2">
      <c r="C53" s="4" t="s">
        <v>1</v>
      </c>
      <c r="D53" s="4" t="s">
        <v>0</v>
      </c>
      <c r="E53" s="4" t="s">
        <v>5</v>
      </c>
      <c r="F53" s="132" t="s">
        <v>77</v>
      </c>
      <c r="G53" s="3"/>
      <c r="H53" s="4"/>
      <c r="I53" s="13"/>
      <c r="J53" s="3"/>
      <c r="K53" s="4"/>
      <c r="L53" s="4"/>
      <c r="M53" s="4"/>
      <c r="N53" s="4"/>
      <c r="O53" s="4"/>
      <c r="Q53" s="133">
        <f t="shared" si="35"/>
        <v>182426.65068459709</v>
      </c>
      <c r="R53" s="133">
        <f t="shared" si="35"/>
        <v>338792.35127139458</v>
      </c>
      <c r="S53" s="133">
        <f t="shared" si="35"/>
        <v>0</v>
      </c>
      <c r="T53" s="133">
        <f t="shared" si="35"/>
        <v>0</v>
      </c>
      <c r="U53" s="133">
        <f t="shared" si="35"/>
        <v>0</v>
      </c>
    </row>
    <row r="54" spans="3:23" ht="12.75" customHeight="1" x14ac:dyDescent="0.2">
      <c r="C54" s="4" t="s">
        <v>4</v>
      </c>
      <c r="D54" s="4" t="s">
        <v>0</v>
      </c>
      <c r="E54" s="4" t="s">
        <v>5</v>
      </c>
      <c r="F54" s="132" t="s">
        <v>78</v>
      </c>
      <c r="G54" s="3"/>
      <c r="H54" s="4"/>
      <c r="I54" s="13"/>
      <c r="J54" s="3"/>
      <c r="K54" s="4"/>
      <c r="L54" s="4"/>
      <c r="M54" s="4"/>
      <c r="N54" s="4"/>
      <c r="O54" s="4"/>
      <c r="Q54" s="133">
        <f t="shared" si="35"/>
        <v>390914.25146699377</v>
      </c>
      <c r="R54" s="133">
        <f t="shared" si="35"/>
        <v>703645.65264058881</v>
      </c>
      <c r="S54" s="133">
        <f t="shared" si="35"/>
        <v>0</v>
      </c>
      <c r="T54" s="133">
        <f t="shared" si="35"/>
        <v>0</v>
      </c>
      <c r="U54" s="133">
        <f t="shared" si="35"/>
        <v>0</v>
      </c>
    </row>
    <row r="55" spans="3:23" x14ac:dyDescent="0.2">
      <c r="C55" s="4" t="s">
        <v>2</v>
      </c>
      <c r="D55" s="4" t="s">
        <v>54</v>
      </c>
      <c r="E55" s="4" t="s">
        <v>5</v>
      </c>
      <c r="F55" s="132" t="s">
        <v>79</v>
      </c>
      <c r="G55" s="3"/>
      <c r="H55" s="4"/>
      <c r="I55" s="13"/>
      <c r="J55" s="3"/>
      <c r="K55" s="4"/>
      <c r="L55" s="4"/>
      <c r="M55" s="4"/>
      <c r="N55" s="4"/>
      <c r="O55" s="4"/>
      <c r="Q55" s="133">
        <f t="shared" si="35"/>
        <v>319246.63869804493</v>
      </c>
      <c r="R55" s="133">
        <f t="shared" si="35"/>
        <v>446945.29417726287</v>
      </c>
      <c r="S55" s="133">
        <f t="shared" si="35"/>
        <v>0</v>
      </c>
      <c r="T55" s="133">
        <f t="shared" si="35"/>
        <v>0</v>
      </c>
      <c r="U55" s="133">
        <f t="shared" si="35"/>
        <v>0</v>
      </c>
    </row>
    <row r="56" spans="3:23" x14ac:dyDescent="0.2">
      <c r="C56" s="4" t="s">
        <v>1</v>
      </c>
      <c r="D56" s="4" t="s">
        <v>54</v>
      </c>
      <c r="E56" s="4" t="s">
        <v>5</v>
      </c>
      <c r="F56" s="132" t="s">
        <v>80</v>
      </c>
      <c r="G56" s="3"/>
      <c r="H56" s="4"/>
      <c r="I56" s="13"/>
      <c r="J56" s="3"/>
      <c r="K56" s="4"/>
      <c r="L56" s="4"/>
      <c r="M56" s="4"/>
      <c r="N56" s="4"/>
      <c r="O56" s="4"/>
      <c r="Q56" s="133">
        <f t="shared" si="35"/>
        <v>182426.65068459709</v>
      </c>
      <c r="R56" s="133">
        <f t="shared" si="35"/>
        <v>338792.35127139458</v>
      </c>
      <c r="S56" s="133">
        <f t="shared" si="35"/>
        <v>0</v>
      </c>
      <c r="T56" s="133">
        <f t="shared" si="35"/>
        <v>0</v>
      </c>
      <c r="U56" s="133">
        <f t="shared" si="35"/>
        <v>0</v>
      </c>
    </row>
    <row r="57" spans="3:23" x14ac:dyDescent="0.2">
      <c r="C57" s="4" t="s">
        <v>4</v>
      </c>
      <c r="D57" s="4" t="s">
        <v>54</v>
      </c>
      <c r="E57" s="4" t="s">
        <v>5</v>
      </c>
      <c r="F57" s="132" t="s">
        <v>81</v>
      </c>
      <c r="G57" s="3"/>
      <c r="H57" s="7"/>
      <c r="I57" s="31"/>
      <c r="J57" s="3"/>
      <c r="K57" s="7"/>
      <c r="L57" s="7"/>
      <c r="M57" s="7"/>
      <c r="N57" s="7"/>
      <c r="O57" s="7"/>
      <c r="Q57" s="133">
        <f t="shared" si="35"/>
        <v>390914.25146699377</v>
      </c>
      <c r="R57" s="133">
        <f t="shared" si="35"/>
        <v>703645.65264058881</v>
      </c>
      <c r="S57" s="133">
        <f t="shared" si="35"/>
        <v>0</v>
      </c>
      <c r="T57" s="133">
        <f t="shared" si="35"/>
        <v>0</v>
      </c>
      <c r="U57" s="133">
        <f t="shared" si="35"/>
        <v>0</v>
      </c>
    </row>
    <row r="58" spans="3:23" x14ac:dyDescent="0.2">
      <c r="C58" s="4" t="s">
        <v>2</v>
      </c>
      <c r="D58" s="4" t="s">
        <v>64</v>
      </c>
      <c r="E58" s="4" t="s">
        <v>5</v>
      </c>
      <c r="F58" s="132" t="s">
        <v>83</v>
      </c>
      <c r="G58" s="3"/>
      <c r="H58" s="7"/>
      <c r="I58" s="31"/>
      <c r="J58" s="3"/>
      <c r="K58" s="7"/>
      <c r="L58" s="7"/>
      <c r="M58" s="7"/>
      <c r="N58" s="7"/>
      <c r="O58" s="7"/>
      <c r="Q58" s="133">
        <f t="shared" si="35"/>
        <v>0</v>
      </c>
      <c r="R58" s="133">
        <f t="shared" si="35"/>
        <v>5746439.4965648083</v>
      </c>
      <c r="S58" s="133">
        <f t="shared" si="35"/>
        <v>14302249.413672412</v>
      </c>
      <c r="T58" s="133">
        <f t="shared" si="35"/>
        <v>14046852.102713976</v>
      </c>
      <c r="U58" s="133">
        <f t="shared" si="35"/>
        <v>446945.29417726287</v>
      </c>
    </row>
    <row r="59" spans="3:23" x14ac:dyDescent="0.2">
      <c r="C59" s="4" t="s">
        <v>1</v>
      </c>
      <c r="D59" s="4" t="s">
        <v>64</v>
      </c>
      <c r="E59" s="4" t="s">
        <v>5</v>
      </c>
      <c r="F59" s="132" t="s">
        <v>84</v>
      </c>
      <c r="G59" s="3"/>
      <c r="H59" s="7"/>
      <c r="I59" s="31"/>
      <c r="J59" s="3"/>
      <c r="K59" s="7"/>
      <c r="L59" s="7"/>
      <c r="M59" s="7"/>
      <c r="N59" s="7"/>
      <c r="O59" s="7"/>
      <c r="Q59" s="133">
        <f t="shared" si="35"/>
        <v>0</v>
      </c>
      <c r="R59" s="133">
        <f t="shared" si="35"/>
        <v>4690971.0176039254</v>
      </c>
      <c r="S59" s="133">
        <f t="shared" si="35"/>
        <v>0</v>
      </c>
      <c r="T59" s="133">
        <f t="shared" si="35"/>
        <v>0</v>
      </c>
      <c r="U59" s="133">
        <f t="shared" si="35"/>
        <v>336186.25626161462</v>
      </c>
    </row>
    <row r="60" spans="3:23" x14ac:dyDescent="0.2">
      <c r="C60" s="4" t="s">
        <v>4</v>
      </c>
      <c r="D60" s="4" t="s">
        <v>64</v>
      </c>
      <c r="E60" s="4" t="s">
        <v>5</v>
      </c>
      <c r="F60" s="132" t="s">
        <v>85</v>
      </c>
      <c r="G60" s="3"/>
      <c r="H60" s="7"/>
      <c r="I60" s="31"/>
      <c r="J60" s="3"/>
      <c r="K60" s="7"/>
      <c r="L60" s="7"/>
      <c r="M60" s="7"/>
      <c r="N60" s="7"/>
      <c r="O60" s="7"/>
      <c r="Q60" s="133">
        <f t="shared" si="35"/>
        <v>0</v>
      </c>
      <c r="R60" s="133">
        <f t="shared" si="35"/>
        <v>2084876.0078239667</v>
      </c>
      <c r="S60" s="133">
        <f t="shared" si="35"/>
        <v>10424380.039119834</v>
      </c>
      <c r="T60" s="133">
        <f t="shared" si="35"/>
        <v>12300768.446161404</v>
      </c>
      <c r="U60" s="133">
        <f t="shared" si="35"/>
        <v>703645.65264058881</v>
      </c>
    </row>
    <row r="61" spans="3:23" x14ac:dyDescent="0.2">
      <c r="C61" s="10" t="s">
        <v>82</v>
      </c>
      <c r="D61" s="10"/>
      <c r="E61" s="10"/>
      <c r="F61" s="10"/>
      <c r="G61" s="3"/>
      <c r="H61" s="10"/>
      <c r="I61" s="14"/>
      <c r="J61" s="3"/>
      <c r="K61" s="10"/>
      <c r="L61" s="10"/>
      <c r="M61" s="10"/>
      <c r="N61" s="10"/>
      <c r="O61" s="10"/>
      <c r="Q61" s="11">
        <f>SUM(Q52:Q60)</f>
        <v>1785175.0816992717</v>
      </c>
      <c r="R61" s="11">
        <f t="shared" ref="R61:U61" si="36">SUM(R52:R60)</f>
        <v>15501053.118171193</v>
      </c>
      <c r="S61" s="11">
        <f t="shared" si="36"/>
        <v>24726629.452792246</v>
      </c>
      <c r="T61" s="11">
        <f t="shared" si="36"/>
        <v>26347620.54887538</v>
      </c>
      <c r="U61" s="11">
        <f t="shared" si="36"/>
        <v>1486777.2030794662</v>
      </c>
      <c r="V61" s="42"/>
    </row>
    <row r="62" spans="3:23" x14ac:dyDescent="0.2">
      <c r="C62" s="28"/>
      <c r="D62" s="28"/>
      <c r="E62" s="28"/>
      <c r="F62" s="28"/>
      <c r="G62" s="3"/>
      <c r="H62" s="28"/>
      <c r="I62" s="29"/>
      <c r="J62" s="3"/>
      <c r="K62" s="28"/>
      <c r="L62" s="28"/>
      <c r="M62" s="28"/>
      <c r="N62" s="28"/>
      <c r="O62" s="28"/>
      <c r="Q62" s="43"/>
      <c r="R62" s="43"/>
      <c r="S62" s="43"/>
      <c r="T62" s="43"/>
      <c r="U62" s="43"/>
      <c r="V62" s="42"/>
    </row>
    <row r="63" spans="3:23" x14ac:dyDescent="0.2">
      <c r="C63" s="98" t="s">
        <v>12</v>
      </c>
      <c r="D63" s="98"/>
      <c r="E63" s="98"/>
      <c r="F63" s="98"/>
      <c r="G63" s="3"/>
      <c r="H63" s="98"/>
      <c r="I63" s="98"/>
      <c r="J63" s="3"/>
      <c r="K63" s="98"/>
      <c r="L63" s="98"/>
      <c r="M63" s="98"/>
      <c r="N63" s="98"/>
      <c r="O63" s="98"/>
      <c r="Q63" s="99">
        <f>Q46-Q61</f>
        <v>0</v>
      </c>
      <c r="R63" s="99">
        <f>R46-R61</f>
        <v>0</v>
      </c>
      <c r="S63" s="99">
        <f>S46-S61</f>
        <v>0</v>
      </c>
      <c r="T63" s="99">
        <f>T46-T61</f>
        <v>0</v>
      </c>
      <c r="U63" s="99">
        <f>U46-U61</f>
        <v>0</v>
      </c>
      <c r="W63" s="99">
        <f>SUM(Q63:U63)</f>
        <v>0</v>
      </c>
    </row>
    <row r="64" spans="3:23" x14ac:dyDescent="0.2">
      <c r="I64" s="97"/>
    </row>
    <row r="65" spans="3:21" x14ac:dyDescent="0.2">
      <c r="I65" s="97"/>
    </row>
    <row r="66" spans="3:21" ht="12.75" customHeight="1" x14ac:dyDescent="0.2">
      <c r="C66" s="5" t="s">
        <v>75</v>
      </c>
      <c r="D66" s="7"/>
      <c r="G66" s="3"/>
      <c r="J66" s="3"/>
      <c r="P66" s="3"/>
    </row>
    <row r="67" spans="3:21" ht="12.75" customHeight="1" x14ac:dyDescent="0.2">
      <c r="C67" s="28" t="s">
        <v>2</v>
      </c>
      <c r="D67" s="28" t="s">
        <v>0</v>
      </c>
      <c r="E67" s="28" t="s">
        <v>67</v>
      </c>
      <c r="F67" s="135" t="str">
        <f t="shared" ref="F67" si="37">C67&amp;D67&amp;E67</f>
        <v>LabourVPNCurrency maintenance</v>
      </c>
      <c r="G67" s="3"/>
      <c r="H67" s="28"/>
      <c r="I67" s="29"/>
      <c r="J67" s="3"/>
      <c r="K67" s="28"/>
      <c r="L67" s="28"/>
      <c r="M67" s="28"/>
      <c r="N67" s="28"/>
      <c r="O67" s="28"/>
      <c r="Q67" s="43">
        <f t="shared" ref="Q67:U81" si="38">SUMIFS(Q$10:Q$35,$F$10:$F$35,$C67,$D$10:$D$35,$D67,$C$10:$C$35,$E67)*Conv_2021</f>
        <v>319246.63869804493</v>
      </c>
      <c r="R67" s="43">
        <f t="shared" si="38"/>
        <v>446945.29417726287</v>
      </c>
      <c r="S67" s="43">
        <f t="shared" si="38"/>
        <v>0</v>
      </c>
      <c r="T67" s="43">
        <f t="shared" si="38"/>
        <v>0</v>
      </c>
      <c r="U67" s="43">
        <f t="shared" si="38"/>
        <v>0</v>
      </c>
    </row>
    <row r="68" spans="3:21" ht="12.75" customHeight="1" x14ac:dyDescent="0.2">
      <c r="C68" s="4" t="s">
        <v>1</v>
      </c>
      <c r="D68" s="4" t="s">
        <v>0</v>
      </c>
      <c r="E68" s="4" t="s">
        <v>67</v>
      </c>
      <c r="F68" s="136" t="str">
        <f>C68&amp;D68&amp;E68</f>
        <v>MaterialsVPNCurrency maintenance</v>
      </c>
      <c r="G68" s="3"/>
      <c r="H68" s="4"/>
      <c r="I68" s="13"/>
      <c r="J68" s="3"/>
      <c r="K68" s="4"/>
      <c r="L68" s="4"/>
      <c r="M68" s="4"/>
      <c r="N68" s="4"/>
      <c r="O68" s="4"/>
      <c r="Q68" s="133">
        <f t="shared" si="38"/>
        <v>182426.65068459709</v>
      </c>
      <c r="R68" s="133">
        <f t="shared" si="38"/>
        <v>338792.35127139458</v>
      </c>
      <c r="S68" s="133">
        <f t="shared" si="38"/>
        <v>0</v>
      </c>
      <c r="T68" s="133">
        <f t="shared" si="38"/>
        <v>0</v>
      </c>
      <c r="U68" s="133">
        <f t="shared" si="38"/>
        <v>0</v>
      </c>
    </row>
    <row r="69" spans="3:21" ht="12.75" customHeight="1" x14ac:dyDescent="0.2">
      <c r="C69" s="4" t="s">
        <v>4</v>
      </c>
      <c r="D69" s="4" t="s">
        <v>0</v>
      </c>
      <c r="E69" s="4" t="s">
        <v>67</v>
      </c>
      <c r="F69" s="136" t="str">
        <f t="shared" ref="F69:F97" si="39">C69&amp;D69&amp;E69</f>
        <v>ContractsVPNCurrency maintenance</v>
      </c>
      <c r="G69" s="3"/>
      <c r="H69" s="4"/>
      <c r="I69" s="13"/>
      <c r="J69" s="3"/>
      <c r="K69" s="4"/>
      <c r="L69" s="4"/>
      <c r="M69" s="4"/>
      <c r="N69" s="4"/>
      <c r="O69" s="4"/>
      <c r="Q69" s="133">
        <f t="shared" si="38"/>
        <v>390914.25146699377</v>
      </c>
      <c r="R69" s="133">
        <f t="shared" si="38"/>
        <v>703645.65264058881</v>
      </c>
      <c r="S69" s="133">
        <f t="shared" si="38"/>
        <v>0</v>
      </c>
      <c r="T69" s="133">
        <f t="shared" si="38"/>
        <v>0</v>
      </c>
      <c r="U69" s="133">
        <f t="shared" si="38"/>
        <v>0</v>
      </c>
    </row>
    <row r="70" spans="3:21" ht="12.75" customHeight="1" x14ac:dyDescent="0.2">
      <c r="C70" s="4" t="s">
        <v>87</v>
      </c>
      <c r="D70" s="4" t="s">
        <v>92</v>
      </c>
      <c r="E70" s="4" t="s">
        <v>67</v>
      </c>
      <c r="F70" s="136" t="str">
        <f t="shared" si="39"/>
        <v>Labour OpexVPN opexCurrency maintenance</v>
      </c>
      <c r="G70" s="3"/>
      <c r="H70" s="4"/>
      <c r="I70" s="13"/>
      <c r="J70" s="3"/>
      <c r="K70" s="4"/>
      <c r="L70" s="4"/>
      <c r="M70" s="4"/>
      <c r="N70" s="4"/>
      <c r="O70" s="4"/>
      <c r="Q70" s="133">
        <f t="shared" si="38"/>
        <v>0</v>
      </c>
      <c r="R70" s="133">
        <f t="shared" si="38"/>
        <v>0</v>
      </c>
      <c r="S70" s="133">
        <f t="shared" si="38"/>
        <v>0</v>
      </c>
      <c r="T70" s="133">
        <f t="shared" si="38"/>
        <v>0</v>
      </c>
      <c r="U70" s="133">
        <f t="shared" si="38"/>
        <v>0</v>
      </c>
    </row>
    <row r="71" spans="3:21" ht="12.75" customHeight="1" x14ac:dyDescent="0.2">
      <c r="C71" s="4" t="s">
        <v>88</v>
      </c>
      <c r="D71" s="4" t="s">
        <v>90</v>
      </c>
      <c r="E71" s="4" t="s">
        <v>67</v>
      </c>
      <c r="F71" s="136" t="str">
        <f t="shared" si="39"/>
        <v>Materials OpexVPN OpexCurrency maintenance</v>
      </c>
      <c r="G71" s="3"/>
      <c r="H71" s="4"/>
      <c r="I71" s="13"/>
      <c r="J71" s="3"/>
      <c r="K71" s="4"/>
      <c r="L71" s="4"/>
      <c r="M71" s="4"/>
      <c r="N71" s="4"/>
      <c r="O71" s="4"/>
      <c r="Q71" s="133">
        <f t="shared" si="38"/>
        <v>0</v>
      </c>
      <c r="R71" s="133">
        <f t="shared" si="38"/>
        <v>0</v>
      </c>
      <c r="S71" s="133">
        <f t="shared" si="38"/>
        <v>0</v>
      </c>
      <c r="T71" s="133">
        <f t="shared" si="38"/>
        <v>0</v>
      </c>
      <c r="U71" s="133">
        <f t="shared" si="38"/>
        <v>0</v>
      </c>
    </row>
    <row r="72" spans="3:21" ht="12.75" customHeight="1" x14ac:dyDescent="0.2">
      <c r="C72" s="4" t="s">
        <v>86</v>
      </c>
      <c r="D72" s="4" t="s">
        <v>90</v>
      </c>
      <c r="E72" s="4" t="s">
        <v>67</v>
      </c>
      <c r="F72" s="136" t="str">
        <f t="shared" si="39"/>
        <v>Contracts OpexVPN OpexCurrency maintenance</v>
      </c>
      <c r="G72" s="3"/>
      <c r="H72" s="4"/>
      <c r="I72" s="13"/>
      <c r="J72" s="3"/>
      <c r="K72" s="4"/>
      <c r="L72" s="4"/>
      <c r="M72" s="4"/>
      <c r="N72" s="4"/>
      <c r="O72" s="4"/>
      <c r="Q72" s="133">
        <f t="shared" si="38"/>
        <v>0</v>
      </c>
      <c r="R72" s="133">
        <f t="shared" si="38"/>
        <v>0</v>
      </c>
      <c r="S72" s="133">
        <f t="shared" si="38"/>
        <v>0</v>
      </c>
      <c r="T72" s="133">
        <f t="shared" si="38"/>
        <v>0</v>
      </c>
      <c r="U72" s="133">
        <f t="shared" si="38"/>
        <v>0</v>
      </c>
    </row>
    <row r="73" spans="3:21" x14ac:dyDescent="0.2">
      <c r="C73" s="4" t="s">
        <v>2</v>
      </c>
      <c r="D73" s="4" t="s">
        <v>54</v>
      </c>
      <c r="E73" s="4" t="s">
        <v>67</v>
      </c>
      <c r="F73" s="136" t="str">
        <f t="shared" si="39"/>
        <v>LabourUECurrency maintenance</v>
      </c>
      <c r="G73" s="3"/>
      <c r="H73" s="4"/>
      <c r="I73" s="13"/>
      <c r="J73" s="3"/>
      <c r="K73" s="4"/>
      <c r="L73" s="4"/>
      <c r="M73" s="4"/>
      <c r="N73" s="4"/>
      <c r="O73" s="4"/>
      <c r="Q73" s="133">
        <f t="shared" si="38"/>
        <v>319246.63869804493</v>
      </c>
      <c r="R73" s="133">
        <f t="shared" si="38"/>
        <v>446945.29417726287</v>
      </c>
      <c r="S73" s="133">
        <f t="shared" si="38"/>
        <v>0</v>
      </c>
      <c r="T73" s="133">
        <f t="shared" si="38"/>
        <v>0</v>
      </c>
      <c r="U73" s="133">
        <f t="shared" si="38"/>
        <v>0</v>
      </c>
    </row>
    <row r="74" spans="3:21" x14ac:dyDescent="0.2">
      <c r="C74" s="4" t="s">
        <v>1</v>
      </c>
      <c r="D74" s="4" t="s">
        <v>54</v>
      </c>
      <c r="E74" s="4" t="s">
        <v>67</v>
      </c>
      <c r="F74" s="136" t="str">
        <f t="shared" si="39"/>
        <v>MaterialsUECurrency maintenance</v>
      </c>
      <c r="G74" s="3"/>
      <c r="H74" s="4"/>
      <c r="I74" s="13"/>
      <c r="J74" s="3"/>
      <c r="K74" s="4"/>
      <c r="L74" s="4"/>
      <c r="M74" s="4"/>
      <c r="N74" s="4"/>
      <c r="O74" s="4"/>
      <c r="Q74" s="133">
        <f t="shared" si="38"/>
        <v>182426.65068459709</v>
      </c>
      <c r="R74" s="133">
        <f t="shared" si="38"/>
        <v>338792.35127139458</v>
      </c>
      <c r="S74" s="133">
        <f t="shared" si="38"/>
        <v>0</v>
      </c>
      <c r="T74" s="133">
        <f t="shared" si="38"/>
        <v>0</v>
      </c>
      <c r="U74" s="133">
        <f t="shared" si="38"/>
        <v>0</v>
      </c>
    </row>
    <row r="75" spans="3:21" x14ac:dyDescent="0.2">
      <c r="C75" s="4" t="s">
        <v>4</v>
      </c>
      <c r="D75" s="4" t="s">
        <v>54</v>
      </c>
      <c r="E75" s="4" t="s">
        <v>67</v>
      </c>
      <c r="F75" s="136" t="str">
        <f t="shared" si="39"/>
        <v>ContractsUECurrency maintenance</v>
      </c>
      <c r="G75" s="3"/>
      <c r="H75" s="7"/>
      <c r="I75" s="31"/>
      <c r="J75" s="3"/>
      <c r="K75" s="7"/>
      <c r="L75" s="7"/>
      <c r="M75" s="7"/>
      <c r="N75" s="7"/>
      <c r="O75" s="7"/>
      <c r="Q75" s="133">
        <f t="shared" si="38"/>
        <v>390914.25146699377</v>
      </c>
      <c r="R75" s="133">
        <f t="shared" si="38"/>
        <v>703645.65264058881</v>
      </c>
      <c r="S75" s="133">
        <f t="shared" si="38"/>
        <v>0</v>
      </c>
      <c r="T75" s="133">
        <f t="shared" si="38"/>
        <v>0</v>
      </c>
      <c r="U75" s="133">
        <f t="shared" si="38"/>
        <v>0</v>
      </c>
    </row>
    <row r="76" spans="3:21" x14ac:dyDescent="0.2">
      <c r="C76" s="4" t="s">
        <v>87</v>
      </c>
      <c r="D76" s="4" t="s">
        <v>91</v>
      </c>
      <c r="E76" s="4" t="s">
        <v>67</v>
      </c>
      <c r="F76" s="136" t="str">
        <f t="shared" si="39"/>
        <v>Labour OpexUE OpexCurrency maintenance</v>
      </c>
      <c r="G76" s="3"/>
      <c r="H76" s="7"/>
      <c r="I76" s="31"/>
      <c r="J76" s="3"/>
      <c r="K76" s="7"/>
      <c r="L76" s="7"/>
      <c r="M76" s="7"/>
      <c r="N76" s="7"/>
      <c r="O76" s="7"/>
      <c r="Q76" s="133">
        <f t="shared" si="38"/>
        <v>0</v>
      </c>
      <c r="R76" s="133">
        <f t="shared" si="38"/>
        <v>0</v>
      </c>
      <c r="S76" s="133">
        <f t="shared" si="38"/>
        <v>0</v>
      </c>
      <c r="T76" s="133">
        <f t="shared" si="38"/>
        <v>0</v>
      </c>
      <c r="U76" s="133">
        <f t="shared" si="38"/>
        <v>0</v>
      </c>
    </row>
    <row r="77" spans="3:21" x14ac:dyDescent="0.2">
      <c r="C77" s="4" t="s">
        <v>89</v>
      </c>
      <c r="D77" s="4" t="s">
        <v>91</v>
      </c>
      <c r="E77" s="4" t="s">
        <v>67</v>
      </c>
      <c r="F77" s="136" t="str">
        <f t="shared" si="39"/>
        <v>Materials opexUE OpexCurrency maintenance</v>
      </c>
      <c r="G77" s="3"/>
      <c r="H77" s="7"/>
      <c r="I77" s="31"/>
      <c r="J77" s="3"/>
      <c r="K77" s="7"/>
      <c r="L77" s="7"/>
      <c r="M77" s="7"/>
      <c r="N77" s="7"/>
      <c r="O77" s="7"/>
      <c r="Q77" s="133">
        <f t="shared" si="38"/>
        <v>0</v>
      </c>
      <c r="R77" s="133">
        <f t="shared" si="38"/>
        <v>0</v>
      </c>
      <c r="S77" s="133">
        <f t="shared" si="38"/>
        <v>0</v>
      </c>
      <c r="T77" s="133">
        <f t="shared" si="38"/>
        <v>0</v>
      </c>
      <c r="U77" s="133">
        <f t="shared" si="38"/>
        <v>0</v>
      </c>
    </row>
    <row r="78" spans="3:21" x14ac:dyDescent="0.2">
      <c r="C78" s="4" t="s">
        <v>86</v>
      </c>
      <c r="D78" s="4" t="s">
        <v>91</v>
      </c>
      <c r="E78" s="4" t="s">
        <v>67</v>
      </c>
      <c r="F78" s="136" t="str">
        <f t="shared" si="39"/>
        <v>Contracts OpexUE OpexCurrency maintenance</v>
      </c>
      <c r="G78" s="3"/>
      <c r="H78" s="7"/>
      <c r="I78" s="31"/>
      <c r="J78" s="3"/>
      <c r="K78" s="7"/>
      <c r="L78" s="7"/>
      <c r="M78" s="7"/>
      <c r="N78" s="7"/>
      <c r="O78" s="7"/>
      <c r="Q78" s="133">
        <f t="shared" si="38"/>
        <v>0</v>
      </c>
      <c r="R78" s="133">
        <f t="shared" si="38"/>
        <v>0</v>
      </c>
      <c r="S78" s="133">
        <f t="shared" si="38"/>
        <v>0</v>
      </c>
      <c r="T78" s="133">
        <f t="shared" si="38"/>
        <v>0</v>
      </c>
      <c r="U78" s="133">
        <f t="shared" si="38"/>
        <v>0</v>
      </c>
    </row>
    <row r="79" spans="3:21" x14ac:dyDescent="0.2">
      <c r="C79" s="4" t="s">
        <v>2</v>
      </c>
      <c r="D79" s="4" t="s">
        <v>64</v>
      </c>
      <c r="E79" s="4" t="s">
        <v>67</v>
      </c>
      <c r="F79" s="136" t="str">
        <f t="shared" si="39"/>
        <v>LabourAllCurrency maintenance</v>
      </c>
      <c r="G79" s="3"/>
      <c r="H79" s="7"/>
      <c r="I79" s="31"/>
      <c r="J79" s="3"/>
      <c r="K79" s="7"/>
      <c r="L79" s="7"/>
      <c r="M79" s="7"/>
      <c r="N79" s="7"/>
      <c r="O79" s="7"/>
      <c r="Q79" s="133">
        <f t="shared" si="38"/>
        <v>0</v>
      </c>
      <c r="R79" s="133">
        <f t="shared" si="38"/>
        <v>0</v>
      </c>
      <c r="S79" s="133">
        <f t="shared" si="38"/>
        <v>0</v>
      </c>
      <c r="T79" s="133">
        <f t="shared" si="38"/>
        <v>0</v>
      </c>
      <c r="U79" s="133">
        <f t="shared" si="38"/>
        <v>446945.29417726287</v>
      </c>
    </row>
    <row r="80" spans="3:21" x14ac:dyDescent="0.2">
      <c r="C80" s="4" t="s">
        <v>1</v>
      </c>
      <c r="D80" s="4" t="s">
        <v>64</v>
      </c>
      <c r="E80" s="4" t="s">
        <v>67</v>
      </c>
      <c r="F80" s="136" t="str">
        <f t="shared" si="39"/>
        <v>MaterialsAllCurrency maintenance</v>
      </c>
      <c r="G80" s="3"/>
      <c r="H80" s="7"/>
      <c r="I80" s="31"/>
      <c r="J80" s="3"/>
      <c r="K80" s="7"/>
      <c r="L80" s="7"/>
      <c r="M80" s="7"/>
      <c r="N80" s="7"/>
      <c r="O80" s="7"/>
      <c r="Q80" s="133">
        <f t="shared" si="38"/>
        <v>0</v>
      </c>
      <c r="R80" s="133">
        <f t="shared" si="38"/>
        <v>0</v>
      </c>
      <c r="S80" s="133">
        <f t="shared" si="38"/>
        <v>0</v>
      </c>
      <c r="T80" s="133">
        <f t="shared" si="38"/>
        <v>0</v>
      </c>
      <c r="U80" s="133">
        <f t="shared" si="38"/>
        <v>336186.25626161462</v>
      </c>
    </row>
    <row r="81" spans="3:21" x14ac:dyDescent="0.2">
      <c r="C81" s="4" t="s">
        <v>4</v>
      </c>
      <c r="D81" s="4" t="s">
        <v>64</v>
      </c>
      <c r="E81" s="4" t="s">
        <v>67</v>
      </c>
      <c r="F81" s="136" t="str">
        <f t="shared" si="39"/>
        <v>ContractsAllCurrency maintenance</v>
      </c>
      <c r="G81" s="3"/>
      <c r="H81" s="7"/>
      <c r="I81" s="31"/>
      <c r="J81" s="3"/>
      <c r="K81" s="7"/>
      <c r="L81" s="7"/>
      <c r="M81" s="7"/>
      <c r="N81" s="7"/>
      <c r="O81" s="7"/>
      <c r="Q81" s="133">
        <f t="shared" si="38"/>
        <v>0</v>
      </c>
      <c r="R81" s="133">
        <f t="shared" si="38"/>
        <v>0</v>
      </c>
      <c r="S81" s="133">
        <f t="shared" si="38"/>
        <v>0</v>
      </c>
      <c r="T81" s="133">
        <f t="shared" si="38"/>
        <v>0</v>
      </c>
      <c r="U81" s="133">
        <f t="shared" si="38"/>
        <v>703645.65264058881</v>
      </c>
    </row>
    <row r="82" spans="3:21" x14ac:dyDescent="0.2">
      <c r="C82" s="4"/>
      <c r="D82" s="4"/>
      <c r="E82" s="4"/>
      <c r="F82" s="132"/>
      <c r="G82" s="3"/>
      <c r="H82" s="7"/>
      <c r="I82" s="31"/>
      <c r="J82" s="3"/>
      <c r="K82" s="7"/>
      <c r="L82" s="7"/>
      <c r="M82" s="7"/>
      <c r="N82" s="7"/>
      <c r="O82" s="7"/>
      <c r="Q82" s="133"/>
      <c r="R82" s="133"/>
      <c r="S82" s="133"/>
      <c r="T82" s="133"/>
      <c r="U82" s="133"/>
    </row>
    <row r="83" spans="3:21" x14ac:dyDescent="0.2">
      <c r="C83" s="4" t="s">
        <v>2</v>
      </c>
      <c r="D83" s="4" t="s">
        <v>0</v>
      </c>
      <c r="E83" s="4" t="s">
        <v>93</v>
      </c>
      <c r="F83" s="132" t="str">
        <f t="shared" si="39"/>
        <v>LabourVPNS4 upgrade</v>
      </c>
      <c r="G83" s="3"/>
      <c r="H83" s="7"/>
      <c r="I83" s="31"/>
      <c r="J83" s="3"/>
      <c r="K83" s="7"/>
      <c r="L83" s="7"/>
      <c r="M83" s="7"/>
      <c r="N83" s="7"/>
      <c r="O83" s="7"/>
      <c r="Q83" s="133">
        <f t="shared" ref="Q83:U97" si="40">SUMIFS(Q$10:Q$35,$F$10:$F$35,$C83,$D$10:$D$35,$D83)*Conv_2021-Q67</f>
        <v>0</v>
      </c>
      <c r="R83" s="133">
        <f t="shared" si="40"/>
        <v>0</v>
      </c>
      <c r="S83" s="133">
        <f t="shared" si="40"/>
        <v>0</v>
      </c>
      <c r="T83" s="133">
        <f t="shared" si="40"/>
        <v>0</v>
      </c>
      <c r="U83" s="133">
        <f t="shared" si="40"/>
        <v>0</v>
      </c>
    </row>
    <row r="84" spans="3:21" x14ac:dyDescent="0.2">
      <c r="C84" s="4" t="s">
        <v>1</v>
      </c>
      <c r="D84" s="4" t="s">
        <v>0</v>
      </c>
      <c r="E84" s="4" t="s">
        <v>93</v>
      </c>
      <c r="F84" s="132" t="str">
        <f t="shared" si="39"/>
        <v>MaterialsVPNS4 upgrade</v>
      </c>
      <c r="G84" s="3"/>
      <c r="H84" s="7"/>
      <c r="I84" s="31"/>
      <c r="J84" s="3"/>
      <c r="K84" s="7"/>
      <c r="L84" s="7"/>
      <c r="M84" s="7"/>
      <c r="N84" s="7"/>
      <c r="O84" s="7"/>
      <c r="Q84" s="133">
        <f t="shared" si="40"/>
        <v>0</v>
      </c>
      <c r="R84" s="133">
        <f t="shared" si="40"/>
        <v>0</v>
      </c>
      <c r="S84" s="133">
        <f t="shared" si="40"/>
        <v>0</v>
      </c>
      <c r="T84" s="133">
        <f t="shared" si="40"/>
        <v>0</v>
      </c>
      <c r="U84" s="133">
        <f t="shared" si="40"/>
        <v>0</v>
      </c>
    </row>
    <row r="85" spans="3:21" x14ac:dyDescent="0.2">
      <c r="C85" s="4" t="s">
        <v>4</v>
      </c>
      <c r="D85" s="4" t="s">
        <v>0</v>
      </c>
      <c r="E85" s="4" t="s">
        <v>93</v>
      </c>
      <c r="F85" s="132" t="str">
        <f t="shared" si="39"/>
        <v>ContractsVPNS4 upgrade</v>
      </c>
      <c r="G85" s="3"/>
      <c r="H85" s="7"/>
      <c r="I85" s="31"/>
      <c r="J85" s="3"/>
      <c r="K85" s="7"/>
      <c r="L85" s="7"/>
      <c r="M85" s="7"/>
      <c r="N85" s="7"/>
      <c r="O85" s="7"/>
      <c r="Q85" s="133">
        <f t="shared" si="40"/>
        <v>0</v>
      </c>
      <c r="R85" s="133">
        <f t="shared" si="40"/>
        <v>0</v>
      </c>
      <c r="S85" s="133">
        <f t="shared" si="40"/>
        <v>0</v>
      </c>
      <c r="T85" s="133">
        <f t="shared" si="40"/>
        <v>0</v>
      </c>
      <c r="U85" s="133">
        <f t="shared" si="40"/>
        <v>0</v>
      </c>
    </row>
    <row r="86" spans="3:21" x14ac:dyDescent="0.2">
      <c r="C86" s="4" t="s">
        <v>87</v>
      </c>
      <c r="D86" s="4" t="s">
        <v>92</v>
      </c>
      <c r="E86" s="4" t="s">
        <v>93</v>
      </c>
      <c r="F86" s="132" t="str">
        <f t="shared" si="39"/>
        <v>Labour OpexVPN opexS4 upgrade</v>
      </c>
      <c r="G86" s="3"/>
      <c r="H86" s="7"/>
      <c r="I86" s="31"/>
      <c r="J86" s="3"/>
      <c r="K86" s="7"/>
      <c r="L86" s="7"/>
      <c r="M86" s="7"/>
      <c r="N86" s="7"/>
      <c r="O86" s="7"/>
      <c r="Q86" s="133">
        <f t="shared" si="40"/>
        <v>0</v>
      </c>
      <c r="R86" s="133">
        <f t="shared" si="40"/>
        <v>0</v>
      </c>
      <c r="S86" s="133">
        <f t="shared" si="40"/>
        <v>0</v>
      </c>
      <c r="T86" s="133">
        <f t="shared" si="40"/>
        <v>0</v>
      </c>
      <c r="U86" s="133">
        <f t="shared" si="40"/>
        <v>0</v>
      </c>
    </row>
    <row r="87" spans="3:21" x14ac:dyDescent="0.2">
      <c r="C87" s="4" t="s">
        <v>88</v>
      </c>
      <c r="D87" s="4" t="s">
        <v>90</v>
      </c>
      <c r="E87" s="4" t="s">
        <v>93</v>
      </c>
      <c r="F87" s="132" t="str">
        <f t="shared" si="39"/>
        <v>Materials OpexVPN OpexS4 upgrade</v>
      </c>
      <c r="G87" s="3"/>
      <c r="H87" s="7"/>
      <c r="I87" s="31"/>
      <c r="J87" s="3"/>
      <c r="K87" s="7"/>
      <c r="L87" s="7"/>
      <c r="M87" s="7"/>
      <c r="N87" s="7"/>
      <c r="O87" s="7"/>
      <c r="Q87" s="133">
        <f t="shared" si="40"/>
        <v>0</v>
      </c>
      <c r="R87" s="133">
        <f t="shared" si="40"/>
        <v>0</v>
      </c>
      <c r="S87" s="133">
        <f t="shared" si="40"/>
        <v>0</v>
      </c>
      <c r="T87" s="133">
        <f t="shared" si="40"/>
        <v>0</v>
      </c>
      <c r="U87" s="133">
        <f t="shared" si="40"/>
        <v>0</v>
      </c>
    </row>
    <row r="88" spans="3:21" x14ac:dyDescent="0.2">
      <c r="C88" s="4" t="s">
        <v>86</v>
      </c>
      <c r="D88" s="4" t="s">
        <v>90</v>
      </c>
      <c r="E88" s="4" t="s">
        <v>93</v>
      </c>
      <c r="F88" s="132" t="str">
        <f t="shared" si="39"/>
        <v>Contracts OpexVPN OpexS4 upgrade</v>
      </c>
      <c r="G88" s="3"/>
      <c r="H88" s="7"/>
      <c r="I88" s="31"/>
      <c r="J88" s="3"/>
      <c r="K88" s="7"/>
      <c r="L88" s="7"/>
      <c r="M88" s="7"/>
      <c r="N88" s="7"/>
      <c r="O88" s="7"/>
      <c r="Q88" s="133">
        <f t="shared" si="40"/>
        <v>0</v>
      </c>
      <c r="R88" s="133">
        <f t="shared" si="40"/>
        <v>0</v>
      </c>
      <c r="S88" s="133">
        <f t="shared" si="40"/>
        <v>0</v>
      </c>
      <c r="T88" s="133">
        <f t="shared" si="40"/>
        <v>0</v>
      </c>
      <c r="U88" s="133">
        <f t="shared" si="40"/>
        <v>0</v>
      </c>
    </row>
    <row r="89" spans="3:21" x14ac:dyDescent="0.2">
      <c r="C89" s="4" t="s">
        <v>2</v>
      </c>
      <c r="D89" s="4" t="s">
        <v>54</v>
      </c>
      <c r="E89" s="4" t="s">
        <v>93</v>
      </c>
      <c r="F89" s="132" t="str">
        <f t="shared" si="39"/>
        <v>LabourUES4 upgrade</v>
      </c>
      <c r="G89" s="3"/>
      <c r="H89" s="7"/>
      <c r="I89" s="31"/>
      <c r="J89" s="3"/>
      <c r="K89" s="7"/>
      <c r="L89" s="7"/>
      <c r="M89" s="7"/>
      <c r="N89" s="7"/>
      <c r="O89" s="7"/>
      <c r="Q89" s="133">
        <f t="shared" si="40"/>
        <v>0</v>
      </c>
      <c r="R89" s="133">
        <f t="shared" si="40"/>
        <v>0</v>
      </c>
      <c r="S89" s="133">
        <f t="shared" si="40"/>
        <v>0</v>
      </c>
      <c r="T89" s="133">
        <f t="shared" si="40"/>
        <v>0</v>
      </c>
      <c r="U89" s="133">
        <f t="shared" si="40"/>
        <v>0</v>
      </c>
    </row>
    <row r="90" spans="3:21" x14ac:dyDescent="0.2">
      <c r="C90" s="4" t="s">
        <v>1</v>
      </c>
      <c r="D90" s="4" t="s">
        <v>54</v>
      </c>
      <c r="E90" s="4" t="s">
        <v>93</v>
      </c>
      <c r="F90" s="132" t="str">
        <f t="shared" si="39"/>
        <v>MaterialsUES4 upgrade</v>
      </c>
      <c r="G90" s="3"/>
      <c r="H90" s="7"/>
      <c r="I90" s="31"/>
      <c r="J90" s="3"/>
      <c r="K90" s="7"/>
      <c r="L90" s="7"/>
      <c r="M90" s="7"/>
      <c r="N90" s="7"/>
      <c r="O90" s="7"/>
      <c r="Q90" s="133">
        <f t="shared" si="40"/>
        <v>0</v>
      </c>
      <c r="R90" s="133">
        <f t="shared" si="40"/>
        <v>0</v>
      </c>
      <c r="S90" s="133">
        <f t="shared" si="40"/>
        <v>0</v>
      </c>
      <c r="T90" s="133">
        <f t="shared" si="40"/>
        <v>0</v>
      </c>
      <c r="U90" s="133">
        <f t="shared" si="40"/>
        <v>0</v>
      </c>
    </row>
    <row r="91" spans="3:21" x14ac:dyDescent="0.2">
      <c r="C91" s="4" t="s">
        <v>4</v>
      </c>
      <c r="D91" s="4" t="s">
        <v>54</v>
      </c>
      <c r="E91" s="4" t="s">
        <v>93</v>
      </c>
      <c r="F91" s="132" t="str">
        <f t="shared" si="39"/>
        <v>ContractsUES4 upgrade</v>
      </c>
      <c r="G91" s="3"/>
      <c r="H91" s="7"/>
      <c r="I91" s="31"/>
      <c r="J91" s="3"/>
      <c r="K91" s="7"/>
      <c r="L91" s="7"/>
      <c r="M91" s="7"/>
      <c r="N91" s="7"/>
      <c r="O91" s="7"/>
      <c r="Q91" s="133">
        <f t="shared" si="40"/>
        <v>0</v>
      </c>
      <c r="R91" s="133">
        <f t="shared" si="40"/>
        <v>0</v>
      </c>
      <c r="S91" s="133">
        <f t="shared" si="40"/>
        <v>0</v>
      </c>
      <c r="T91" s="133">
        <f t="shared" si="40"/>
        <v>0</v>
      </c>
      <c r="U91" s="133">
        <f t="shared" si="40"/>
        <v>0</v>
      </c>
    </row>
    <row r="92" spans="3:21" x14ac:dyDescent="0.2">
      <c r="C92" s="4" t="s">
        <v>87</v>
      </c>
      <c r="D92" s="4" t="s">
        <v>91</v>
      </c>
      <c r="E92" s="4" t="s">
        <v>93</v>
      </c>
      <c r="F92" s="132" t="str">
        <f t="shared" si="39"/>
        <v>Labour OpexUE OpexS4 upgrade</v>
      </c>
      <c r="G92" s="3"/>
      <c r="H92" s="7"/>
      <c r="I92" s="31"/>
      <c r="J92" s="3"/>
      <c r="K92" s="7"/>
      <c r="L92" s="7"/>
      <c r="M92" s="7"/>
      <c r="N92" s="7"/>
      <c r="O92" s="7"/>
      <c r="Q92" s="133">
        <f t="shared" si="40"/>
        <v>0</v>
      </c>
      <c r="R92" s="133">
        <f t="shared" si="40"/>
        <v>0</v>
      </c>
      <c r="S92" s="133">
        <f t="shared" si="40"/>
        <v>0</v>
      </c>
      <c r="T92" s="133">
        <f t="shared" si="40"/>
        <v>0</v>
      </c>
      <c r="U92" s="133">
        <f t="shared" si="40"/>
        <v>0</v>
      </c>
    </row>
    <row r="93" spans="3:21" x14ac:dyDescent="0.2">
      <c r="C93" s="4" t="s">
        <v>89</v>
      </c>
      <c r="D93" s="4" t="s">
        <v>91</v>
      </c>
      <c r="E93" s="4" t="s">
        <v>93</v>
      </c>
      <c r="F93" s="132" t="str">
        <f t="shared" si="39"/>
        <v>Materials opexUE OpexS4 upgrade</v>
      </c>
      <c r="G93" s="3"/>
      <c r="H93" s="7"/>
      <c r="I93" s="31"/>
      <c r="J93" s="3"/>
      <c r="K93" s="7"/>
      <c r="L93" s="7"/>
      <c r="M93" s="7"/>
      <c r="N93" s="7"/>
      <c r="O93" s="7"/>
      <c r="Q93" s="133">
        <f t="shared" si="40"/>
        <v>0</v>
      </c>
      <c r="R93" s="133">
        <f t="shared" si="40"/>
        <v>0</v>
      </c>
      <c r="S93" s="133">
        <f t="shared" si="40"/>
        <v>0</v>
      </c>
      <c r="T93" s="133">
        <f t="shared" si="40"/>
        <v>0</v>
      </c>
      <c r="U93" s="133">
        <f t="shared" si="40"/>
        <v>0</v>
      </c>
    </row>
    <row r="94" spans="3:21" x14ac:dyDescent="0.2">
      <c r="C94" s="4" t="s">
        <v>86</v>
      </c>
      <c r="D94" s="4" t="s">
        <v>91</v>
      </c>
      <c r="E94" s="4" t="s">
        <v>93</v>
      </c>
      <c r="F94" s="132" t="str">
        <f t="shared" si="39"/>
        <v>Contracts OpexUE OpexS4 upgrade</v>
      </c>
      <c r="G94" s="3"/>
      <c r="H94" s="7"/>
      <c r="I94" s="31"/>
      <c r="J94" s="3"/>
      <c r="K94" s="7"/>
      <c r="L94" s="7"/>
      <c r="M94" s="7"/>
      <c r="N94" s="7"/>
      <c r="O94" s="7"/>
      <c r="Q94" s="133">
        <f t="shared" si="40"/>
        <v>0</v>
      </c>
      <c r="R94" s="133">
        <f t="shared" si="40"/>
        <v>0</v>
      </c>
      <c r="S94" s="133">
        <f t="shared" si="40"/>
        <v>0</v>
      </c>
      <c r="T94" s="133">
        <f t="shared" si="40"/>
        <v>0</v>
      </c>
      <c r="U94" s="133">
        <f t="shared" si="40"/>
        <v>0</v>
      </c>
    </row>
    <row r="95" spans="3:21" x14ac:dyDescent="0.2">
      <c r="C95" s="4" t="s">
        <v>2</v>
      </c>
      <c r="D95" s="4" t="s">
        <v>64</v>
      </c>
      <c r="E95" s="4" t="s">
        <v>93</v>
      </c>
      <c r="F95" s="132" t="str">
        <f t="shared" si="39"/>
        <v>LabourAllS4 upgrade</v>
      </c>
      <c r="G95" s="3"/>
      <c r="H95" s="7"/>
      <c r="I95" s="31"/>
      <c r="J95" s="3"/>
      <c r="K95" s="7"/>
      <c r="L95" s="7"/>
      <c r="M95" s="7"/>
      <c r="N95" s="7"/>
      <c r="O95" s="7"/>
      <c r="Q95" s="133">
        <f t="shared" si="40"/>
        <v>0</v>
      </c>
      <c r="R95" s="133">
        <f t="shared" si="40"/>
        <v>5746439.4965648083</v>
      </c>
      <c r="S95" s="133">
        <f t="shared" si="40"/>
        <v>14302249.413672412</v>
      </c>
      <c r="T95" s="133">
        <f t="shared" si="40"/>
        <v>14046852.102713976</v>
      </c>
      <c r="U95" s="133">
        <f t="shared" si="40"/>
        <v>0</v>
      </c>
    </row>
    <row r="96" spans="3:21" x14ac:dyDescent="0.2">
      <c r="C96" s="4" t="s">
        <v>1</v>
      </c>
      <c r="D96" s="4" t="s">
        <v>64</v>
      </c>
      <c r="E96" s="4" t="s">
        <v>93</v>
      </c>
      <c r="F96" s="132" t="str">
        <f t="shared" si="39"/>
        <v>MaterialsAllS4 upgrade</v>
      </c>
      <c r="G96" s="3"/>
      <c r="H96" s="7"/>
      <c r="I96" s="31"/>
      <c r="J96" s="3"/>
      <c r="K96" s="7"/>
      <c r="L96" s="7"/>
      <c r="M96" s="7"/>
      <c r="N96" s="7"/>
      <c r="O96" s="7"/>
      <c r="Q96" s="133">
        <f t="shared" si="40"/>
        <v>0</v>
      </c>
      <c r="R96" s="133">
        <f t="shared" si="40"/>
        <v>4690971.0176039254</v>
      </c>
      <c r="S96" s="133">
        <f t="shared" si="40"/>
        <v>0</v>
      </c>
      <c r="T96" s="133">
        <f t="shared" si="40"/>
        <v>0</v>
      </c>
      <c r="U96" s="133">
        <f t="shared" si="40"/>
        <v>0</v>
      </c>
    </row>
    <row r="97" spans="3:23" x14ac:dyDescent="0.2">
      <c r="C97" s="4" t="s">
        <v>4</v>
      </c>
      <c r="D97" s="4" t="s">
        <v>64</v>
      </c>
      <c r="E97" s="4" t="s">
        <v>93</v>
      </c>
      <c r="F97" s="132" t="str">
        <f t="shared" si="39"/>
        <v>ContractsAllS4 upgrade</v>
      </c>
      <c r="G97" s="3"/>
      <c r="H97" s="7"/>
      <c r="I97" s="31"/>
      <c r="J97" s="3"/>
      <c r="K97" s="7"/>
      <c r="L97" s="7"/>
      <c r="M97" s="7"/>
      <c r="N97" s="7"/>
      <c r="O97" s="7"/>
      <c r="Q97" s="133">
        <f t="shared" si="40"/>
        <v>0</v>
      </c>
      <c r="R97" s="133">
        <f t="shared" si="40"/>
        <v>2084876.0078239667</v>
      </c>
      <c r="S97" s="133">
        <f t="shared" si="40"/>
        <v>10424380.039119834</v>
      </c>
      <c r="T97" s="133">
        <f t="shared" si="40"/>
        <v>12300768.446161404</v>
      </c>
      <c r="U97" s="133">
        <f t="shared" si="40"/>
        <v>0</v>
      </c>
    </row>
    <row r="98" spans="3:23" x14ac:dyDescent="0.2">
      <c r="C98" s="10" t="s">
        <v>82</v>
      </c>
      <c r="D98" s="10"/>
      <c r="E98" s="10"/>
      <c r="F98" s="10"/>
      <c r="G98" s="3"/>
      <c r="H98" s="10"/>
      <c r="I98" s="14"/>
      <c r="J98" s="3"/>
      <c r="K98" s="10"/>
      <c r="L98" s="10"/>
      <c r="M98" s="10"/>
      <c r="N98" s="10"/>
      <c r="O98" s="10"/>
      <c r="Q98" s="11">
        <f>SUM(Q67:Q97)</f>
        <v>1785175.0816992717</v>
      </c>
      <c r="R98" s="11">
        <f t="shared" ref="R98:U98" si="41">SUM(R67:R97)</f>
        <v>15501053.118171193</v>
      </c>
      <c r="S98" s="11">
        <f t="shared" si="41"/>
        <v>24726629.452792246</v>
      </c>
      <c r="T98" s="11">
        <f t="shared" si="41"/>
        <v>26347620.54887538</v>
      </c>
      <c r="U98" s="11">
        <f t="shared" si="41"/>
        <v>1486777.2030794662</v>
      </c>
      <c r="V98" s="42"/>
    </row>
    <row r="99" spans="3:23" x14ac:dyDescent="0.2">
      <c r="C99" s="28"/>
      <c r="D99" s="28"/>
      <c r="E99" s="28"/>
      <c r="F99" s="28"/>
      <c r="G99" s="3"/>
      <c r="H99" s="28"/>
      <c r="I99" s="29"/>
      <c r="J99" s="3"/>
      <c r="K99" s="28"/>
      <c r="L99" s="28"/>
      <c r="M99" s="28"/>
      <c r="N99" s="28"/>
      <c r="O99" s="28"/>
      <c r="Q99" s="43"/>
      <c r="R99" s="43"/>
      <c r="S99" s="43"/>
      <c r="T99" s="43"/>
      <c r="U99" s="43"/>
      <c r="V99" s="42"/>
    </row>
    <row r="100" spans="3:23" x14ac:dyDescent="0.2">
      <c r="C100" s="98" t="s">
        <v>12</v>
      </c>
      <c r="D100" s="98"/>
      <c r="E100" s="98"/>
      <c r="F100" s="98"/>
      <c r="G100" s="3"/>
      <c r="H100" s="98"/>
      <c r="I100" s="98"/>
      <c r="J100" s="3"/>
      <c r="K100" s="98"/>
      <c r="L100" s="98"/>
      <c r="M100" s="98"/>
      <c r="N100" s="98"/>
      <c r="O100" s="98"/>
      <c r="Q100" s="99">
        <f>Q61-Q98</f>
        <v>0</v>
      </c>
      <c r="R100" s="99">
        <f t="shared" ref="R100:U100" si="42">R61-R98</f>
        <v>0</v>
      </c>
      <c r="S100" s="99">
        <f t="shared" si="42"/>
        <v>0</v>
      </c>
      <c r="T100" s="99">
        <f t="shared" si="42"/>
        <v>0</v>
      </c>
      <c r="U100" s="99">
        <f t="shared" si="42"/>
        <v>0</v>
      </c>
      <c r="W100" s="99">
        <f>SUM(Q100:U100)</f>
        <v>0</v>
      </c>
    </row>
    <row r="103" spans="3:23" x14ac:dyDescent="0.2">
      <c r="C103" s="5" t="s">
        <v>75</v>
      </c>
      <c r="D103" s="7"/>
      <c r="G103" s="3"/>
      <c r="J103" s="3"/>
      <c r="P103" s="3"/>
    </row>
    <row r="104" spans="3:23" x14ac:dyDescent="0.2">
      <c r="C104" s="28" t="s">
        <v>2</v>
      </c>
      <c r="D104" s="28" t="s">
        <v>0</v>
      </c>
      <c r="E104" s="28" t="s">
        <v>67</v>
      </c>
      <c r="F104" s="135" t="str">
        <f t="shared" ref="F104" si="43">C104&amp;D104&amp;E104</f>
        <v>LabourVPNCurrency maintenance</v>
      </c>
      <c r="G104" s="3"/>
      <c r="H104" s="28"/>
      <c r="I104" s="29"/>
      <c r="J104" s="3"/>
      <c r="K104" s="28"/>
      <c r="L104" s="28"/>
      <c r="M104" s="28"/>
      <c r="N104" s="28"/>
      <c r="O104" s="28"/>
      <c r="Q104" s="43">
        <f>Q67+(Q79*Assumptions!$B$30)</f>
        <v>319246.63869804493</v>
      </c>
      <c r="R104" s="43">
        <f>R67+(R79*Assumptions!$B$30)</f>
        <v>446945.29417726287</v>
      </c>
      <c r="S104" s="43">
        <f>S67+(S79*Assumptions!$B$30)</f>
        <v>0</v>
      </c>
      <c r="T104" s="43">
        <f>T67+(T79*Assumptions!$B$30)</f>
        <v>0</v>
      </c>
      <c r="U104" s="43">
        <f>U67+(U79*Assumptions!$B$30)</f>
        <v>223472.64708863143</v>
      </c>
    </row>
    <row r="105" spans="3:23" x14ac:dyDescent="0.2">
      <c r="C105" s="4" t="s">
        <v>1</v>
      </c>
      <c r="D105" s="4" t="s">
        <v>0</v>
      </c>
      <c r="E105" s="4" t="s">
        <v>67</v>
      </c>
      <c r="F105" s="136" t="str">
        <f>C105&amp;D105&amp;E105</f>
        <v>MaterialsVPNCurrency maintenance</v>
      </c>
      <c r="G105" s="3"/>
      <c r="H105" s="4"/>
      <c r="I105" s="13"/>
      <c r="J105" s="3"/>
      <c r="K105" s="4"/>
      <c r="L105" s="4"/>
      <c r="M105" s="4"/>
      <c r="N105" s="4"/>
      <c r="O105" s="4"/>
      <c r="Q105" s="133">
        <f>Q68+(Q80*Assumptions!$B$30)</f>
        <v>182426.65068459709</v>
      </c>
      <c r="R105" s="133">
        <f>R68+(R80*Assumptions!$B$30)</f>
        <v>338792.35127139458</v>
      </c>
      <c r="S105" s="133">
        <f>S68+(S80*Assumptions!$B$30)</f>
        <v>0</v>
      </c>
      <c r="T105" s="133">
        <f>T68+(T80*Assumptions!$B$30)</f>
        <v>0</v>
      </c>
      <c r="U105" s="133">
        <f>U68+(U80*Assumptions!$B$30)</f>
        <v>168093.12813080731</v>
      </c>
    </row>
    <row r="106" spans="3:23" x14ac:dyDescent="0.2">
      <c r="C106" s="4" t="s">
        <v>4</v>
      </c>
      <c r="D106" s="4" t="s">
        <v>0</v>
      </c>
      <c r="E106" s="4" t="s">
        <v>67</v>
      </c>
      <c r="F106" s="136" t="str">
        <f t="shared" ref="F106:F118" si="44">C106&amp;D106&amp;E106</f>
        <v>ContractsVPNCurrency maintenance</v>
      </c>
      <c r="G106" s="3"/>
      <c r="H106" s="4"/>
      <c r="I106" s="13"/>
      <c r="J106" s="3"/>
      <c r="K106" s="4"/>
      <c r="L106" s="4"/>
      <c r="M106" s="4"/>
      <c r="N106" s="4"/>
      <c r="O106" s="4"/>
      <c r="Q106" s="133">
        <f>Q69+(Q81*Assumptions!$B$30)</f>
        <v>390914.25146699377</v>
      </c>
      <c r="R106" s="133">
        <f>R69+(R81*Assumptions!$B$30)</f>
        <v>703645.65264058881</v>
      </c>
      <c r="S106" s="133">
        <f>S69+(S81*Assumptions!$B$30)</f>
        <v>0</v>
      </c>
      <c r="T106" s="133">
        <f>T69+(T81*Assumptions!$B$30)</f>
        <v>0</v>
      </c>
      <c r="U106" s="133">
        <f>U69+(U81*Assumptions!$B$30)</f>
        <v>351822.82632029441</v>
      </c>
    </row>
    <row r="107" spans="3:23" x14ac:dyDescent="0.2">
      <c r="C107" s="4"/>
      <c r="D107" s="4"/>
      <c r="E107" s="4"/>
      <c r="F107" s="136"/>
      <c r="G107" s="3"/>
      <c r="H107" s="4"/>
      <c r="I107" s="13"/>
      <c r="J107" s="3"/>
      <c r="K107" s="4"/>
      <c r="L107" s="4"/>
      <c r="M107" s="4"/>
      <c r="N107" s="4"/>
      <c r="O107" s="4"/>
      <c r="Q107" s="133"/>
      <c r="R107" s="133"/>
      <c r="S107" s="133"/>
      <c r="T107" s="133"/>
      <c r="U107" s="133"/>
    </row>
    <row r="108" spans="3:23" x14ac:dyDescent="0.2">
      <c r="C108" s="4" t="s">
        <v>87</v>
      </c>
      <c r="D108" s="4" t="s">
        <v>92</v>
      </c>
      <c r="E108" s="4" t="s">
        <v>67</v>
      </c>
      <c r="F108" s="136" t="str">
        <f t="shared" si="44"/>
        <v>Labour OpexVPN opexCurrency maintenance</v>
      </c>
      <c r="G108" s="3"/>
      <c r="H108" s="4"/>
      <c r="I108" s="13"/>
      <c r="J108" s="3"/>
      <c r="K108" s="4"/>
      <c r="L108" s="4"/>
      <c r="M108" s="4"/>
      <c r="N108" s="4"/>
      <c r="O108" s="4"/>
      <c r="Q108" s="133">
        <f>Q70</f>
        <v>0</v>
      </c>
      <c r="R108" s="133">
        <f t="shared" ref="R108:U108" si="45">R70</f>
        <v>0</v>
      </c>
      <c r="S108" s="133">
        <f t="shared" si="45"/>
        <v>0</v>
      </c>
      <c r="T108" s="133">
        <f t="shared" si="45"/>
        <v>0</v>
      </c>
      <c r="U108" s="133">
        <f t="shared" si="45"/>
        <v>0</v>
      </c>
    </row>
    <row r="109" spans="3:23" x14ac:dyDescent="0.2">
      <c r="C109" s="4" t="s">
        <v>88</v>
      </c>
      <c r="D109" s="4" t="s">
        <v>90</v>
      </c>
      <c r="E109" s="4" t="s">
        <v>67</v>
      </c>
      <c r="F109" s="136" t="str">
        <f t="shared" si="44"/>
        <v>Materials OpexVPN OpexCurrency maintenance</v>
      </c>
      <c r="G109" s="3"/>
      <c r="H109" s="4"/>
      <c r="I109" s="13"/>
      <c r="J109" s="3"/>
      <c r="K109" s="4"/>
      <c r="L109" s="4"/>
      <c r="M109" s="4"/>
      <c r="N109" s="4"/>
      <c r="O109" s="4"/>
      <c r="Q109" s="133">
        <f t="shared" ref="Q109:U110" si="46">Q71</f>
        <v>0</v>
      </c>
      <c r="R109" s="133">
        <f t="shared" si="46"/>
        <v>0</v>
      </c>
      <c r="S109" s="133">
        <f t="shared" si="46"/>
        <v>0</v>
      </c>
      <c r="T109" s="133">
        <f t="shared" si="46"/>
        <v>0</v>
      </c>
      <c r="U109" s="133">
        <f t="shared" si="46"/>
        <v>0</v>
      </c>
    </row>
    <row r="110" spans="3:23" x14ac:dyDescent="0.2">
      <c r="C110" s="4" t="s">
        <v>86</v>
      </c>
      <c r="D110" s="4" t="s">
        <v>90</v>
      </c>
      <c r="E110" s="4" t="s">
        <v>67</v>
      </c>
      <c r="F110" s="136" t="str">
        <f t="shared" si="44"/>
        <v>Contracts OpexVPN OpexCurrency maintenance</v>
      </c>
      <c r="G110" s="3"/>
      <c r="H110" s="4"/>
      <c r="I110" s="13"/>
      <c r="J110" s="3"/>
      <c r="K110" s="4"/>
      <c r="L110" s="4"/>
      <c r="M110" s="4"/>
      <c r="N110" s="4"/>
      <c r="O110" s="4"/>
      <c r="Q110" s="133">
        <f t="shared" si="46"/>
        <v>0</v>
      </c>
      <c r="R110" s="133">
        <f t="shared" si="46"/>
        <v>0</v>
      </c>
      <c r="S110" s="133">
        <f t="shared" si="46"/>
        <v>0</v>
      </c>
      <c r="T110" s="133">
        <f t="shared" si="46"/>
        <v>0</v>
      </c>
      <c r="U110" s="133">
        <f t="shared" si="46"/>
        <v>0</v>
      </c>
    </row>
    <row r="111" spans="3:23" x14ac:dyDescent="0.2">
      <c r="C111" s="4"/>
      <c r="D111" s="4"/>
      <c r="E111" s="4"/>
      <c r="F111" s="136"/>
      <c r="G111" s="3"/>
      <c r="H111" s="4"/>
      <c r="I111" s="13"/>
      <c r="J111" s="3"/>
      <c r="K111" s="4"/>
      <c r="L111" s="4"/>
      <c r="M111" s="4"/>
      <c r="N111" s="4"/>
      <c r="O111" s="4"/>
      <c r="Q111" s="133"/>
      <c r="R111" s="133"/>
      <c r="S111" s="133"/>
      <c r="T111" s="133"/>
      <c r="U111" s="133"/>
    </row>
    <row r="112" spans="3:23" x14ac:dyDescent="0.2">
      <c r="C112" s="4" t="s">
        <v>2</v>
      </c>
      <c r="D112" s="4" t="s">
        <v>54</v>
      </c>
      <c r="E112" s="4" t="s">
        <v>67</v>
      </c>
      <c r="F112" s="136" t="str">
        <f t="shared" si="44"/>
        <v>LabourUECurrency maintenance</v>
      </c>
      <c r="G112" s="3"/>
      <c r="H112" s="4"/>
      <c r="I112" s="13"/>
      <c r="J112" s="3"/>
      <c r="K112" s="4"/>
      <c r="L112" s="4"/>
      <c r="M112" s="4"/>
      <c r="N112" s="4"/>
      <c r="O112" s="4"/>
      <c r="Q112" s="133">
        <f>Q73+(Q79*Assumptions!$B$31)</f>
        <v>319246.63869804493</v>
      </c>
      <c r="R112" s="133">
        <f>R73+(R79*Assumptions!$B$31)</f>
        <v>446945.29417726287</v>
      </c>
      <c r="S112" s="133">
        <f>S73+(S79*Assumptions!$B$31)</f>
        <v>0</v>
      </c>
      <c r="T112" s="133">
        <f>T73+(T79*Assumptions!$B$31)</f>
        <v>0</v>
      </c>
      <c r="U112" s="133">
        <f>U73+(U79*Assumptions!$B$31)</f>
        <v>223472.64708863143</v>
      </c>
    </row>
    <row r="113" spans="3:21" x14ac:dyDescent="0.2">
      <c r="C113" s="4" t="s">
        <v>1</v>
      </c>
      <c r="D113" s="4" t="s">
        <v>54</v>
      </c>
      <c r="E113" s="4" t="s">
        <v>67</v>
      </c>
      <c r="F113" s="136" t="str">
        <f t="shared" si="44"/>
        <v>MaterialsUECurrency maintenance</v>
      </c>
      <c r="G113" s="3"/>
      <c r="H113" s="4"/>
      <c r="I113" s="13"/>
      <c r="J113" s="3"/>
      <c r="K113" s="4"/>
      <c r="L113" s="4"/>
      <c r="M113" s="4"/>
      <c r="N113" s="4"/>
      <c r="O113" s="4"/>
      <c r="Q113" s="133">
        <f>Q74+(Q80*Assumptions!$B$31)</f>
        <v>182426.65068459709</v>
      </c>
      <c r="R113" s="133">
        <f>R74+(R80*Assumptions!$B$31)</f>
        <v>338792.35127139458</v>
      </c>
      <c r="S113" s="133">
        <f>S74+(S80*Assumptions!$B$31)</f>
        <v>0</v>
      </c>
      <c r="T113" s="133">
        <f>T74+(T80*Assumptions!$B$31)</f>
        <v>0</v>
      </c>
      <c r="U113" s="133">
        <f>U74+(U80*Assumptions!$B$31)</f>
        <v>168093.12813080731</v>
      </c>
    </row>
    <row r="114" spans="3:21" x14ac:dyDescent="0.2">
      <c r="C114" s="4" t="s">
        <v>4</v>
      </c>
      <c r="D114" s="4" t="s">
        <v>54</v>
      </c>
      <c r="E114" s="4" t="s">
        <v>67</v>
      </c>
      <c r="F114" s="136" t="str">
        <f t="shared" si="44"/>
        <v>ContractsUECurrency maintenance</v>
      </c>
      <c r="G114" s="3"/>
      <c r="H114" s="7"/>
      <c r="I114" s="31"/>
      <c r="J114" s="3"/>
      <c r="K114" s="7"/>
      <c r="L114" s="7"/>
      <c r="M114" s="7"/>
      <c r="N114" s="7"/>
      <c r="O114" s="7"/>
      <c r="Q114" s="133">
        <f>Q75+(Q81*Assumptions!$B$31)</f>
        <v>390914.25146699377</v>
      </c>
      <c r="R114" s="133">
        <f>R75+(R81*Assumptions!$B$31)</f>
        <v>703645.65264058881</v>
      </c>
      <c r="S114" s="133">
        <f>S75+(S81*Assumptions!$B$31)</f>
        <v>0</v>
      </c>
      <c r="T114" s="133">
        <f>T75+(T81*Assumptions!$B$31)</f>
        <v>0</v>
      </c>
      <c r="U114" s="133">
        <f>U75+(U81*Assumptions!$B$31)</f>
        <v>351822.82632029441</v>
      </c>
    </row>
    <row r="115" spans="3:21" x14ac:dyDescent="0.2">
      <c r="C115" s="4"/>
      <c r="D115" s="4"/>
      <c r="E115" s="4"/>
      <c r="F115" s="136"/>
      <c r="G115" s="3"/>
      <c r="H115" s="7"/>
      <c r="I115" s="31"/>
      <c r="J115" s="3"/>
      <c r="K115" s="7"/>
      <c r="L115" s="7"/>
      <c r="M115" s="7"/>
      <c r="N115" s="7"/>
      <c r="O115" s="7"/>
      <c r="Q115" s="133"/>
      <c r="R115" s="133"/>
      <c r="S115" s="133"/>
      <c r="T115" s="133"/>
      <c r="U115" s="133"/>
    </row>
    <row r="116" spans="3:21" x14ac:dyDescent="0.2">
      <c r="C116" s="4" t="s">
        <v>87</v>
      </c>
      <c r="D116" s="4" t="s">
        <v>91</v>
      </c>
      <c r="E116" s="4" t="s">
        <v>67</v>
      </c>
      <c r="F116" s="136" t="str">
        <f t="shared" si="44"/>
        <v>Labour OpexUE OpexCurrency maintenance</v>
      </c>
      <c r="G116" s="3"/>
      <c r="H116" s="7"/>
      <c r="I116" s="31"/>
      <c r="J116" s="3"/>
      <c r="K116" s="7"/>
      <c r="L116" s="7"/>
      <c r="M116" s="7"/>
      <c r="N116" s="7"/>
      <c r="O116" s="7"/>
      <c r="Q116" s="133">
        <f>Q76</f>
        <v>0</v>
      </c>
      <c r="R116" s="133">
        <f t="shared" ref="R116:U116" si="47">R76</f>
        <v>0</v>
      </c>
      <c r="S116" s="133">
        <f t="shared" si="47"/>
        <v>0</v>
      </c>
      <c r="T116" s="133">
        <f t="shared" si="47"/>
        <v>0</v>
      </c>
      <c r="U116" s="133">
        <f t="shared" si="47"/>
        <v>0</v>
      </c>
    </row>
    <row r="117" spans="3:21" x14ac:dyDescent="0.2">
      <c r="C117" s="4" t="s">
        <v>89</v>
      </c>
      <c r="D117" s="4" t="s">
        <v>91</v>
      </c>
      <c r="E117" s="4" t="s">
        <v>67</v>
      </c>
      <c r="F117" s="136" t="str">
        <f t="shared" si="44"/>
        <v>Materials opexUE OpexCurrency maintenance</v>
      </c>
      <c r="G117" s="3"/>
      <c r="H117" s="7"/>
      <c r="I117" s="31"/>
      <c r="J117" s="3"/>
      <c r="K117" s="7"/>
      <c r="L117" s="7"/>
      <c r="M117" s="7"/>
      <c r="N117" s="7"/>
      <c r="O117" s="7"/>
      <c r="Q117" s="133">
        <f t="shared" ref="Q117:U118" si="48">Q77</f>
        <v>0</v>
      </c>
      <c r="R117" s="133">
        <f t="shared" si="48"/>
        <v>0</v>
      </c>
      <c r="S117" s="133">
        <f t="shared" si="48"/>
        <v>0</v>
      </c>
      <c r="T117" s="133">
        <f t="shared" si="48"/>
        <v>0</v>
      </c>
      <c r="U117" s="133">
        <f t="shared" si="48"/>
        <v>0</v>
      </c>
    </row>
    <row r="118" spans="3:21" x14ac:dyDescent="0.2">
      <c r="C118" s="4" t="s">
        <v>86</v>
      </c>
      <c r="D118" s="4" t="s">
        <v>91</v>
      </c>
      <c r="E118" s="4" t="s">
        <v>67</v>
      </c>
      <c r="F118" s="136" t="str">
        <f t="shared" si="44"/>
        <v>Contracts OpexUE OpexCurrency maintenance</v>
      </c>
      <c r="G118" s="3"/>
      <c r="H118" s="7"/>
      <c r="I118" s="31"/>
      <c r="J118" s="3"/>
      <c r="K118" s="7"/>
      <c r="L118" s="7"/>
      <c r="M118" s="7"/>
      <c r="N118" s="7"/>
      <c r="O118" s="7"/>
      <c r="Q118" s="133">
        <f t="shared" si="48"/>
        <v>0</v>
      </c>
      <c r="R118" s="133">
        <f t="shared" si="48"/>
        <v>0</v>
      </c>
      <c r="S118" s="133">
        <f t="shared" si="48"/>
        <v>0</v>
      </c>
      <c r="T118" s="133">
        <f t="shared" si="48"/>
        <v>0</v>
      </c>
      <c r="U118" s="133">
        <f t="shared" si="48"/>
        <v>0</v>
      </c>
    </row>
    <row r="119" spans="3:21" x14ac:dyDescent="0.2">
      <c r="C119" s="4"/>
      <c r="D119" s="4"/>
      <c r="E119" s="4"/>
      <c r="F119" s="132"/>
      <c r="G119" s="3"/>
      <c r="H119" s="7"/>
      <c r="I119" s="31"/>
      <c r="J119" s="3"/>
      <c r="K119" s="7"/>
      <c r="L119" s="7"/>
      <c r="M119" s="7"/>
      <c r="N119" s="7"/>
      <c r="O119" s="7"/>
      <c r="Q119" s="133"/>
      <c r="R119" s="133"/>
      <c r="S119" s="133"/>
      <c r="T119" s="133"/>
      <c r="U119" s="133"/>
    </row>
    <row r="120" spans="3:21" x14ac:dyDescent="0.2">
      <c r="C120" s="4" t="s">
        <v>2</v>
      </c>
      <c r="D120" s="4" t="s">
        <v>0</v>
      </c>
      <c r="E120" s="4" t="s">
        <v>93</v>
      </c>
      <c r="F120" s="132" t="str">
        <f t="shared" ref="F120:F134" si="49">C120&amp;D120&amp;E120</f>
        <v>LabourVPNS4 upgrade</v>
      </c>
      <c r="G120" s="3"/>
      <c r="H120" s="7"/>
      <c r="I120" s="31"/>
      <c r="J120" s="3"/>
      <c r="K120" s="7"/>
      <c r="L120" s="7"/>
      <c r="M120" s="7"/>
      <c r="N120" s="7"/>
      <c r="O120" s="7"/>
      <c r="Q120" s="133">
        <f>Q83+(Q95*Assumptions!$B$30)</f>
        <v>0</v>
      </c>
      <c r="R120" s="133">
        <f>R83+(R95*Assumptions!$B$30)</f>
        <v>2873219.7482824042</v>
      </c>
      <c r="S120" s="133">
        <f>S83+(S95*Assumptions!$B$30)</f>
        <v>7151124.7068362059</v>
      </c>
      <c r="T120" s="133">
        <f>T83+(T95*Assumptions!$B$30)</f>
        <v>7023426.051356988</v>
      </c>
      <c r="U120" s="133">
        <f>U83+(U95*Assumptions!$B$30)</f>
        <v>0</v>
      </c>
    </row>
    <row r="121" spans="3:21" x14ac:dyDescent="0.2">
      <c r="C121" s="4" t="s">
        <v>1</v>
      </c>
      <c r="D121" s="4" t="s">
        <v>0</v>
      </c>
      <c r="E121" s="4" t="s">
        <v>93</v>
      </c>
      <c r="F121" s="132" t="str">
        <f t="shared" si="49"/>
        <v>MaterialsVPNS4 upgrade</v>
      </c>
      <c r="G121" s="3"/>
      <c r="H121" s="7"/>
      <c r="I121" s="31"/>
      <c r="J121" s="3"/>
      <c r="K121" s="7"/>
      <c r="L121" s="7"/>
      <c r="M121" s="7"/>
      <c r="N121" s="7"/>
      <c r="O121" s="7"/>
      <c r="Q121" s="133">
        <f>Q84+(Q96*Assumptions!$B$30)</f>
        <v>0</v>
      </c>
      <c r="R121" s="133">
        <f>R84+(R96*Assumptions!$B$30)</f>
        <v>2345485.5088019627</v>
      </c>
      <c r="S121" s="133">
        <f>S84+(S96*Assumptions!$B$30)</f>
        <v>0</v>
      </c>
      <c r="T121" s="133">
        <f>T84+(T96*Assumptions!$B$30)</f>
        <v>0</v>
      </c>
      <c r="U121" s="133">
        <f>U84+(U96*Assumptions!$B$30)</f>
        <v>0</v>
      </c>
    </row>
    <row r="122" spans="3:21" x14ac:dyDescent="0.2">
      <c r="C122" s="4" t="s">
        <v>4</v>
      </c>
      <c r="D122" s="4" t="s">
        <v>0</v>
      </c>
      <c r="E122" s="4" t="s">
        <v>93</v>
      </c>
      <c r="F122" s="132" t="str">
        <f t="shared" si="49"/>
        <v>ContractsVPNS4 upgrade</v>
      </c>
      <c r="G122" s="3"/>
      <c r="H122" s="7"/>
      <c r="I122" s="31"/>
      <c r="J122" s="3"/>
      <c r="K122" s="7"/>
      <c r="L122" s="7"/>
      <c r="M122" s="7"/>
      <c r="N122" s="7"/>
      <c r="O122" s="7"/>
      <c r="Q122" s="133">
        <f>Q85+(Q97*Assumptions!$B$30)</f>
        <v>0</v>
      </c>
      <c r="R122" s="133">
        <f>R85+(R97*Assumptions!$B$30)</f>
        <v>1042438.0039119833</v>
      </c>
      <c r="S122" s="133">
        <f>S85+(S97*Assumptions!$B$30)</f>
        <v>5212190.019559917</v>
      </c>
      <c r="T122" s="133">
        <f>T85+(T97*Assumptions!$B$30)</f>
        <v>6150384.2230807021</v>
      </c>
      <c r="U122" s="133">
        <f>U85+(U97*Assumptions!$B$30)</f>
        <v>0</v>
      </c>
    </row>
    <row r="123" spans="3:21" x14ac:dyDescent="0.2">
      <c r="C123" s="4"/>
      <c r="D123" s="4"/>
      <c r="E123" s="4"/>
      <c r="F123" s="132"/>
      <c r="G123" s="3"/>
      <c r="H123" s="7"/>
      <c r="I123" s="31"/>
      <c r="J123" s="3"/>
      <c r="K123" s="7"/>
      <c r="L123" s="7"/>
      <c r="M123" s="7"/>
      <c r="N123" s="7"/>
      <c r="O123" s="7"/>
      <c r="Q123" s="133"/>
      <c r="R123" s="133"/>
      <c r="S123" s="133"/>
      <c r="T123" s="133"/>
      <c r="U123" s="133"/>
    </row>
    <row r="124" spans="3:21" x14ac:dyDescent="0.2">
      <c r="C124" s="4" t="s">
        <v>87</v>
      </c>
      <c r="D124" s="4" t="s">
        <v>92</v>
      </c>
      <c r="E124" s="4" t="s">
        <v>93</v>
      </c>
      <c r="F124" s="132" t="str">
        <f t="shared" si="49"/>
        <v>Labour OpexVPN opexS4 upgrade</v>
      </c>
      <c r="G124" s="3"/>
      <c r="H124" s="7"/>
      <c r="I124" s="31"/>
      <c r="J124" s="3"/>
      <c r="K124" s="7"/>
      <c r="L124" s="7"/>
      <c r="M124" s="7"/>
      <c r="N124" s="7"/>
      <c r="O124" s="7"/>
      <c r="Q124" s="133">
        <f>Q86</f>
        <v>0</v>
      </c>
      <c r="R124" s="133">
        <f t="shared" ref="R124:U124" si="50">R86</f>
        <v>0</v>
      </c>
      <c r="S124" s="133">
        <f t="shared" si="50"/>
        <v>0</v>
      </c>
      <c r="T124" s="133">
        <f t="shared" si="50"/>
        <v>0</v>
      </c>
      <c r="U124" s="133">
        <f t="shared" si="50"/>
        <v>0</v>
      </c>
    </row>
    <row r="125" spans="3:21" x14ac:dyDescent="0.2">
      <c r="C125" s="4" t="s">
        <v>88</v>
      </c>
      <c r="D125" s="4" t="s">
        <v>90</v>
      </c>
      <c r="E125" s="4" t="s">
        <v>93</v>
      </c>
      <c r="F125" s="132" t="str">
        <f t="shared" si="49"/>
        <v>Materials OpexVPN OpexS4 upgrade</v>
      </c>
      <c r="G125" s="3"/>
      <c r="H125" s="7"/>
      <c r="I125" s="31"/>
      <c r="J125" s="3"/>
      <c r="K125" s="7"/>
      <c r="L125" s="7"/>
      <c r="M125" s="7"/>
      <c r="N125" s="7"/>
      <c r="O125" s="7"/>
      <c r="Q125" s="133">
        <f t="shared" ref="Q125:U126" si="51">Q87</f>
        <v>0</v>
      </c>
      <c r="R125" s="133">
        <f t="shared" si="51"/>
        <v>0</v>
      </c>
      <c r="S125" s="133">
        <f t="shared" si="51"/>
        <v>0</v>
      </c>
      <c r="T125" s="133">
        <f t="shared" si="51"/>
        <v>0</v>
      </c>
      <c r="U125" s="133">
        <f t="shared" si="51"/>
        <v>0</v>
      </c>
    </row>
    <row r="126" spans="3:21" x14ac:dyDescent="0.2">
      <c r="C126" s="4" t="s">
        <v>86</v>
      </c>
      <c r="D126" s="4" t="s">
        <v>90</v>
      </c>
      <c r="E126" s="4" t="s">
        <v>93</v>
      </c>
      <c r="F126" s="132" t="str">
        <f t="shared" si="49"/>
        <v>Contracts OpexVPN OpexS4 upgrade</v>
      </c>
      <c r="G126" s="3"/>
      <c r="H126" s="7"/>
      <c r="I126" s="31"/>
      <c r="J126" s="3"/>
      <c r="K126" s="7"/>
      <c r="L126" s="7"/>
      <c r="M126" s="7"/>
      <c r="N126" s="7"/>
      <c r="O126" s="7"/>
      <c r="Q126" s="133">
        <f t="shared" si="51"/>
        <v>0</v>
      </c>
      <c r="R126" s="133">
        <f t="shared" si="51"/>
        <v>0</v>
      </c>
      <c r="S126" s="133">
        <f t="shared" si="51"/>
        <v>0</v>
      </c>
      <c r="T126" s="133">
        <f t="shared" si="51"/>
        <v>0</v>
      </c>
      <c r="U126" s="133">
        <f t="shared" si="51"/>
        <v>0</v>
      </c>
    </row>
    <row r="127" spans="3:21" x14ac:dyDescent="0.2">
      <c r="C127" s="4"/>
      <c r="D127" s="4"/>
      <c r="E127" s="4"/>
      <c r="F127" s="132"/>
      <c r="G127" s="3"/>
      <c r="H127" s="7"/>
      <c r="I127" s="31"/>
      <c r="J127" s="3"/>
      <c r="K127" s="7"/>
      <c r="L127" s="7"/>
      <c r="M127" s="7"/>
      <c r="N127" s="7"/>
      <c r="O127" s="7"/>
      <c r="Q127" s="133"/>
      <c r="R127" s="133"/>
      <c r="S127" s="133"/>
      <c r="T127" s="133"/>
      <c r="U127" s="133"/>
    </row>
    <row r="128" spans="3:21" x14ac:dyDescent="0.2">
      <c r="C128" s="4" t="s">
        <v>2</v>
      </c>
      <c r="D128" s="4" t="s">
        <v>54</v>
      </c>
      <c r="E128" s="4" t="s">
        <v>93</v>
      </c>
      <c r="F128" s="132" t="str">
        <f t="shared" si="49"/>
        <v>LabourUES4 upgrade</v>
      </c>
      <c r="G128" s="3"/>
      <c r="H128" s="7"/>
      <c r="I128" s="31"/>
      <c r="J128" s="3"/>
      <c r="K128" s="7"/>
      <c r="L128" s="7"/>
      <c r="M128" s="7"/>
      <c r="N128" s="7"/>
      <c r="O128" s="7"/>
      <c r="Q128" s="133">
        <f>Q89+(Q95*Assumptions!$B$31)</f>
        <v>0</v>
      </c>
      <c r="R128" s="133">
        <f>R89+(R95*Assumptions!$B$31)</f>
        <v>2873219.7482824042</v>
      </c>
      <c r="S128" s="133">
        <f>S89+(S95*Assumptions!$B$31)</f>
        <v>7151124.7068362059</v>
      </c>
      <c r="T128" s="133">
        <f>T89+(T95*Assumptions!$B$31)</f>
        <v>7023426.051356988</v>
      </c>
      <c r="U128" s="133">
        <f>U89+(U95*Assumptions!$B$31)</f>
        <v>0</v>
      </c>
    </row>
    <row r="129" spans="3:23" x14ac:dyDescent="0.2">
      <c r="C129" s="4" t="s">
        <v>1</v>
      </c>
      <c r="D129" s="4" t="s">
        <v>54</v>
      </c>
      <c r="E129" s="4" t="s">
        <v>93</v>
      </c>
      <c r="F129" s="132" t="str">
        <f t="shared" si="49"/>
        <v>MaterialsUES4 upgrade</v>
      </c>
      <c r="G129" s="3"/>
      <c r="H129" s="7"/>
      <c r="I129" s="31"/>
      <c r="J129" s="3"/>
      <c r="K129" s="7"/>
      <c r="L129" s="7"/>
      <c r="M129" s="7"/>
      <c r="N129" s="7"/>
      <c r="O129" s="7"/>
      <c r="Q129" s="133">
        <f>Q90+(Q96*Assumptions!$B$31)</f>
        <v>0</v>
      </c>
      <c r="R129" s="133">
        <f>R90+(R96*Assumptions!$B$31)</f>
        <v>2345485.5088019627</v>
      </c>
      <c r="S129" s="133">
        <f>S90+(S96*Assumptions!$B$31)</f>
        <v>0</v>
      </c>
      <c r="T129" s="133">
        <f>T90+(T96*Assumptions!$B$31)</f>
        <v>0</v>
      </c>
      <c r="U129" s="133">
        <f>U90+(U96*Assumptions!$B$31)</f>
        <v>0</v>
      </c>
    </row>
    <row r="130" spans="3:23" x14ac:dyDescent="0.2">
      <c r="C130" s="4" t="s">
        <v>4</v>
      </c>
      <c r="D130" s="4" t="s">
        <v>54</v>
      </c>
      <c r="E130" s="4" t="s">
        <v>93</v>
      </c>
      <c r="F130" s="132" t="str">
        <f t="shared" si="49"/>
        <v>ContractsUES4 upgrade</v>
      </c>
      <c r="G130" s="3"/>
      <c r="H130" s="7"/>
      <c r="I130" s="31"/>
      <c r="J130" s="3"/>
      <c r="K130" s="7"/>
      <c r="L130" s="7"/>
      <c r="M130" s="7"/>
      <c r="N130" s="7"/>
      <c r="O130" s="7"/>
      <c r="Q130" s="133">
        <f>Q91+(Q97*Assumptions!$B$31)</f>
        <v>0</v>
      </c>
      <c r="R130" s="133">
        <f>R91+(R97*Assumptions!$B$31)</f>
        <v>1042438.0039119833</v>
      </c>
      <c r="S130" s="133">
        <f>S91+(S97*Assumptions!$B$31)</f>
        <v>5212190.019559917</v>
      </c>
      <c r="T130" s="133">
        <f>T91+(T97*Assumptions!$B$31)</f>
        <v>6150384.2230807021</v>
      </c>
      <c r="U130" s="133">
        <f>U91+(U97*Assumptions!$B$31)</f>
        <v>0</v>
      </c>
    </row>
    <row r="131" spans="3:23" x14ac:dyDescent="0.2">
      <c r="C131" s="4"/>
      <c r="D131" s="4"/>
      <c r="E131" s="4"/>
      <c r="F131" s="132"/>
      <c r="G131" s="3"/>
      <c r="H131" s="7"/>
      <c r="I131" s="31"/>
      <c r="J131" s="3"/>
      <c r="K131" s="7"/>
      <c r="L131" s="7"/>
      <c r="M131" s="7"/>
      <c r="N131" s="7"/>
      <c r="O131" s="7"/>
      <c r="Q131" s="133"/>
      <c r="R131" s="133"/>
      <c r="S131" s="133"/>
      <c r="T131" s="133"/>
      <c r="U131" s="133"/>
    </row>
    <row r="132" spans="3:23" x14ac:dyDescent="0.2">
      <c r="C132" s="4" t="s">
        <v>87</v>
      </c>
      <c r="D132" s="4" t="s">
        <v>91</v>
      </c>
      <c r="E132" s="4" t="s">
        <v>93</v>
      </c>
      <c r="F132" s="132" t="str">
        <f t="shared" si="49"/>
        <v>Labour OpexUE OpexS4 upgrade</v>
      </c>
      <c r="G132" s="3"/>
      <c r="H132" s="7"/>
      <c r="I132" s="31"/>
      <c r="J132" s="3"/>
      <c r="K132" s="7"/>
      <c r="L132" s="7"/>
      <c r="M132" s="7"/>
      <c r="N132" s="7"/>
      <c r="O132" s="7"/>
      <c r="Q132" s="133">
        <f>Q92</f>
        <v>0</v>
      </c>
      <c r="R132" s="133">
        <f t="shared" ref="R132:U132" si="52">R92</f>
        <v>0</v>
      </c>
      <c r="S132" s="133">
        <f t="shared" si="52"/>
        <v>0</v>
      </c>
      <c r="T132" s="133">
        <f t="shared" si="52"/>
        <v>0</v>
      </c>
      <c r="U132" s="133">
        <f t="shared" si="52"/>
        <v>0</v>
      </c>
    </row>
    <row r="133" spans="3:23" x14ac:dyDescent="0.2">
      <c r="C133" s="4" t="s">
        <v>89</v>
      </c>
      <c r="D133" s="4" t="s">
        <v>91</v>
      </c>
      <c r="E133" s="4" t="s">
        <v>93</v>
      </c>
      <c r="F133" s="132" t="str">
        <f t="shared" si="49"/>
        <v>Materials opexUE OpexS4 upgrade</v>
      </c>
      <c r="G133" s="3"/>
      <c r="H133" s="7"/>
      <c r="I133" s="31"/>
      <c r="J133" s="3"/>
      <c r="K133" s="7"/>
      <c r="L133" s="7"/>
      <c r="M133" s="7"/>
      <c r="N133" s="7"/>
      <c r="O133" s="7"/>
      <c r="Q133" s="133">
        <f t="shared" ref="Q133:U134" si="53">Q93</f>
        <v>0</v>
      </c>
      <c r="R133" s="133">
        <f t="shared" si="53"/>
        <v>0</v>
      </c>
      <c r="S133" s="133">
        <f t="shared" si="53"/>
        <v>0</v>
      </c>
      <c r="T133" s="133">
        <f t="shared" si="53"/>
        <v>0</v>
      </c>
      <c r="U133" s="133">
        <f t="shared" si="53"/>
        <v>0</v>
      </c>
    </row>
    <row r="134" spans="3:23" x14ac:dyDescent="0.2">
      <c r="C134" s="4" t="s">
        <v>86</v>
      </c>
      <c r="D134" s="4" t="s">
        <v>91</v>
      </c>
      <c r="E134" s="4" t="s">
        <v>93</v>
      </c>
      <c r="F134" s="132" t="str">
        <f t="shared" si="49"/>
        <v>Contracts OpexUE OpexS4 upgrade</v>
      </c>
      <c r="G134" s="3"/>
      <c r="H134" s="7"/>
      <c r="I134" s="31"/>
      <c r="J134" s="3"/>
      <c r="K134" s="7"/>
      <c r="L134" s="7"/>
      <c r="M134" s="7"/>
      <c r="N134" s="7"/>
      <c r="O134" s="7"/>
      <c r="Q134" s="133">
        <f t="shared" si="53"/>
        <v>0</v>
      </c>
      <c r="R134" s="133">
        <f t="shared" si="53"/>
        <v>0</v>
      </c>
      <c r="S134" s="133">
        <f t="shared" si="53"/>
        <v>0</v>
      </c>
      <c r="T134" s="133">
        <f t="shared" si="53"/>
        <v>0</v>
      </c>
      <c r="U134" s="133">
        <f t="shared" si="53"/>
        <v>0</v>
      </c>
    </row>
    <row r="135" spans="3:23" x14ac:dyDescent="0.2">
      <c r="C135" s="10" t="s">
        <v>82</v>
      </c>
      <c r="D135" s="10"/>
      <c r="E135" s="10"/>
      <c r="F135" s="10"/>
      <c r="G135" s="3"/>
      <c r="H135" s="10"/>
      <c r="I135" s="14"/>
      <c r="J135" s="3"/>
      <c r="K135" s="10"/>
      <c r="L135" s="10"/>
      <c r="M135" s="10"/>
      <c r="N135" s="10"/>
      <c r="O135" s="10"/>
      <c r="Q135" s="11">
        <f>SUM(Q104:Q134)</f>
        <v>1785175.0816992717</v>
      </c>
      <c r="R135" s="11">
        <f>SUM(R104:R134)</f>
        <v>15501053.118171195</v>
      </c>
      <c r="S135" s="11">
        <f>SUM(S104:S134)</f>
        <v>24726629.452792246</v>
      </c>
      <c r="T135" s="11">
        <f>SUM(T104:T134)</f>
        <v>26347620.54887538</v>
      </c>
      <c r="U135" s="11">
        <f>SUM(U104:U134)</f>
        <v>1486777.2030794662</v>
      </c>
      <c r="V135" s="42"/>
    </row>
    <row r="136" spans="3:23" x14ac:dyDescent="0.2">
      <c r="C136" s="28"/>
      <c r="D136" s="28"/>
      <c r="E136" s="28"/>
      <c r="F136" s="28"/>
      <c r="G136" s="3"/>
      <c r="H136" s="28"/>
      <c r="I136" s="29"/>
      <c r="J136" s="3"/>
      <c r="K136" s="28"/>
      <c r="L136" s="28"/>
      <c r="M136" s="28"/>
      <c r="N136" s="28"/>
      <c r="O136" s="28"/>
      <c r="Q136" s="43"/>
      <c r="R136" s="43"/>
      <c r="S136" s="43"/>
      <c r="T136" s="43"/>
      <c r="U136" s="43"/>
      <c r="V136" s="42"/>
    </row>
    <row r="137" spans="3:23" x14ac:dyDescent="0.2">
      <c r="C137" s="98" t="s">
        <v>12</v>
      </c>
      <c r="D137" s="98"/>
      <c r="E137" s="98"/>
      <c r="F137" s="98"/>
      <c r="G137" s="3"/>
      <c r="H137" s="98"/>
      <c r="I137" s="98"/>
      <c r="J137" s="3"/>
      <c r="K137" s="98"/>
      <c r="L137" s="98"/>
      <c r="M137" s="98"/>
      <c r="N137" s="98"/>
      <c r="O137" s="98"/>
      <c r="Q137" s="99">
        <f>Q98-Q135</f>
        <v>0</v>
      </c>
      <c r="R137" s="99">
        <f>R98-R135</f>
        <v>0</v>
      </c>
      <c r="S137" s="99">
        <f>S98-S135</f>
        <v>0</v>
      </c>
      <c r="T137" s="99">
        <f>T98-T135</f>
        <v>0</v>
      </c>
      <c r="U137" s="99">
        <f>U98-U135</f>
        <v>0</v>
      </c>
      <c r="W137" s="99">
        <f>SUM(Q137:U137)</f>
        <v>0</v>
      </c>
    </row>
    <row r="139" spans="3:23" ht="12.75" customHeight="1" x14ac:dyDescent="0.2">
      <c r="C139" s="137" t="str">
        <f>"NPV ($ "&amp;Assumptions!$B$17&amp;")"</f>
        <v>NPV ($ 2020/21)</v>
      </c>
      <c r="D139" s="137"/>
      <c r="E139" s="138">
        <f>NPV(Assumptions!$B$6,$Q$135:$U$135)</f>
        <v>64150122.56338425</v>
      </c>
      <c r="F139" s="39"/>
    </row>
  </sheetData>
  <conditionalFormatting sqref="W47">
    <cfRule type="expression" dxfId="7" priority="10">
      <formula>ABS(W47)&gt;0.001</formula>
    </cfRule>
  </conditionalFormatting>
  <conditionalFormatting sqref="Q47:U47">
    <cfRule type="expression" dxfId="6" priority="9">
      <formula>ABS(Q47)&gt;0.001</formula>
    </cfRule>
  </conditionalFormatting>
  <conditionalFormatting sqref="Q63:U63">
    <cfRule type="expression" dxfId="5" priority="8">
      <formula>ABS(Q63)&gt;0.001</formula>
    </cfRule>
  </conditionalFormatting>
  <conditionalFormatting sqref="W63">
    <cfRule type="expression" dxfId="4" priority="7">
      <formula>ABS(W63)&gt;0.001</formula>
    </cfRule>
  </conditionalFormatting>
  <conditionalFormatting sqref="Q137:U137">
    <cfRule type="expression" dxfId="3" priority="2">
      <formula>ABS(Q137)&gt;0.001</formula>
    </cfRule>
  </conditionalFormatting>
  <conditionalFormatting sqref="W137">
    <cfRule type="expression" dxfId="2" priority="1">
      <formula>ABS(W137)&gt;0.001</formula>
    </cfRule>
  </conditionalFormatting>
  <conditionalFormatting sqref="Q100:U100">
    <cfRule type="expression" dxfId="1" priority="4">
      <formula>ABS(Q100)&gt;0.001</formula>
    </cfRule>
  </conditionalFormatting>
  <conditionalFormatting sqref="W100">
    <cfRule type="expression" dxfId="0" priority="3">
      <formula>ABS(W100)&gt;0.001</formula>
    </cfRule>
  </conditionalFormatting>
  <dataValidations count="3">
    <dataValidation type="list" allowBlank="1" showInputMessage="1" showErrorMessage="1" sqref="F27:F35 F10:F18 F21:F24">
      <formula1>"Labour, Materials, Contracts"</formula1>
    </dataValidation>
    <dataValidation type="list" allowBlank="1" showInputMessage="1" showErrorMessage="1" sqref="E27:E35 E10:E18 E21:E24">
      <formula1>"CapEx, OpEx"</formula1>
    </dataValidation>
    <dataValidation type="list" allowBlank="1" showInputMessage="1" showErrorMessage="1" sqref="D10:D18 D27:D35 D21:D24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5"/>
  <sheetViews>
    <sheetView showGridLines="0" zoomScale="80" zoomScaleNormal="80" workbookViewId="0"/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9.42578125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98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14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/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54</v>
      </c>
      <c r="E12" s="75" t="s">
        <v>93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0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0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0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2234.7264708863145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0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1303.0475048899793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4150.206303074584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1563.6570058679752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5186.1290694621175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3703.2610088973206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4482.4834168215284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0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0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0</v>
      </c>
      <c r="U12" s="65"/>
      <c r="V12" s="76">
        <f>SUMIF($F$10:$T$10,V$10,$F12:$T12)</f>
        <v>0</v>
      </c>
      <c r="W12" s="76">
        <f>SUMIF($F$10:$T$10,W$10,$F12:$T12)</f>
        <v>3537.7739757762938</v>
      </c>
      <c r="X12" s="76">
        <f>SUMIF($F$10:$T$10,X$10,$F12:$T12)</f>
        <v>10899.992378404677</v>
      </c>
      <c r="Y12" s="76">
        <f>SUMIF($F$10:$T$10,Y$10,$F12:$T12)</f>
        <v>8185.744425718849</v>
      </c>
      <c r="Z12" s="76">
        <f>SUMIF($F$10:$T$10,Z$10,$F12:$T12)</f>
        <v>0</v>
      </c>
      <c r="AA12" s="65"/>
      <c r="AB12" s="147">
        <f>SUM(V12:Z12)</f>
        <v>22623.510779899822</v>
      </c>
      <c r="AC12" s="134"/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</sheetData>
  <conditionalFormatting sqref="D6">
    <cfRule type="expression" dxfId="2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5"/>
  <sheetViews>
    <sheetView showGridLines="0" zoomScale="80" zoomScaleNormal="80" workbookViewId="0"/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10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100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14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 t="s">
        <v>0</v>
      </c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0</v>
      </c>
      <c r="E12" s="75" t="s">
        <v>53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319.24663869804493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182.42665068459709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390.91425146699379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446.94529417726289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338.79235127139458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703.64565264058876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0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0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0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0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0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223.47264708863145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168.09312813080732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351.82282632029438</v>
      </c>
      <c r="U12" s="65"/>
      <c r="V12" s="76">
        <f>SUMIF($F$10:$T$10,V$10,$F12:$T12)</f>
        <v>892.58754084963584</v>
      </c>
      <c r="W12" s="76">
        <f>SUMIF($F$10:$T$10,W$10,$F12:$T12)</f>
        <v>1489.3832980892462</v>
      </c>
      <c r="X12" s="76">
        <f>SUMIF($F$10:$T$10,X$10,$F12:$T12)</f>
        <v>0</v>
      </c>
      <c r="Y12" s="76">
        <f>SUMIF($F$10:$T$10,Y$10,$F12:$T12)</f>
        <v>0</v>
      </c>
      <c r="Z12" s="76">
        <f>SUMIF($F$10:$T$10,Z$10,$F12:$T12)</f>
        <v>743.38860153973314</v>
      </c>
      <c r="AA12" s="65"/>
      <c r="AB12" s="147">
        <f>SUM(V12:Z12)</f>
        <v>3125.3594404786154</v>
      </c>
      <c r="AD12" s="134"/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</sheetData>
  <conditionalFormatting sqref="D6">
    <cfRule type="expression" dxfId="24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D15"/>
  <sheetViews>
    <sheetView showGridLines="0" zoomScale="80" zoomScaleNormal="80" workbookViewId="0"/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10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97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46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 t="s">
        <v>0</v>
      </c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0</v>
      </c>
      <c r="E12" s="75" t="s">
        <v>93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0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0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0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2234.7264708863145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0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1303.0475048899793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4150.206303074584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1563.6570058679752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5186.1290694621175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3703.2610088973206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4482.4834168215284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0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0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0</v>
      </c>
      <c r="U12" s="65"/>
      <c r="V12" s="76">
        <f>SUMIF($F$10:$T$10,V$10,$F12:$T12)</f>
        <v>0</v>
      </c>
      <c r="W12" s="76">
        <f>SUMIF($F$10:$T$10,W$10,$F12:$T12)</f>
        <v>3537.7739757762938</v>
      </c>
      <c r="X12" s="76">
        <f>SUMIF($F$10:$T$10,X$10,$F12:$T12)</f>
        <v>10899.992378404677</v>
      </c>
      <c r="Y12" s="76">
        <f>SUMIF($F$10:$T$10,Y$10,$F12:$T12)</f>
        <v>8185.744425718849</v>
      </c>
      <c r="Z12" s="76">
        <f>SUMIF($F$10:$T$10,Z$10,$F12:$T12)</f>
        <v>0</v>
      </c>
      <c r="AA12" s="65"/>
      <c r="AB12" s="147">
        <f>SUM(V12:Z12)</f>
        <v>22623.510779899822</v>
      </c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</sheetData>
  <conditionalFormatting sqref="D6">
    <cfRule type="expression" dxfId="23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52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5" style="1" bestFit="1" customWidth="1"/>
    <col min="3" max="3" width="15.28515625" style="1" customWidth="1"/>
    <col min="4" max="4" width="20.5703125" style="97" customWidth="1"/>
    <col min="5" max="5" width="6.85546875" style="1" customWidth="1"/>
    <col min="6" max="10" width="12.42578125" style="1" customWidth="1"/>
    <col min="11" max="11" width="2" style="97" customWidth="1"/>
    <col min="12" max="12" width="12.28515625" style="1" customWidth="1"/>
    <col min="13" max="13" width="11.28515625" style="1" bestFit="1" customWidth="1"/>
    <col min="14" max="14" width="15.28515625" style="1" customWidth="1"/>
    <col min="15" max="15" width="10.28515625" style="1" bestFit="1" customWidth="1"/>
    <col min="16" max="16384" width="9.140625" style="1"/>
  </cols>
  <sheetData>
    <row r="1" spans="1:17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7" s="22" customFormat="1" ht="15.75" x14ac:dyDescent="0.25">
      <c r="A3" s="36" t="s">
        <v>47</v>
      </c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7" ht="12.75" customHeight="1" x14ac:dyDescent="0.2">
      <c r="E4" s="3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  <c r="K5" s="20"/>
    </row>
    <row r="6" spans="1:17" ht="12.75" customHeight="1" x14ac:dyDescent="0.2">
      <c r="B6" s="40" t="s">
        <v>22</v>
      </c>
      <c r="D6" s="41" t="s">
        <v>61</v>
      </c>
      <c r="E6" s="3"/>
      <c r="K6" s="20"/>
    </row>
    <row r="7" spans="1:17" ht="12.75" customHeight="1" x14ac:dyDescent="0.2">
      <c r="B7" s="115" t="s">
        <v>40</v>
      </c>
      <c r="D7" s="114" t="b">
        <f>Output_VPN_R!D6</f>
        <v>1</v>
      </c>
      <c r="E7" s="3"/>
      <c r="K7" s="20"/>
    </row>
    <row r="8" spans="1:17" ht="12.75" customHeight="1" x14ac:dyDescent="0.2">
      <c r="E8" s="3"/>
      <c r="K8" s="20"/>
    </row>
    <row r="9" spans="1:17" ht="12.75" customHeight="1" x14ac:dyDescent="0.2">
      <c r="E9" s="3"/>
      <c r="K9" s="20"/>
    </row>
    <row r="10" spans="1:17" ht="12.75" customHeight="1" x14ac:dyDescent="0.2">
      <c r="B10" s="80" t="s">
        <v>29</v>
      </c>
      <c r="C10" s="80" t="s">
        <v>9</v>
      </c>
      <c r="D10" s="80"/>
      <c r="E10" s="81"/>
      <c r="F10" s="82" t="s">
        <v>16</v>
      </c>
      <c r="G10" s="82" t="s">
        <v>17</v>
      </c>
      <c r="H10" s="82" t="s">
        <v>18</v>
      </c>
      <c r="I10" s="82" t="s">
        <v>19</v>
      </c>
      <c r="J10" s="82" t="s">
        <v>20</v>
      </c>
      <c r="K10" s="20"/>
      <c r="L10" s="82" t="s">
        <v>25</v>
      </c>
      <c r="M10" s="97"/>
      <c r="N10" s="97"/>
      <c r="O10" s="97"/>
      <c r="P10" s="97"/>
      <c r="Q10" s="97"/>
    </row>
    <row r="11" spans="1:17" s="97" customFormat="1" ht="12.75" customHeight="1" x14ac:dyDescent="0.2">
      <c r="K11" s="20"/>
    </row>
    <row r="12" spans="1:17" ht="12.75" customHeight="1" x14ac:dyDescent="0.2">
      <c r="C12" s="1" t="s">
        <v>0</v>
      </c>
      <c r="D12" s="117"/>
      <c r="E12" s="3"/>
      <c r="F12" s="9">
        <f ca="1">SUMIF('Option 1'!$D$40:$U$64,Summary!$C12,'Option 1'!Q$40:Q$64)</f>
        <v>892587.54084963584</v>
      </c>
      <c r="G12" s="9">
        <f ca="1">SUMIF('Option 1'!$D$40:$U$64,Summary!$C12,'Option 1'!R$40:R$64)</f>
        <v>1489383.2980892463</v>
      </c>
      <c r="H12" s="9">
        <f ca="1">SUMIF('Option 1'!$D$40:$U$64,Summary!$C12,'Option 1'!S$40:S$64)</f>
        <v>892587.54084963584</v>
      </c>
      <c r="I12" s="9">
        <f ca="1">SUMIF('Option 1'!$D$40:$U$64,Summary!$C12,'Option 1'!T$40:T$64)</f>
        <v>893890.58835452574</v>
      </c>
      <c r="J12" s="9">
        <f ca="1">SUMIF('Option 1'!$D$40:$U$64,Summary!$C12,'Option 1'!U$40:U$64)</f>
        <v>0</v>
      </c>
      <c r="K12" s="20"/>
      <c r="M12" s="97"/>
      <c r="N12" s="97"/>
      <c r="O12" s="97"/>
      <c r="P12" s="97"/>
      <c r="Q12" s="97"/>
    </row>
    <row r="13" spans="1:17" ht="12.75" customHeight="1" x14ac:dyDescent="0.2">
      <c r="C13" s="1" t="s">
        <v>54</v>
      </c>
      <c r="D13" s="117"/>
      <c r="E13" s="3"/>
      <c r="F13" s="9">
        <f ca="1">SUMIF('Option 1'!$D$40:$U$64,Summary!$C13,'Option 1'!Q$40:Q$64)</f>
        <v>892587.54084963584</v>
      </c>
      <c r="G13" s="9">
        <f ca="1">SUMIF('Option 1'!$D$40:$U$64,Summary!$C13,'Option 1'!R$40:R$64)</f>
        <v>1489383.2980892463</v>
      </c>
      <c r="H13" s="9">
        <f ca="1">SUMIF('Option 1'!$D$40:$U$64,Summary!$C13,'Option 1'!S$40:S$64)</f>
        <v>892587.54084963584</v>
      </c>
      <c r="I13" s="9">
        <f ca="1">SUMIF('Option 1'!$D$40:$U$64,Summary!$C13,'Option 1'!T$40:T$64)</f>
        <v>893890.58835452574</v>
      </c>
      <c r="J13" s="9">
        <f ca="1">SUMIF('Option 1'!$D$40:$U$64,Summary!$C13,'Option 1'!U$40:U$64)</f>
        <v>0</v>
      </c>
      <c r="K13" s="20"/>
      <c r="M13" s="97"/>
      <c r="N13" s="97"/>
      <c r="O13" s="97"/>
      <c r="P13" s="97"/>
      <c r="Q13" s="97"/>
    </row>
    <row r="14" spans="1:17" ht="12.75" customHeight="1" x14ac:dyDescent="0.2">
      <c r="B14" s="97"/>
      <c r="C14" s="25" t="s">
        <v>96</v>
      </c>
      <c r="D14" s="25"/>
      <c r="E14" s="25"/>
      <c r="F14" s="26">
        <f ca="1">SUM(F12:F13)</f>
        <v>1785175.0816992717</v>
      </c>
      <c r="G14" s="26">
        <f ca="1">SUM(G12:G13)</f>
        <v>2978766.5961784925</v>
      </c>
      <c r="H14" s="26">
        <f ca="1">SUM(H12:H13)</f>
        <v>1785175.0816992717</v>
      </c>
      <c r="I14" s="26">
        <f ca="1">SUM(I12:I13)</f>
        <v>1787781.1767090515</v>
      </c>
      <c r="J14" s="26">
        <f ca="1">SUM(J12:J13)</f>
        <v>0</v>
      </c>
      <c r="K14" s="20"/>
      <c r="L14" s="129">
        <f ca="1">SUM(F14:J14)</f>
        <v>8336897.9362860871</v>
      </c>
      <c r="M14" s="97"/>
      <c r="N14" s="97"/>
      <c r="O14" s="3"/>
      <c r="P14" s="97"/>
      <c r="Q14" s="97"/>
    </row>
    <row r="15" spans="1:17" ht="12.75" customHeight="1" x14ac:dyDescent="0.2">
      <c r="B15" s="97"/>
      <c r="C15" s="7"/>
      <c r="D15" s="7"/>
      <c r="E15" s="7"/>
      <c r="F15" s="79"/>
      <c r="G15" s="79"/>
      <c r="H15" s="79"/>
      <c r="I15" s="79"/>
      <c r="J15" s="79"/>
      <c r="K15" s="20"/>
      <c r="M15" s="97"/>
      <c r="N15" s="97"/>
      <c r="O15" s="97"/>
      <c r="P15" s="97"/>
      <c r="Q15" s="97"/>
    </row>
    <row r="16" spans="1:17" s="97" customFormat="1" ht="12.75" customHeight="1" x14ac:dyDescent="0.2">
      <c r="C16" s="4" t="s">
        <v>92</v>
      </c>
      <c r="D16" s="4"/>
      <c r="E16" s="4"/>
      <c r="F16" s="9">
        <f ca="1">SUMIF('Option 1'!$D$40:$U$64,Summary!$C16,'Option 1'!Q$40:Q$64)</f>
        <v>0</v>
      </c>
      <c r="G16" s="9">
        <f ca="1">SUMIF('Option 1'!$D$40:$U$64,Summary!$C16,'Option 1'!R$40:R$64)</f>
        <v>0</v>
      </c>
      <c r="H16" s="9">
        <f ca="1">SUMIF('Option 1'!$D$40:$U$64,Summary!$C16,'Option 1'!S$40:S$64)</f>
        <v>0</v>
      </c>
      <c r="I16" s="9">
        <f ca="1">SUMIF('Option 1'!$D$40:$U$64,Summary!$C16,'Option 1'!T$40:T$64)</f>
        <v>1709598.3264156526</v>
      </c>
      <c r="J16" s="9">
        <f ca="1">SUMIF('Option 1'!$D$40:$U$64,Summary!$C16,'Option 1'!U$40:U$64)</f>
        <v>1709598.3264156526</v>
      </c>
      <c r="K16" s="20"/>
      <c r="L16" s="42"/>
    </row>
    <row r="17" spans="2:14" s="97" customFormat="1" ht="12.75" customHeight="1" x14ac:dyDescent="0.2">
      <c r="C17" s="4" t="s">
        <v>94</v>
      </c>
      <c r="D17" s="117"/>
      <c r="E17" s="4"/>
      <c r="F17" s="9">
        <f ca="1">SUMIF('Option 1'!$D$40:$U$64,Summary!$C17,'Option 1'!Q$40:Q$64)</f>
        <v>0</v>
      </c>
      <c r="G17" s="9">
        <f ca="1">SUMIF('Option 1'!$D$40:$U$64,Summary!$C17,'Option 1'!R$40:R$64)</f>
        <v>0</v>
      </c>
      <c r="H17" s="9">
        <f ca="1">SUMIF('Option 1'!$D$40:$U$64,Summary!$C17,'Option 1'!S$40:S$64)</f>
        <v>0</v>
      </c>
      <c r="I17" s="9">
        <f ca="1">SUMIF('Option 1'!$D$40:$U$64,Summary!$C17,'Option 1'!T$40:T$64)</f>
        <v>1563657.0058679751</v>
      </c>
      <c r="J17" s="9">
        <f ca="1">SUMIF('Option 1'!$D$40:$U$64,Summary!$C17,'Option 1'!U$40:U$64)</f>
        <v>1563657.0058679751</v>
      </c>
      <c r="K17" s="20"/>
      <c r="L17" s="42"/>
    </row>
    <row r="18" spans="2:14" s="97" customFormat="1" ht="12.75" customHeight="1" x14ac:dyDescent="0.2">
      <c r="C18" s="25" t="s">
        <v>95</v>
      </c>
      <c r="D18" s="25"/>
      <c r="E18" s="25"/>
      <c r="F18" s="26">
        <f ca="1">SUM(F16:F17)</f>
        <v>0</v>
      </c>
      <c r="G18" s="26">
        <f t="shared" ref="G18:J18" ca="1" si="0">SUM(G16:G17)</f>
        <v>0</v>
      </c>
      <c r="H18" s="26">
        <f t="shared" ca="1" si="0"/>
        <v>0</v>
      </c>
      <c r="I18" s="26">
        <f t="shared" ca="1" si="0"/>
        <v>3273255.3322836277</v>
      </c>
      <c r="J18" s="26">
        <f t="shared" ca="1" si="0"/>
        <v>3273255.3322836277</v>
      </c>
      <c r="K18" s="20"/>
      <c r="L18" s="129">
        <f ca="1">SUM(F18:J18)</f>
        <v>6546510.6645672554</v>
      </c>
    </row>
    <row r="19" spans="2:14" s="97" customFormat="1" ht="12.75" customHeight="1" x14ac:dyDescent="0.2">
      <c r="C19" s="7"/>
      <c r="D19" s="7"/>
      <c r="E19" s="7"/>
      <c r="F19" s="79"/>
      <c r="G19" s="79"/>
      <c r="H19" s="79"/>
      <c r="I19" s="79"/>
      <c r="J19" s="79"/>
      <c r="K19" s="20"/>
    </row>
    <row r="20" spans="2:14" s="97" customFormat="1" ht="12.75" customHeight="1" x14ac:dyDescent="0.2">
      <c r="C20" s="7"/>
      <c r="D20" s="7"/>
      <c r="E20" s="7"/>
      <c r="F20" s="79"/>
      <c r="G20" s="79"/>
      <c r="H20" s="79"/>
      <c r="I20" s="79"/>
      <c r="J20" s="79"/>
      <c r="K20" s="20"/>
    </row>
    <row r="21" spans="2:14" s="97" customFormat="1" ht="12.75" customHeight="1" x14ac:dyDescent="0.2">
      <c r="C21" s="10" t="s">
        <v>48</v>
      </c>
      <c r="D21" s="10"/>
      <c r="E21" s="10"/>
      <c r="F21" s="11">
        <f ca="1">F14+F18</f>
        <v>1785175.0816992717</v>
      </c>
      <c r="G21" s="11">
        <f t="shared" ref="G21:J21" ca="1" si="1">G14+G18</f>
        <v>2978766.5961784925</v>
      </c>
      <c r="H21" s="11">
        <f t="shared" ca="1" si="1"/>
        <v>1785175.0816992717</v>
      </c>
      <c r="I21" s="11">
        <f t="shared" ca="1" si="1"/>
        <v>5061036.5089926794</v>
      </c>
      <c r="J21" s="11">
        <f t="shared" ca="1" si="1"/>
        <v>3273255.3322836277</v>
      </c>
      <c r="K21" s="20"/>
      <c r="L21" s="174">
        <f ca="1">SUM(F21:J21)</f>
        <v>14883408.600853343</v>
      </c>
    </row>
    <row r="22" spans="2:14" s="97" customFormat="1" ht="12.75" customHeight="1" x14ac:dyDescent="0.2">
      <c r="C22" s="172" t="s">
        <v>101</v>
      </c>
      <c r="D22" s="172"/>
      <c r="E22" s="172"/>
      <c r="F22" s="173">
        <f ca="1">NPV(Assumptions!$B$6,Summary!F21:J21)</f>
        <v>13603136.002458734</v>
      </c>
      <c r="G22" s="79"/>
      <c r="H22" s="79"/>
      <c r="I22" s="79"/>
      <c r="J22" s="79"/>
      <c r="K22" s="20"/>
    </row>
    <row r="23" spans="2:14" s="97" customFormat="1" ht="12.75" customHeight="1" x14ac:dyDescent="0.2">
      <c r="C23" s="170"/>
      <c r="D23" s="170"/>
      <c r="E23" s="170"/>
      <c r="F23" s="171"/>
      <c r="G23" s="79"/>
      <c r="H23" s="79"/>
      <c r="I23" s="79"/>
      <c r="J23" s="79"/>
      <c r="K23" s="20"/>
    </row>
    <row r="24" spans="2:14" s="97" customFormat="1" ht="12.75" customHeight="1" x14ac:dyDescent="0.2">
      <c r="C24" s="170"/>
      <c r="D24" s="170"/>
      <c r="E24" s="170"/>
      <c r="F24" s="171"/>
      <c r="G24" s="79"/>
      <c r="H24" s="79"/>
      <c r="I24" s="79"/>
      <c r="J24" s="79"/>
      <c r="K24" s="20"/>
    </row>
    <row r="25" spans="2:14" ht="12.75" customHeight="1" x14ac:dyDescent="0.2">
      <c r="B25" s="7"/>
      <c r="C25" s="7"/>
      <c r="D25" s="7"/>
      <c r="E25" s="7"/>
      <c r="F25" s="27"/>
      <c r="G25" s="27"/>
      <c r="H25" s="27"/>
      <c r="I25" s="27"/>
      <c r="J25" s="27"/>
      <c r="K25" s="20"/>
      <c r="M25" s="97"/>
      <c r="N25" s="97"/>
    </row>
    <row r="26" spans="2:14" ht="12.75" customHeight="1" x14ac:dyDescent="0.2">
      <c r="B26" s="80" t="s">
        <v>21</v>
      </c>
      <c r="C26" s="80" t="s">
        <v>9</v>
      </c>
      <c r="D26" s="80"/>
      <c r="E26" s="81"/>
      <c r="F26" s="82" t="str">
        <f>F$10</f>
        <v>2021/22</v>
      </c>
      <c r="G26" s="82" t="str">
        <f t="shared" ref="G26:J26" si="2">G$10</f>
        <v>2022/23</v>
      </c>
      <c r="H26" s="82" t="str">
        <f t="shared" si="2"/>
        <v>2023/24</v>
      </c>
      <c r="I26" s="82" t="str">
        <f t="shared" si="2"/>
        <v>2024/25</v>
      </c>
      <c r="J26" s="82" t="str">
        <f t="shared" si="2"/>
        <v>2025/26</v>
      </c>
      <c r="K26" s="20"/>
      <c r="L26" s="82" t="s">
        <v>25</v>
      </c>
      <c r="M26" s="97"/>
      <c r="N26" s="97"/>
    </row>
    <row r="27" spans="2:14" s="97" customFormat="1" ht="12.75" customHeight="1" x14ac:dyDescent="0.2">
      <c r="K27" s="20"/>
    </row>
    <row r="28" spans="2:14" ht="12.75" customHeight="1" x14ac:dyDescent="0.2">
      <c r="C28" s="97" t="s">
        <v>0</v>
      </c>
      <c r="D28" s="117"/>
      <c r="E28" s="3"/>
      <c r="F28" s="9">
        <f ca="1">SUMIF('Option 2'!$D$54:$U$78,Summary!$C28,'Option 2'!Q$54:Q$78)</f>
        <v>892587.54084963584</v>
      </c>
      <c r="G28" s="9">
        <f ca="1">SUMIF('Option 2'!$D$54:$U$78,Summary!$C28,'Option 2'!R$54:R$78)</f>
        <v>6383629.7264560079</v>
      </c>
      <c r="H28" s="9">
        <f ca="1">SUMIF('Option 2'!$D$54:$U$78,Summary!$C28,'Option 2'!S$54:S$78)</f>
        <v>15063229.15652816</v>
      </c>
      <c r="I28" s="9">
        <f ca="1">SUMIF('Option 2'!$D$54:$U$78,Summary!$C28,'Option 2'!T$54:T$78)</f>
        <v>10202861.963288538</v>
      </c>
      <c r="J28" s="9">
        <f ca="1">SUMIF('Option 2'!$D$54:$U$78,Summary!$C28,'Option 2'!U$54:U$78)</f>
        <v>1486777.2030794662</v>
      </c>
      <c r="K28" s="20"/>
      <c r="L28" s="97"/>
      <c r="M28" s="97"/>
      <c r="N28" s="97"/>
    </row>
    <row r="29" spans="2:14" x14ac:dyDescent="0.2">
      <c r="C29" s="97" t="s">
        <v>54</v>
      </c>
      <c r="D29" s="117"/>
      <c r="E29" s="3"/>
      <c r="F29" s="9">
        <f ca="1">SUMIF('Option 2'!$D$54:$U$78,Summary!$C29,'Option 2'!Q$54:Q$78)</f>
        <v>892587.54084963584</v>
      </c>
      <c r="G29" s="9">
        <f ca="1">SUMIF('Option 2'!$D$54:$U$78,Summary!$C29,'Option 2'!R$54:R$78)</f>
        <v>4447301.1341894986</v>
      </c>
      <c r="H29" s="9">
        <f ca="1">SUMIF('Option 2'!$D$54:$U$78,Summary!$C29,'Option 2'!S$54:S$78)</f>
        <v>11180147.591956021</v>
      </c>
      <c r="I29" s="9">
        <f ca="1">SUMIF('Option 2'!$D$54:$U$78,Summary!$C29,'Option 2'!T$54:T$78)</f>
        <v>7953801.9698484335</v>
      </c>
      <c r="J29" s="9">
        <f ca="1">SUMIF('Option 2'!$D$54:$U$78,Summary!$C29,'Option 2'!U$54:U$78)</f>
        <v>1486777.2030794662</v>
      </c>
      <c r="K29" s="20"/>
      <c r="L29" s="97"/>
      <c r="M29" s="97"/>
      <c r="N29" s="97"/>
    </row>
    <row r="30" spans="2:14" x14ac:dyDescent="0.2">
      <c r="B30" s="97"/>
      <c r="C30" s="10" t="s">
        <v>48</v>
      </c>
      <c r="D30" s="10"/>
      <c r="E30" s="10"/>
      <c r="F30" s="11">
        <f ca="1">SUM(F28:F29)</f>
        <v>1785175.0816992717</v>
      </c>
      <c r="G30" s="11">
        <f ca="1">SUM(G28:G29)</f>
        <v>10830930.860645507</v>
      </c>
      <c r="H30" s="11">
        <f ca="1">SUM(H28:H29)</f>
        <v>26243376.748484179</v>
      </c>
      <c r="I30" s="11">
        <f ca="1">SUM(I28:I29)</f>
        <v>18156663.93313697</v>
      </c>
      <c r="J30" s="11">
        <f ca="1">SUM(J28:J29)</f>
        <v>2973554.4061589325</v>
      </c>
      <c r="K30" s="20"/>
      <c r="L30" s="174">
        <f ca="1">SUM(F30:J30)</f>
        <v>59989701.030124858</v>
      </c>
      <c r="M30" s="97"/>
      <c r="N30" s="97"/>
    </row>
    <row r="31" spans="2:14" s="97" customFormat="1" x14ac:dyDescent="0.2">
      <c r="C31" s="168" t="s">
        <v>101</v>
      </c>
      <c r="D31" s="168"/>
      <c r="E31" s="168"/>
      <c r="F31" s="169">
        <f ca="1">NPV(Assumptions!$B$6,Summary!F30:J30)</f>
        <v>55074372.093764178</v>
      </c>
      <c r="K31" s="20"/>
    </row>
    <row r="32" spans="2:14" s="97" customFormat="1" x14ac:dyDescent="0.2">
      <c r="C32" s="170"/>
      <c r="D32" s="170"/>
      <c r="E32" s="170"/>
      <c r="F32" s="171"/>
      <c r="K32" s="20"/>
    </row>
    <row r="33" spans="2:14" s="97" customFormat="1" x14ac:dyDescent="0.2">
      <c r="C33" s="7"/>
      <c r="D33" s="7"/>
      <c r="E33" s="7"/>
      <c r="F33" s="27"/>
      <c r="K33" s="20"/>
    </row>
    <row r="34" spans="2:14" x14ac:dyDescent="0.2">
      <c r="K34" s="20"/>
      <c r="M34" s="97"/>
      <c r="N34" s="97"/>
    </row>
    <row r="35" spans="2:14" x14ac:dyDescent="0.2">
      <c r="B35" s="80" t="s">
        <v>61</v>
      </c>
      <c r="C35" s="80" t="s">
        <v>9</v>
      </c>
      <c r="D35" s="80"/>
      <c r="E35" s="81"/>
      <c r="F35" s="82" t="str">
        <f>F$10</f>
        <v>2021/22</v>
      </c>
      <c r="G35" s="82" t="str">
        <f t="shared" ref="G35:J35" si="3">G$10</f>
        <v>2022/23</v>
      </c>
      <c r="H35" s="82" t="str">
        <f t="shared" si="3"/>
        <v>2023/24</v>
      </c>
      <c r="I35" s="82" t="str">
        <f t="shared" si="3"/>
        <v>2024/25</v>
      </c>
      <c r="J35" s="82" t="str">
        <f t="shared" si="3"/>
        <v>2025/26</v>
      </c>
      <c r="K35" s="20"/>
      <c r="L35" s="82" t="s">
        <v>25</v>
      </c>
      <c r="M35" s="97"/>
      <c r="N35" s="97"/>
    </row>
    <row r="36" spans="2:14" s="97" customFormat="1" x14ac:dyDescent="0.2">
      <c r="K36" s="20"/>
    </row>
    <row r="37" spans="2:14" x14ac:dyDescent="0.2">
      <c r="C37" s="2" t="s">
        <v>0</v>
      </c>
      <c r="D37" s="117"/>
      <c r="E37" s="3"/>
      <c r="F37" s="9">
        <f ca="1">SUMIF('Option 3'!$D$86:$U$116,Summary!$C37,'Option 3'!Q$86:Q$116)</f>
        <v>892587.54084963584</v>
      </c>
      <c r="G37" s="9">
        <f ca="1">SUMIF('Option 3'!$D$86:$U$116,Summary!$C37,'Option 3'!R$86:R$116)</f>
        <v>5027157.2738655396</v>
      </c>
      <c r="H37" s="9">
        <f ca="1">SUMIF('Option 3'!$D$86:$U$116,Summary!$C37,'Option 3'!S$86:S$116)</f>
        <v>10899992.378404677</v>
      </c>
      <c r="I37" s="9">
        <f ca="1">SUMIF('Option 3'!$D$86:$U$116,Summary!$C37,'Option 3'!T$86:T$116)</f>
        <v>8185744.4257188495</v>
      </c>
      <c r="J37" s="9">
        <f ca="1">SUMIF('Option 3'!$D$86:$U$116,Summary!$C37,'Option 3'!U$86:U$116)</f>
        <v>743388.60153973312</v>
      </c>
      <c r="K37" s="20"/>
      <c r="L37" s="97"/>
      <c r="M37" s="97"/>
      <c r="N37" s="97"/>
    </row>
    <row r="38" spans="2:14" x14ac:dyDescent="0.2">
      <c r="C38" s="97" t="s">
        <v>54</v>
      </c>
      <c r="D38" s="117"/>
      <c r="E38" s="3"/>
      <c r="F38" s="9">
        <f ca="1">SUMIF('Option 3'!$D$86:$U$116,Summary!$C38,'Option 3'!Q$86:Q$116)</f>
        <v>892587.54084963584</v>
      </c>
      <c r="G38" s="9">
        <f ca="1">SUMIF('Option 3'!$D$86:$U$116,Summary!$C38,'Option 3'!R$86:R$116)</f>
        <v>5027157.2738655396</v>
      </c>
      <c r="H38" s="9">
        <f ca="1">SUMIF('Option 3'!$D$86:$U$116,Summary!$C38,'Option 3'!S$86:S$116)</f>
        <v>10899992.378404677</v>
      </c>
      <c r="I38" s="9">
        <f ca="1">SUMIF('Option 3'!$D$86:$U$116,Summary!$C38,'Option 3'!T$86:T$116)</f>
        <v>8185744.4257188495</v>
      </c>
      <c r="J38" s="9">
        <f ca="1">SUMIF('Option 3'!$D$86:$U$116,Summary!$C38,'Option 3'!U$86:U$116)</f>
        <v>743388.60153973312</v>
      </c>
      <c r="K38" s="20"/>
      <c r="L38" s="97"/>
      <c r="M38" s="97"/>
      <c r="N38" s="97"/>
    </row>
    <row r="39" spans="2:14" x14ac:dyDescent="0.2">
      <c r="B39" s="97"/>
      <c r="C39" s="10" t="s">
        <v>48</v>
      </c>
      <c r="D39" s="10"/>
      <c r="E39" s="10"/>
      <c r="F39" s="11">
        <f ca="1">SUM(F37:F38)</f>
        <v>1785175.0816992717</v>
      </c>
      <c r="G39" s="11">
        <f ca="1">SUM(G37:G38)</f>
        <v>10054314.547731079</v>
      </c>
      <c r="H39" s="11">
        <f ca="1">SUM(H37:H38)</f>
        <v>21799984.756809354</v>
      </c>
      <c r="I39" s="11">
        <f ca="1">SUM(I37:I38)</f>
        <v>16371488.851437699</v>
      </c>
      <c r="J39" s="11">
        <f ca="1">SUM(J37:J38)</f>
        <v>1486777.2030794662</v>
      </c>
      <c r="K39" s="20"/>
      <c r="L39" s="174">
        <f ca="1">SUM(F39:J39)</f>
        <v>51497740.44075688</v>
      </c>
      <c r="M39" s="97"/>
      <c r="N39" s="97"/>
    </row>
    <row r="40" spans="2:14" s="97" customFormat="1" x14ac:dyDescent="0.2">
      <c r="C40" s="168" t="s">
        <v>101</v>
      </c>
      <c r="D40" s="168"/>
      <c r="E40" s="168"/>
      <c r="F40" s="169">
        <f ca="1">NPV(Assumptions!$B$6,Summary!F39:J39)</f>
        <v>47342900.152907073</v>
      </c>
      <c r="K40" s="20"/>
    </row>
    <row r="41" spans="2:14" s="97" customFormat="1" x14ac:dyDescent="0.2">
      <c r="C41" s="170"/>
      <c r="D41" s="170"/>
      <c r="E41" s="170"/>
      <c r="F41" s="171"/>
      <c r="K41" s="20"/>
    </row>
    <row r="42" spans="2:14" s="97" customFormat="1" x14ac:dyDescent="0.2">
      <c r="C42" s="7"/>
      <c r="D42" s="7"/>
      <c r="E42" s="7"/>
      <c r="F42" s="27"/>
      <c r="K42" s="20"/>
    </row>
    <row r="43" spans="2:14" x14ac:dyDescent="0.2">
      <c r="K43" s="20"/>
      <c r="M43" s="97"/>
      <c r="N43" s="97"/>
    </row>
    <row r="44" spans="2:14" x14ac:dyDescent="0.2">
      <c r="B44" s="80" t="s">
        <v>55</v>
      </c>
      <c r="C44" s="80" t="s">
        <v>9</v>
      </c>
      <c r="D44" s="80"/>
      <c r="E44" s="81"/>
      <c r="F44" s="82" t="str">
        <f>F$10</f>
        <v>2021/22</v>
      </c>
      <c r="G44" s="82" t="str">
        <f t="shared" ref="G44:J44" si="4">G$10</f>
        <v>2022/23</v>
      </c>
      <c r="H44" s="82" t="str">
        <f t="shared" si="4"/>
        <v>2023/24</v>
      </c>
      <c r="I44" s="82" t="str">
        <f t="shared" si="4"/>
        <v>2024/25</v>
      </c>
      <c r="J44" s="82" t="str">
        <f t="shared" si="4"/>
        <v>2025/26</v>
      </c>
      <c r="K44" s="20"/>
      <c r="L44" s="82" t="s">
        <v>25</v>
      </c>
      <c r="M44" s="97"/>
      <c r="N44" s="97"/>
    </row>
    <row r="45" spans="2:14" s="97" customFormat="1" x14ac:dyDescent="0.2">
      <c r="K45" s="20"/>
    </row>
    <row r="46" spans="2:14" x14ac:dyDescent="0.2">
      <c r="B46" s="97"/>
      <c r="C46" s="97" t="s">
        <v>0</v>
      </c>
      <c r="D46" s="117"/>
      <c r="E46" s="3"/>
      <c r="F46" s="9">
        <f ca="1">SUMIF('Option 4'!$D$104:$U$134,Summary!$C46,'Option 4'!Q$104:Q$134)</f>
        <v>892587.54084963584</v>
      </c>
      <c r="G46" s="9">
        <f ca="1">SUMIF('Option 4'!$D$104:$U$134,Summary!$C46,'Option 4'!R$104:R$134)</f>
        <v>7750526.5590855964</v>
      </c>
      <c r="H46" s="9">
        <f ca="1">SUMIF('Option 4'!$D$104:$U$134,Summary!$C46,'Option 4'!S$104:S$134)</f>
        <v>12363314.726396123</v>
      </c>
      <c r="I46" s="9">
        <f ca="1">SUMIF('Option 4'!$D$104:$U$134,Summary!$C46,'Option 4'!T$104:T$134)</f>
        <v>13173810.27443769</v>
      </c>
      <c r="J46" s="9">
        <f ca="1">SUMIF('Option 4'!$D$104:$U$134,Summary!$C46,'Option 4'!U$104:U$134)</f>
        <v>743388.60153973312</v>
      </c>
      <c r="K46" s="20"/>
      <c r="L46" s="97"/>
      <c r="M46" s="97"/>
      <c r="N46" s="97"/>
    </row>
    <row r="47" spans="2:14" x14ac:dyDescent="0.2">
      <c r="B47" s="97"/>
      <c r="C47" s="97" t="s">
        <v>54</v>
      </c>
      <c r="D47" s="117"/>
      <c r="E47" s="3"/>
      <c r="F47" s="9">
        <f ca="1">SUMIF('Option 4'!$D$104:$U$134,Summary!$C47,'Option 4'!Q$104:Q$134)</f>
        <v>892587.54084963584</v>
      </c>
      <c r="G47" s="9">
        <f ca="1">SUMIF('Option 4'!$D$104:$U$134,Summary!$C47,'Option 4'!R$104:R$134)</f>
        <v>7750526.5590855964</v>
      </c>
      <c r="H47" s="9">
        <f ca="1">SUMIF('Option 4'!$D$104:$U$134,Summary!$C47,'Option 4'!S$104:S$134)</f>
        <v>12363314.726396123</v>
      </c>
      <c r="I47" s="9">
        <f ca="1">SUMIF('Option 4'!$D$104:$U$134,Summary!$C47,'Option 4'!T$104:T$134)</f>
        <v>13173810.27443769</v>
      </c>
      <c r="J47" s="9">
        <f ca="1">SUMIF('Option 4'!$D$104:$U$134,Summary!$C47,'Option 4'!U$104:U$134)</f>
        <v>743388.60153973312</v>
      </c>
      <c r="K47" s="20"/>
      <c r="L47" s="97"/>
      <c r="M47" s="97"/>
      <c r="N47" s="97"/>
    </row>
    <row r="48" spans="2:14" x14ac:dyDescent="0.2">
      <c r="B48" s="97"/>
      <c r="C48" s="97"/>
      <c r="D48" s="117"/>
      <c r="E48" s="97"/>
      <c r="F48" s="9"/>
      <c r="G48" s="9"/>
      <c r="H48" s="9"/>
      <c r="I48" s="9"/>
      <c r="J48" s="9"/>
      <c r="K48" s="20"/>
      <c r="L48" s="97"/>
      <c r="M48" s="97"/>
      <c r="N48" s="97"/>
    </row>
    <row r="49" spans="2:14" x14ac:dyDescent="0.2">
      <c r="B49" s="97"/>
      <c r="C49" s="10" t="s">
        <v>48</v>
      </c>
      <c r="D49" s="10"/>
      <c r="E49" s="10"/>
      <c r="F49" s="11">
        <f t="shared" ref="F49:J49" ca="1" si="5">SUM(F46:F48)</f>
        <v>1785175.0816992717</v>
      </c>
      <c r="G49" s="11">
        <f t="shared" ca="1" si="5"/>
        <v>15501053.118171193</v>
      </c>
      <c r="H49" s="11">
        <f t="shared" ca="1" si="5"/>
        <v>24726629.452792246</v>
      </c>
      <c r="I49" s="11">
        <f t="shared" ca="1" si="5"/>
        <v>26347620.54887538</v>
      </c>
      <c r="J49" s="11">
        <f t="shared" ca="1" si="5"/>
        <v>1486777.2030794662</v>
      </c>
      <c r="K49" s="20"/>
      <c r="L49" s="174">
        <f ca="1">SUM(F49:J49)</f>
        <v>69847255.404617548</v>
      </c>
      <c r="M49" s="97"/>
      <c r="N49" s="97"/>
    </row>
    <row r="50" spans="2:14" x14ac:dyDescent="0.2">
      <c r="C50" s="168" t="s">
        <v>101</v>
      </c>
      <c r="D50" s="168"/>
      <c r="E50" s="168"/>
      <c r="F50" s="169">
        <f ca="1">NPV(Assumptions!$B$6,Summary!F49:J49)</f>
        <v>64150122.56338425</v>
      </c>
      <c r="K50" s="20"/>
      <c r="M50" s="97"/>
      <c r="N50" s="97"/>
    </row>
    <row r="51" spans="2:14" x14ac:dyDescent="0.2">
      <c r="K51" s="20"/>
    </row>
    <row r="52" spans="2:14" x14ac:dyDescent="0.2">
      <c r="K52" s="20"/>
    </row>
  </sheetData>
  <conditionalFormatting sqref="D7">
    <cfRule type="expression" dxfId="22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Assumptions!$A$23:$A$27</xm:f>
          </x14:formula1>
          <xm:sqref>D6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96"/>
  <sheetViews>
    <sheetView showGridLines="0" zoomScale="85" zoomScaleNormal="85" workbookViewId="0"/>
  </sheetViews>
  <sheetFormatPr defaultColWidth="14.42578125" defaultRowHeight="15" customHeight="1" x14ac:dyDescent="0.25"/>
  <cols>
    <col min="1" max="1" width="30.710937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66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65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6" t="s">
        <v>3</v>
      </c>
      <c r="B3" s="34"/>
      <c r="C3" s="34"/>
      <c r="D3" s="34"/>
      <c r="E3" s="34"/>
      <c r="F3" s="34"/>
      <c r="G3" s="34"/>
      <c r="H3" s="34"/>
      <c r="I3" s="34"/>
      <c r="J3" s="3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3" customFormat="1" ht="12.75" customHeight="1" x14ac:dyDescent="0.25">
      <c r="A4" s="32" t="s">
        <v>8</v>
      </c>
      <c r="B4" s="94" t="s">
        <v>3</v>
      </c>
      <c r="C4" s="32" t="s">
        <v>6</v>
      </c>
      <c r="D4" s="32" t="s">
        <v>7</v>
      </c>
    </row>
    <row r="5" spans="1:35" s="33" customFormat="1" ht="12.75" customHeight="1" x14ac:dyDescent="0.25">
      <c r="A5" s="32"/>
      <c r="B5" s="94"/>
      <c r="C5" s="32"/>
      <c r="D5" s="32"/>
    </row>
    <row r="6" spans="1:35" s="33" customFormat="1" ht="12.75" customHeight="1" x14ac:dyDescent="0.25">
      <c r="A6" s="2" t="s">
        <v>14</v>
      </c>
      <c r="B6" s="102">
        <v>2.75E-2</v>
      </c>
      <c r="C6" s="2"/>
      <c r="D6" s="32"/>
    </row>
    <row r="7" spans="1:35" s="33" customFormat="1" ht="12.75" customHeight="1" x14ac:dyDescent="0.25">
      <c r="A7" s="32"/>
      <c r="B7" s="94"/>
      <c r="C7" s="32"/>
      <c r="D7" s="32"/>
    </row>
    <row r="8" spans="1:35" s="33" customFormat="1" ht="12.75" customHeight="1" x14ac:dyDescent="0.25">
      <c r="A8" s="96" t="s">
        <v>35</v>
      </c>
      <c r="B8" s="104">
        <v>2019</v>
      </c>
      <c r="C8" t="s">
        <v>38</v>
      </c>
      <c r="D8" s="32"/>
    </row>
    <row r="9" spans="1:35" s="33" customFormat="1" ht="12.75" customHeight="1" x14ac:dyDescent="0.25">
      <c r="A9" s="96"/>
      <c r="B9" s="96"/>
      <c r="C9" s="96"/>
      <c r="D9" s="96"/>
      <c r="E9" s="96"/>
    </row>
    <row r="10" spans="1:35" ht="12.75" customHeight="1" x14ac:dyDescent="0.25">
      <c r="A10" s="83"/>
      <c r="B10" s="83"/>
      <c r="C10" s="83"/>
      <c r="D10" s="83">
        <v>2015</v>
      </c>
      <c r="E10" s="83">
        <v>2016</v>
      </c>
      <c r="F10" s="83">
        <v>2017</v>
      </c>
      <c r="G10" s="83">
        <v>2018</v>
      </c>
      <c r="H10" s="83">
        <v>2019</v>
      </c>
      <c r="I10" s="84">
        <v>2020</v>
      </c>
      <c r="J10" s="84" t="s">
        <v>36</v>
      </c>
    </row>
    <row r="11" spans="1:35" ht="12.75" customHeight="1" x14ac:dyDescent="0.25">
      <c r="A11" s="139" t="s">
        <v>102</v>
      </c>
      <c r="B11" s="28"/>
      <c r="C11" s="100"/>
      <c r="D11" s="140" t="s">
        <v>105</v>
      </c>
      <c r="E11" s="140" t="s">
        <v>105</v>
      </c>
      <c r="F11" s="140" t="s">
        <v>105</v>
      </c>
      <c r="G11" s="140" t="s">
        <v>105</v>
      </c>
      <c r="H11" s="140" t="s">
        <v>105</v>
      </c>
      <c r="I11" s="140" t="s">
        <v>105</v>
      </c>
      <c r="J11" s="140" t="s">
        <v>106</v>
      </c>
    </row>
    <row r="12" spans="1:35" ht="12.75" customHeight="1" x14ac:dyDescent="0.25">
      <c r="A12" s="141" t="s">
        <v>103</v>
      </c>
      <c r="B12" s="4"/>
      <c r="C12" s="141"/>
      <c r="D12" s="142" t="s">
        <v>30</v>
      </c>
      <c r="E12" s="142" t="s">
        <v>30</v>
      </c>
      <c r="F12" s="142" t="s">
        <v>30</v>
      </c>
      <c r="G12" s="142" t="s">
        <v>30</v>
      </c>
      <c r="H12" s="142" t="s">
        <v>30</v>
      </c>
      <c r="I12" s="143" t="s">
        <v>31</v>
      </c>
      <c r="J12" s="143" t="s">
        <v>31</v>
      </c>
    </row>
    <row r="13" spans="1:35" ht="12.75" customHeight="1" x14ac:dyDescent="0.25">
      <c r="A13" s="97" t="s">
        <v>104</v>
      </c>
      <c r="B13" s="97"/>
      <c r="C13" s="85"/>
      <c r="D13" s="86"/>
      <c r="E13" s="102">
        <v>1.0232558139534831E-2</v>
      </c>
      <c r="F13" s="102">
        <v>1.9337016574585641E-2</v>
      </c>
      <c r="G13" s="102">
        <v>2.0776874435411097E-2</v>
      </c>
      <c r="H13" s="102">
        <v>1.5929203539823078E-2</v>
      </c>
      <c r="I13" s="102">
        <v>2.000000000000024E-2</v>
      </c>
      <c r="J13" s="102">
        <v>2.1998043050963867E-2</v>
      </c>
    </row>
    <row r="14" spans="1:35" ht="12.75" customHeight="1" x14ac:dyDescent="0.25">
      <c r="A14" s="92" t="s">
        <v>32</v>
      </c>
      <c r="B14" s="90"/>
      <c r="C14" s="90"/>
      <c r="D14" s="103">
        <v>1</v>
      </c>
      <c r="E14" s="93">
        <f t="shared" ref="E14:J14" si="0">D14*(1+E13)</f>
        <v>1.0102325581395348</v>
      </c>
      <c r="F14" s="93">
        <f t="shared" si="0"/>
        <v>1.029767441860465</v>
      </c>
      <c r="G14" s="93">
        <f t="shared" si="0"/>
        <v>1.0511627906976744</v>
      </c>
      <c r="H14" s="93">
        <f t="shared" si="0"/>
        <v>1.067906976744186</v>
      </c>
      <c r="I14" s="93">
        <f t="shared" si="0"/>
        <v>1.0892651162790701</v>
      </c>
      <c r="J14" s="93">
        <f t="shared" si="0"/>
        <v>1.1132268172008901</v>
      </c>
    </row>
    <row r="15" spans="1:35" ht="12.75" customHeight="1" x14ac:dyDescent="0.25">
      <c r="A15" s="90"/>
      <c r="B15" s="90"/>
      <c r="C15" s="90"/>
      <c r="D15" s="91"/>
      <c r="E15" s="91"/>
      <c r="F15" s="91"/>
      <c r="G15" s="91"/>
      <c r="H15" s="91"/>
    </row>
    <row r="16" spans="1:35" ht="12.75" customHeight="1" x14ac:dyDescent="0.25">
      <c r="A16" s="96" t="s">
        <v>37</v>
      </c>
      <c r="B16" s="95">
        <f>B8</f>
        <v>2019</v>
      </c>
      <c r="C16" s="97" t="s">
        <v>38</v>
      </c>
      <c r="G16" s="87"/>
      <c r="H16" s="87"/>
    </row>
    <row r="17" spans="1:8" ht="12.75" customHeight="1" x14ac:dyDescent="0.25">
      <c r="A17" s="96" t="s">
        <v>34</v>
      </c>
      <c r="B17" s="101" t="s">
        <v>36</v>
      </c>
      <c r="C17" s="97" t="s">
        <v>39</v>
      </c>
      <c r="G17" s="87"/>
      <c r="H17" s="87"/>
    </row>
    <row r="18" spans="1:8" ht="12.75" customHeight="1" x14ac:dyDescent="0.25">
      <c r="A18" s="96" t="s">
        <v>33</v>
      </c>
      <c r="B18" s="157">
        <f>INDEX($D$14:$J$14, MATCH(B17, $D$10:$J$10,0))/INDEX($D$14:$J$14, MATCH(B16, $D$10:$J$10,0))</f>
        <v>1.0424380039119834</v>
      </c>
      <c r="C18" s="113"/>
      <c r="D18" s="88"/>
      <c r="E18" s="85"/>
      <c r="F18" s="85"/>
      <c r="G18" s="85"/>
      <c r="H18" s="85"/>
    </row>
    <row r="19" spans="1:8" ht="12.75" customHeight="1" x14ac:dyDescent="0.25">
      <c r="A19" s="87"/>
      <c r="B19" s="89"/>
      <c r="C19" s="89"/>
      <c r="D19" s="89"/>
      <c r="E19" s="89"/>
      <c r="F19" s="89"/>
      <c r="G19" s="89"/>
      <c r="H19" s="87"/>
    </row>
    <row r="20" spans="1:8" ht="12.75" customHeight="1" x14ac:dyDescent="0.25">
      <c r="A20" s="87"/>
      <c r="B20" s="89"/>
      <c r="C20" s="89"/>
      <c r="D20" s="89"/>
      <c r="E20" s="89"/>
      <c r="F20" s="89"/>
      <c r="G20" s="89"/>
      <c r="H20" s="87"/>
    </row>
    <row r="21" spans="1:8" ht="12.75" customHeight="1" x14ac:dyDescent="0.25">
      <c r="A21" s="87"/>
      <c r="B21" s="89"/>
      <c r="C21" s="89"/>
      <c r="D21" s="89"/>
      <c r="E21" s="89"/>
      <c r="F21" s="89"/>
      <c r="G21" s="89"/>
      <c r="H21" s="87"/>
    </row>
    <row r="22" spans="1:8" ht="12.75" customHeight="1" x14ac:dyDescent="0.25">
      <c r="A22" s="120" t="s">
        <v>56</v>
      </c>
      <c r="B22" s="120" t="s">
        <v>44</v>
      </c>
      <c r="C22" s="120"/>
      <c r="D22" s="120"/>
    </row>
    <row r="23" spans="1:8" ht="12.75" customHeight="1" x14ac:dyDescent="0.25">
      <c r="A23" s="96" t="str">
        <f>'Option 1'!$A$3</f>
        <v>Option 1</v>
      </c>
      <c r="B23" s="96" t="s">
        <v>57</v>
      </c>
    </row>
    <row r="24" spans="1:8" ht="12.75" customHeight="1" x14ac:dyDescent="0.25">
      <c r="A24" s="96" t="str">
        <f>'Option 2'!$A$3</f>
        <v>Option 2</v>
      </c>
      <c r="B24" s="96" t="s">
        <v>58</v>
      </c>
    </row>
    <row r="25" spans="1:8" ht="12.75" customHeight="1" x14ac:dyDescent="0.25">
      <c r="A25" s="96" t="str">
        <f>'Option 3'!$A$3</f>
        <v>Option 3</v>
      </c>
      <c r="B25" s="96" t="s">
        <v>59</v>
      </c>
    </row>
    <row r="26" spans="1:8" ht="12.75" customHeight="1" x14ac:dyDescent="0.25">
      <c r="A26" s="96" t="str">
        <f>'Option 4'!$A$3</f>
        <v>Option 4</v>
      </c>
      <c r="B26" s="96" t="s">
        <v>60</v>
      </c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>
      <c r="A30" s="96" t="s">
        <v>0</v>
      </c>
      <c r="B30" s="102">
        <v>0.5</v>
      </c>
    </row>
    <row r="31" spans="1:8" ht="12.75" customHeight="1" x14ac:dyDescent="0.25">
      <c r="A31" s="160" t="s">
        <v>74</v>
      </c>
      <c r="B31" s="161">
        <v>0.5</v>
      </c>
    </row>
    <row r="32" spans="1:8" ht="12.75" customHeight="1" x14ac:dyDescent="0.25">
      <c r="A32" t="s">
        <v>25</v>
      </c>
      <c r="B32" s="130">
        <f>SUM(B30:B31)</f>
        <v>1</v>
      </c>
    </row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</sheetData>
  <dataValidations count="1">
    <dataValidation type="list" allowBlank="1" showInputMessage="1" showErrorMessage="1" sqref="B8 B17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69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97" customWidth="1"/>
    <col min="5" max="5" width="11.140625" style="1" customWidth="1"/>
    <col min="6" max="6" width="16.28515625" style="1" bestFit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67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66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29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65" t="b">
        <f>SUM(W7:W35)=0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97"/>
      <c r="C7" s="118" t="s">
        <v>44</v>
      </c>
      <c r="D7" s="118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97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97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ht="12.75" customHeight="1" x14ac:dyDescent="0.2">
      <c r="A9" s="97"/>
      <c r="B9" s="97"/>
      <c r="C9" s="4"/>
      <c r="D9" s="4"/>
      <c r="E9" s="4"/>
      <c r="F9" s="4"/>
      <c r="G9" s="20"/>
      <c r="H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1:26" ht="12.75" customHeight="1" x14ac:dyDescent="0.2">
      <c r="A10" s="7"/>
      <c r="C10" s="105" t="s">
        <v>67</v>
      </c>
      <c r="D10" s="106" t="s">
        <v>0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09">
        <v>2500</v>
      </c>
      <c r="L10" s="109">
        <v>3500</v>
      </c>
      <c r="M10" s="109">
        <v>2500</v>
      </c>
      <c r="N10" s="109"/>
      <c r="O10" s="109"/>
      <c r="P10" s="3"/>
      <c r="Q10" s="8">
        <f t="shared" ref="Q10:U12" si="0">K10*$H10</f>
        <v>306250</v>
      </c>
      <c r="R10" s="8">
        <f t="shared" si="0"/>
        <v>428750</v>
      </c>
      <c r="S10" s="8">
        <f t="shared" si="0"/>
        <v>306250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12" t="s">
        <v>67</v>
      </c>
      <c r="D11" s="106" t="s">
        <v>54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09">
        <v>2500</v>
      </c>
      <c r="L11" s="109">
        <v>3500</v>
      </c>
      <c r="M11" s="109">
        <v>2500</v>
      </c>
      <c r="N11" s="109"/>
      <c r="O11" s="109"/>
      <c r="P11" s="3"/>
      <c r="Q11" s="8">
        <f t="shared" si="0"/>
        <v>306250</v>
      </c>
      <c r="R11" s="8">
        <f t="shared" si="0"/>
        <v>428750</v>
      </c>
      <c r="S11" s="8">
        <f t="shared" si="0"/>
        <v>306250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/>
      <c r="C12" s="105" t="s">
        <v>69</v>
      </c>
      <c r="D12" s="106" t="s">
        <v>0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09"/>
      <c r="L12" s="109"/>
      <c r="M12" s="109"/>
      <c r="N12" s="109">
        <v>7000</v>
      </c>
      <c r="O12" s="109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857500</v>
      </c>
      <c r="U12" s="8">
        <f t="shared" si="0"/>
        <v>0</v>
      </c>
    </row>
    <row r="13" spans="1:26" ht="12.75" customHeight="1" x14ac:dyDescent="0.25">
      <c r="A13" s="7"/>
      <c r="C13" s="105" t="s">
        <v>69</v>
      </c>
      <c r="D13" s="106" t="s">
        <v>54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09"/>
      <c r="L13" s="109"/>
      <c r="M13" s="109"/>
      <c r="N13" s="109">
        <v>7000</v>
      </c>
      <c r="O13" s="109"/>
      <c r="P13" s="3"/>
      <c r="Q13" s="8">
        <f t="shared" ref="Q13" si="1">K13*$H13</f>
        <v>0</v>
      </c>
      <c r="R13" s="8">
        <f t="shared" ref="R13" si="2">L13*$H13</f>
        <v>0</v>
      </c>
      <c r="S13" s="8">
        <f t="shared" ref="S13" si="3">M13*$H13</f>
        <v>0</v>
      </c>
      <c r="T13" s="8">
        <f t="shared" ref="T13" si="4">N13*$H13</f>
        <v>857500</v>
      </c>
      <c r="U13" s="8">
        <f t="shared" ref="U13" si="5">O13*$H13</f>
        <v>0</v>
      </c>
      <c r="Z13"/>
    </row>
    <row r="14" spans="1:26" ht="12.75" customHeight="1" x14ac:dyDescent="0.25">
      <c r="A14" s="7"/>
      <c r="C14" s="97"/>
      <c r="E14" s="97"/>
      <c r="F14" s="97"/>
      <c r="G14" s="3"/>
      <c r="H14" s="97"/>
      <c r="J14" s="3"/>
      <c r="K14" s="97"/>
      <c r="L14" s="97"/>
      <c r="M14" s="97"/>
      <c r="N14" s="97"/>
      <c r="O14" s="97"/>
      <c r="P14" s="3"/>
      <c r="Z14"/>
    </row>
    <row r="15" spans="1:26" ht="12.75" customHeight="1" x14ac:dyDescent="0.25">
      <c r="A15" s="7"/>
      <c r="C15" s="97"/>
      <c r="E15" s="97"/>
      <c r="F15" s="97"/>
      <c r="G15" s="3"/>
      <c r="H15" s="97"/>
      <c r="J15" s="3"/>
      <c r="K15" s="97"/>
      <c r="L15" s="97"/>
      <c r="M15" s="97"/>
      <c r="N15" s="97"/>
      <c r="O15" s="97"/>
      <c r="P15" s="3"/>
      <c r="Z15"/>
    </row>
    <row r="16" spans="1:26" ht="12.75" customHeight="1" x14ac:dyDescent="0.25">
      <c r="A16" s="7"/>
      <c r="C16" s="105" t="s">
        <v>67</v>
      </c>
      <c r="D16" s="106" t="s">
        <v>0</v>
      </c>
      <c r="E16" s="106" t="s">
        <v>5</v>
      </c>
      <c r="F16" s="107" t="s">
        <v>1</v>
      </c>
      <c r="G16" s="3"/>
      <c r="H16" s="128">
        <v>75000</v>
      </c>
      <c r="J16" s="3"/>
      <c r="K16" s="127">
        <v>2.3333333333333335</v>
      </c>
      <c r="L16" s="127">
        <v>4.333333333333333</v>
      </c>
      <c r="M16" s="127">
        <v>2.3333333333333335</v>
      </c>
      <c r="N16" s="127"/>
      <c r="O16" s="111"/>
      <c r="P16" s="3"/>
      <c r="Q16" s="8">
        <f t="shared" ref="Q16" si="6">K16*$H16</f>
        <v>175000</v>
      </c>
      <c r="R16" s="8">
        <f t="shared" ref="R16" si="7">L16*$H16</f>
        <v>325000</v>
      </c>
      <c r="S16" s="8">
        <f t="shared" ref="S16" si="8">M16*$H16</f>
        <v>175000</v>
      </c>
      <c r="T16" s="8">
        <f t="shared" ref="T16" si="9">N16*$H16</f>
        <v>0</v>
      </c>
      <c r="U16" s="8">
        <f t="shared" ref="U16" si="10">O16*$H16</f>
        <v>0</v>
      </c>
      <c r="Z16"/>
    </row>
    <row r="17" spans="1:26" s="97" customFormat="1" ht="12.75" customHeight="1" x14ac:dyDescent="0.2">
      <c r="A17" s="7"/>
      <c r="C17" s="105" t="s">
        <v>67</v>
      </c>
      <c r="D17" s="106" t="s">
        <v>54</v>
      </c>
      <c r="E17" s="106" t="s">
        <v>5</v>
      </c>
      <c r="F17" s="107" t="s">
        <v>1</v>
      </c>
      <c r="G17" s="3"/>
      <c r="H17" s="128">
        <v>75000</v>
      </c>
      <c r="I17" s="12"/>
      <c r="J17" s="3"/>
      <c r="K17" s="127">
        <v>2.3333333333333335</v>
      </c>
      <c r="L17" s="127">
        <v>4.333333333333333</v>
      </c>
      <c r="M17" s="127">
        <v>2.3333333333333335</v>
      </c>
      <c r="N17" s="127"/>
      <c r="O17" s="111"/>
      <c r="P17" s="3"/>
      <c r="Q17" s="8">
        <f t="shared" ref="Q17" si="11">K17*$H17</f>
        <v>175000</v>
      </c>
      <c r="R17" s="8">
        <f t="shared" ref="R17" si="12">L17*$H17</f>
        <v>325000</v>
      </c>
      <c r="S17" s="8">
        <f t="shared" ref="S17" si="13">M17*$H17</f>
        <v>175000</v>
      </c>
      <c r="T17" s="8">
        <f t="shared" ref="T17" si="14">N17*$H17</f>
        <v>0</v>
      </c>
      <c r="U17" s="8">
        <f t="shared" ref="U17" si="15">O17*$H17</f>
        <v>0</v>
      </c>
    </row>
    <row r="18" spans="1:26" ht="12.7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Z18"/>
    </row>
    <row r="19" spans="1:26" ht="12.7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Z19"/>
    </row>
    <row r="20" spans="1:26" s="97" customFormat="1" ht="12.75" customHeight="1" x14ac:dyDescent="0.2">
      <c r="A20" s="7"/>
      <c r="C20" s="105" t="s">
        <v>53</v>
      </c>
      <c r="D20" s="106" t="s">
        <v>0</v>
      </c>
      <c r="E20" s="106" t="s">
        <v>5</v>
      </c>
      <c r="F20" s="107" t="s">
        <v>4</v>
      </c>
      <c r="H20" s="6"/>
      <c r="I20" s="13" t="s">
        <v>42</v>
      </c>
      <c r="K20" s="121">
        <v>375000</v>
      </c>
      <c r="L20" s="121">
        <v>675000</v>
      </c>
      <c r="M20" s="121">
        <v>375000</v>
      </c>
      <c r="N20" s="121"/>
      <c r="O20" s="109"/>
      <c r="Q20" s="8">
        <f t="shared" ref="Q20" si="16">K20</f>
        <v>375000</v>
      </c>
      <c r="R20" s="8">
        <f t="shared" ref="R20" si="17">L20</f>
        <v>675000</v>
      </c>
      <c r="S20" s="8">
        <f t="shared" ref="S20" si="18">M20</f>
        <v>375000</v>
      </c>
      <c r="T20" s="8">
        <f t="shared" ref="T20" si="19">N20</f>
        <v>0</v>
      </c>
      <c r="U20" s="8">
        <f t="shared" ref="U20" si="20">O20</f>
        <v>0</v>
      </c>
    </row>
    <row r="21" spans="1:26" s="97" customFormat="1" ht="12.75" customHeight="1" x14ac:dyDescent="0.2">
      <c r="A21" s="7"/>
      <c r="C21" s="105" t="s">
        <v>53</v>
      </c>
      <c r="D21" s="106" t="s">
        <v>54</v>
      </c>
      <c r="E21" s="106" t="s">
        <v>5</v>
      </c>
      <c r="F21" s="107" t="s">
        <v>4</v>
      </c>
      <c r="H21" s="6"/>
      <c r="I21" s="13" t="s">
        <v>42</v>
      </c>
      <c r="K21" s="121">
        <v>375000</v>
      </c>
      <c r="L21" s="121">
        <v>675000</v>
      </c>
      <c r="M21" s="121">
        <v>375000</v>
      </c>
      <c r="N21" s="121"/>
      <c r="O21" s="109"/>
      <c r="Q21" s="8">
        <f t="shared" ref="Q21:Q22" si="21">K21</f>
        <v>375000</v>
      </c>
      <c r="R21" s="8">
        <f t="shared" ref="R21:R22" si="22">L21</f>
        <v>675000</v>
      </c>
      <c r="S21" s="8">
        <f t="shared" ref="S21:S22" si="23">M21</f>
        <v>375000</v>
      </c>
      <c r="T21" s="8">
        <f t="shared" ref="T21:T22" si="24">N21</f>
        <v>0</v>
      </c>
      <c r="U21" s="8">
        <f t="shared" ref="U21:U22" si="25">O21</f>
        <v>0</v>
      </c>
    </row>
    <row r="22" spans="1:26" s="97" customFormat="1" ht="12.75" customHeight="1" x14ac:dyDescent="0.2">
      <c r="A22" s="7"/>
      <c r="C22" s="105" t="s">
        <v>68</v>
      </c>
      <c r="D22" s="106" t="s">
        <v>90</v>
      </c>
      <c r="E22" s="106" t="s">
        <v>41</v>
      </c>
      <c r="F22" s="107" t="s">
        <v>86</v>
      </c>
      <c r="H22" s="6"/>
      <c r="I22" s="13" t="s">
        <v>42</v>
      </c>
      <c r="K22" s="109"/>
      <c r="L22" s="109"/>
      <c r="M22" s="109"/>
      <c r="N22" s="109">
        <v>1640000</v>
      </c>
      <c r="O22" s="109">
        <v>1640000</v>
      </c>
      <c r="Q22" s="8">
        <f t="shared" si="21"/>
        <v>0</v>
      </c>
      <c r="R22" s="8">
        <f t="shared" si="22"/>
        <v>0</v>
      </c>
      <c r="S22" s="8">
        <f t="shared" si="23"/>
        <v>0</v>
      </c>
      <c r="T22" s="8">
        <f t="shared" si="24"/>
        <v>1640000</v>
      </c>
      <c r="U22" s="8">
        <f t="shared" si="25"/>
        <v>1640000</v>
      </c>
    </row>
    <row r="23" spans="1:26" ht="12.75" customHeight="1" x14ac:dyDescent="0.2">
      <c r="A23" s="7"/>
      <c r="C23" s="105" t="s">
        <v>68</v>
      </c>
      <c r="D23" s="106" t="s">
        <v>91</v>
      </c>
      <c r="E23" s="106" t="s">
        <v>41</v>
      </c>
      <c r="F23" s="107" t="s">
        <v>86</v>
      </c>
      <c r="G23" s="97"/>
      <c r="H23" s="6"/>
      <c r="I23" s="13" t="s">
        <v>42</v>
      </c>
      <c r="J23" s="97"/>
      <c r="K23" s="109"/>
      <c r="L23" s="109"/>
      <c r="M23" s="109"/>
      <c r="N23" s="109">
        <v>1500000</v>
      </c>
      <c r="O23" s="109">
        <v>1500000</v>
      </c>
      <c r="Q23" s="8">
        <f t="shared" ref="Q23" si="26">K23</f>
        <v>0</v>
      </c>
      <c r="R23" s="8">
        <f t="shared" ref="R23" si="27">L23</f>
        <v>0</v>
      </c>
      <c r="S23" s="8">
        <f t="shared" ref="S23" si="28">M23</f>
        <v>0</v>
      </c>
      <c r="T23" s="8">
        <f t="shared" ref="T23" si="29">N23</f>
        <v>1500000</v>
      </c>
      <c r="U23" s="8">
        <f t="shared" ref="U23" si="30">O23</f>
        <v>1500000</v>
      </c>
    </row>
    <row r="24" spans="1:26" ht="12.75" customHeight="1" x14ac:dyDescent="0.25">
      <c r="G24" s="3"/>
      <c r="J24" s="3"/>
      <c r="P24" s="3"/>
      <c r="Z24"/>
    </row>
    <row r="25" spans="1:26" ht="12.75" customHeight="1" x14ac:dyDescent="0.25">
      <c r="G25" s="3"/>
      <c r="J25" s="3"/>
      <c r="P25" s="3"/>
      <c r="Z25"/>
    </row>
    <row r="26" spans="1:26" ht="12.75" customHeight="1" x14ac:dyDescent="0.25">
      <c r="C26" s="5" t="s">
        <v>13</v>
      </c>
      <c r="D26" s="7"/>
      <c r="G26" s="3"/>
      <c r="J26" s="3"/>
      <c r="P26" s="3"/>
      <c r="Z26"/>
    </row>
    <row r="27" spans="1:26" ht="12.75" customHeight="1" x14ac:dyDescent="0.2">
      <c r="C27" s="28" t="s">
        <v>2</v>
      </c>
      <c r="D27" s="28"/>
      <c r="E27" s="28" t="s">
        <v>5</v>
      </c>
      <c r="F27" s="28"/>
      <c r="G27" s="3"/>
      <c r="H27" s="28"/>
      <c r="I27" s="29"/>
      <c r="J27" s="3"/>
      <c r="K27" s="28"/>
      <c r="L27" s="28"/>
      <c r="M27" s="28"/>
      <c r="N27" s="28"/>
      <c r="O27" s="28"/>
      <c r="P27" s="3"/>
      <c r="Q27" s="30">
        <f t="shared" ref="Q27:U32" si="31">SUMIFS(Q$10:Q$23,$F$10:$F$23,$C27,$E$10:$E$23,$E27)</f>
        <v>612500</v>
      </c>
      <c r="R27" s="30">
        <f t="shared" si="31"/>
        <v>857500</v>
      </c>
      <c r="S27" s="30">
        <f t="shared" si="31"/>
        <v>612500</v>
      </c>
      <c r="T27" s="30">
        <f t="shared" si="31"/>
        <v>1715000</v>
      </c>
      <c r="U27" s="30">
        <f t="shared" si="31"/>
        <v>0</v>
      </c>
    </row>
    <row r="28" spans="1:26" ht="12.75" customHeight="1" x14ac:dyDescent="0.2">
      <c r="C28" s="4" t="s">
        <v>1</v>
      </c>
      <c r="D28" s="4"/>
      <c r="E28" s="4" t="s">
        <v>5</v>
      </c>
      <c r="F28" s="4"/>
      <c r="G28" s="3"/>
      <c r="H28" s="4"/>
      <c r="I28" s="13"/>
      <c r="J28" s="3"/>
      <c r="K28" s="4"/>
      <c r="L28" s="4"/>
      <c r="M28" s="4"/>
      <c r="N28" s="4"/>
      <c r="O28" s="4"/>
      <c r="P28" s="3"/>
      <c r="Q28" s="9">
        <f t="shared" si="31"/>
        <v>350000</v>
      </c>
      <c r="R28" s="9">
        <f t="shared" si="31"/>
        <v>650000</v>
      </c>
      <c r="S28" s="9">
        <f t="shared" si="31"/>
        <v>350000</v>
      </c>
      <c r="T28" s="9">
        <f t="shared" si="31"/>
        <v>0</v>
      </c>
      <c r="U28" s="9">
        <f t="shared" si="31"/>
        <v>0</v>
      </c>
    </row>
    <row r="29" spans="1:26" ht="12.75" customHeight="1" x14ac:dyDescent="0.2">
      <c r="C29" s="4" t="s">
        <v>4</v>
      </c>
      <c r="D29" s="4"/>
      <c r="E29" s="4" t="s">
        <v>5</v>
      </c>
      <c r="F29" s="4"/>
      <c r="G29" s="3"/>
      <c r="H29" s="4"/>
      <c r="I29" s="13"/>
      <c r="J29" s="3"/>
      <c r="K29" s="4"/>
      <c r="L29" s="4"/>
      <c r="M29" s="4"/>
      <c r="N29" s="4"/>
      <c r="O29" s="4"/>
      <c r="P29" s="3"/>
      <c r="Q29" s="9">
        <f t="shared" si="31"/>
        <v>750000</v>
      </c>
      <c r="R29" s="9">
        <f t="shared" si="31"/>
        <v>1350000</v>
      </c>
      <c r="S29" s="9">
        <f t="shared" si="31"/>
        <v>750000</v>
      </c>
      <c r="T29" s="9">
        <f t="shared" si="31"/>
        <v>0</v>
      </c>
      <c r="U29" s="9">
        <f t="shared" si="31"/>
        <v>0</v>
      </c>
    </row>
    <row r="30" spans="1:26" ht="12.75" customHeight="1" x14ac:dyDescent="0.2">
      <c r="C30" s="4" t="s">
        <v>87</v>
      </c>
      <c r="D30" s="4"/>
      <c r="E30" s="4" t="s">
        <v>41</v>
      </c>
      <c r="F30" s="4"/>
      <c r="G30" s="3"/>
      <c r="H30" s="4"/>
      <c r="I30" s="13"/>
      <c r="J30" s="3"/>
      <c r="K30" s="4"/>
      <c r="L30" s="4"/>
      <c r="M30" s="4"/>
      <c r="N30" s="4"/>
      <c r="O30" s="4"/>
      <c r="P30" s="3"/>
      <c r="Q30" s="9">
        <f t="shared" si="31"/>
        <v>0</v>
      </c>
      <c r="R30" s="9">
        <f t="shared" si="31"/>
        <v>0</v>
      </c>
      <c r="S30" s="9">
        <f t="shared" si="31"/>
        <v>0</v>
      </c>
      <c r="T30" s="9">
        <f t="shared" si="31"/>
        <v>0</v>
      </c>
      <c r="U30" s="9">
        <f t="shared" si="31"/>
        <v>0</v>
      </c>
    </row>
    <row r="31" spans="1:26" ht="12.75" customHeight="1" x14ac:dyDescent="0.2">
      <c r="C31" s="4" t="s">
        <v>88</v>
      </c>
      <c r="D31" s="4"/>
      <c r="E31" s="4" t="s">
        <v>41</v>
      </c>
      <c r="F31" s="4"/>
      <c r="G31" s="3"/>
      <c r="H31" s="4"/>
      <c r="I31" s="13"/>
      <c r="J31" s="3"/>
      <c r="K31" s="4"/>
      <c r="L31" s="4"/>
      <c r="M31" s="4"/>
      <c r="N31" s="4"/>
      <c r="O31" s="4"/>
      <c r="P31" s="3"/>
      <c r="Q31" s="9">
        <f t="shared" si="31"/>
        <v>0</v>
      </c>
      <c r="R31" s="9">
        <f t="shared" si="31"/>
        <v>0</v>
      </c>
      <c r="S31" s="9">
        <f t="shared" si="31"/>
        <v>0</v>
      </c>
      <c r="T31" s="9">
        <f t="shared" si="31"/>
        <v>0</v>
      </c>
      <c r="U31" s="9">
        <f t="shared" si="31"/>
        <v>0</v>
      </c>
    </row>
    <row r="32" spans="1:26" ht="12.75" customHeight="1" x14ac:dyDescent="0.2">
      <c r="C32" s="4" t="s">
        <v>86</v>
      </c>
      <c r="D32" s="4"/>
      <c r="E32" s="4" t="s">
        <v>41</v>
      </c>
      <c r="F32" s="7"/>
      <c r="G32" s="3"/>
      <c r="H32" s="7"/>
      <c r="I32" s="31"/>
      <c r="J32" s="3"/>
      <c r="K32" s="7"/>
      <c r="L32" s="7"/>
      <c r="M32" s="7"/>
      <c r="N32" s="7"/>
      <c r="O32" s="7"/>
      <c r="P32" s="3"/>
      <c r="Q32" s="9">
        <f t="shared" si="31"/>
        <v>0</v>
      </c>
      <c r="R32" s="9">
        <f t="shared" si="31"/>
        <v>0</v>
      </c>
      <c r="S32" s="9">
        <f t="shared" si="31"/>
        <v>0</v>
      </c>
      <c r="T32" s="9">
        <f t="shared" si="31"/>
        <v>3140000</v>
      </c>
      <c r="U32" s="9">
        <f t="shared" si="31"/>
        <v>3140000</v>
      </c>
    </row>
    <row r="33" spans="3:23" ht="12.75" customHeight="1" x14ac:dyDescent="0.2">
      <c r="C33" s="164" t="str">
        <f>"Total Expenditure ($ "&amp;Assumptions!$B$8&amp;")"</f>
        <v>Total Expenditure ($ 2019)</v>
      </c>
      <c r="D33" s="10"/>
      <c r="E33" s="10"/>
      <c r="F33" s="10"/>
      <c r="G33" s="3"/>
      <c r="H33" s="10"/>
      <c r="I33" s="14"/>
      <c r="J33" s="3"/>
      <c r="K33" s="10"/>
      <c r="L33" s="10"/>
      <c r="M33" s="10"/>
      <c r="N33" s="10"/>
      <c r="O33" s="10"/>
      <c r="P33" s="3"/>
      <c r="Q33" s="11">
        <f>SUM(Q27:Q32)</f>
        <v>1712500</v>
      </c>
      <c r="R33" s="11">
        <f t="shared" ref="R33:U33" si="32">SUM(R27:R32)</f>
        <v>2857500</v>
      </c>
      <c r="S33" s="11">
        <f t="shared" si="32"/>
        <v>1712500</v>
      </c>
      <c r="T33" s="11">
        <f t="shared" si="32"/>
        <v>4855000</v>
      </c>
      <c r="U33" s="11">
        <f t="shared" si="32"/>
        <v>3140000</v>
      </c>
      <c r="V33" s="42"/>
    </row>
    <row r="34" spans="3:23" ht="12.75" customHeight="1" x14ac:dyDescent="0.2">
      <c r="C34" s="148" t="str">
        <f>"Total Expenditure ($ "&amp;Assumptions!B17&amp;")"</f>
        <v>Total Expenditure ($ 2020/21)</v>
      </c>
      <c r="D34" s="28"/>
      <c r="E34" s="28"/>
      <c r="F34" s="28"/>
      <c r="G34" s="3"/>
      <c r="H34" s="28"/>
      <c r="I34" s="29"/>
      <c r="J34" s="3"/>
      <c r="K34" s="28"/>
      <c r="L34" s="28"/>
      <c r="M34" s="28"/>
      <c r="N34" s="28"/>
      <c r="O34" s="28"/>
      <c r="P34" s="3"/>
      <c r="Q34" s="43">
        <f>Q33*Assumptions!$B$18</f>
        <v>1785175.0816992715</v>
      </c>
      <c r="R34" s="43">
        <f>R33*Assumptions!$B$18</f>
        <v>2978766.5961784925</v>
      </c>
      <c r="S34" s="43">
        <f>S33*Assumptions!$B$18</f>
        <v>1785175.0816992715</v>
      </c>
      <c r="T34" s="43">
        <f>T33*Assumptions!$B$18</f>
        <v>5061036.5089926794</v>
      </c>
      <c r="U34" s="43">
        <f>U33*Assumptions!$B$18</f>
        <v>3273255.3322836277</v>
      </c>
      <c r="V34" s="42"/>
    </row>
    <row r="35" spans="3:23" ht="12.75" customHeight="1" x14ac:dyDescent="0.2">
      <c r="C35" s="98" t="s">
        <v>12</v>
      </c>
      <c r="D35" s="98"/>
      <c r="E35" s="98"/>
      <c r="F35" s="98"/>
      <c r="G35" s="3"/>
      <c r="H35" s="98"/>
      <c r="I35" s="98"/>
      <c r="J35" s="3"/>
      <c r="K35" s="98"/>
      <c r="L35" s="98"/>
      <c r="M35" s="98"/>
      <c r="N35" s="98"/>
      <c r="O35" s="98"/>
      <c r="P35" s="3"/>
      <c r="Q35" s="163">
        <f>Q33-SUM(Q10:Q23)</f>
        <v>0</v>
      </c>
      <c r="R35" s="163">
        <f>R33-SUM(R10:R23)</f>
        <v>0</v>
      </c>
      <c r="S35" s="163">
        <f>S33-SUM(S10:S23)</f>
        <v>0</v>
      </c>
      <c r="T35" s="163">
        <f>T33-SUM(T10:T23)</f>
        <v>0</v>
      </c>
      <c r="U35" s="163">
        <f>U33-SUM(U10:U23)</f>
        <v>0</v>
      </c>
      <c r="W35" s="163">
        <f>SUM(Q35:U35)</f>
        <v>0</v>
      </c>
    </row>
    <row r="36" spans="3:23" ht="12.75" customHeight="1" x14ac:dyDescent="0.2">
      <c r="G36" s="3"/>
      <c r="J36" s="3"/>
      <c r="P36" s="3"/>
    </row>
    <row r="38" spans="3:23" ht="12.75" customHeight="1" x14ac:dyDescent="0.2">
      <c r="P38" s="3"/>
    </row>
    <row r="39" spans="3:23" ht="12.75" customHeight="1" x14ac:dyDescent="0.2">
      <c r="C39" s="5" t="s">
        <v>75</v>
      </c>
      <c r="D39" s="7"/>
      <c r="E39" s="97"/>
      <c r="F39" s="97"/>
      <c r="G39" s="3"/>
      <c r="H39" s="97"/>
      <c r="J39" s="3"/>
      <c r="K39" s="97"/>
      <c r="L39" s="97"/>
      <c r="M39" s="97"/>
      <c r="N39" s="97"/>
      <c r="O39" s="97"/>
      <c r="P39" s="3"/>
      <c r="Q39" s="97"/>
      <c r="R39" s="97"/>
      <c r="S39" s="97"/>
      <c r="T39" s="97"/>
      <c r="U39" s="97"/>
      <c r="V39" s="97"/>
      <c r="W39" s="97"/>
    </row>
    <row r="40" spans="3:23" ht="12.75" customHeight="1" x14ac:dyDescent="0.2">
      <c r="C40" s="28" t="s">
        <v>2</v>
      </c>
      <c r="D40" s="28" t="s">
        <v>0</v>
      </c>
      <c r="E40" s="28" t="s">
        <v>67</v>
      </c>
      <c r="F40" s="149" t="str">
        <f t="shared" ref="F40" si="33">C40&amp;D40&amp;E40</f>
        <v>LabourVPNCurrency maintenance</v>
      </c>
      <c r="G40" s="3"/>
      <c r="H40" s="28"/>
      <c r="I40" s="29"/>
      <c r="J40" s="3"/>
      <c r="K40" s="28"/>
      <c r="L40" s="28"/>
      <c r="M40" s="28"/>
      <c r="N40" s="28"/>
      <c r="O40" s="28"/>
      <c r="Q40" s="43">
        <f t="shared" ref="Q40:U51" si="34">SUMIFS(Q$10:Q$23,$F$10:$F$23,$C40,$D$10:$D$23,$D40,$C$10:$C$23,$E40)*Conv_2021</f>
        <v>319246.63869804493</v>
      </c>
      <c r="R40" s="43">
        <f t="shared" si="34"/>
        <v>446945.29417726287</v>
      </c>
      <c r="S40" s="43">
        <f t="shared" si="34"/>
        <v>319246.63869804493</v>
      </c>
      <c r="T40" s="43">
        <f t="shared" si="34"/>
        <v>0</v>
      </c>
      <c r="U40" s="43">
        <f t="shared" si="34"/>
        <v>0</v>
      </c>
      <c r="V40" s="97"/>
      <c r="W40" s="97"/>
    </row>
    <row r="41" spans="3:23" ht="12.75" customHeight="1" x14ac:dyDescent="0.2">
      <c r="C41" s="4" t="s">
        <v>1</v>
      </c>
      <c r="D41" s="4" t="s">
        <v>0</v>
      </c>
      <c r="E41" s="4" t="s">
        <v>67</v>
      </c>
      <c r="F41" s="152" t="str">
        <f>C41&amp;D41&amp;E41</f>
        <v>MaterialsVPNCurrency maintenance</v>
      </c>
      <c r="G41" s="3"/>
      <c r="H41" s="4"/>
      <c r="I41" s="13"/>
      <c r="J41" s="3"/>
      <c r="K41" s="4"/>
      <c r="L41" s="4"/>
      <c r="M41" s="4"/>
      <c r="N41" s="4"/>
      <c r="O41" s="4"/>
      <c r="Q41" s="133">
        <f t="shared" si="34"/>
        <v>182426.65068459709</v>
      </c>
      <c r="R41" s="133">
        <f t="shared" si="34"/>
        <v>338792.35127139458</v>
      </c>
      <c r="S41" s="133">
        <f t="shared" si="34"/>
        <v>182426.65068459709</v>
      </c>
      <c r="T41" s="133">
        <f t="shared" si="34"/>
        <v>0</v>
      </c>
      <c r="U41" s="133">
        <f t="shared" si="34"/>
        <v>0</v>
      </c>
      <c r="V41" s="97"/>
      <c r="W41" s="97"/>
    </row>
    <row r="42" spans="3:23" ht="12.75" customHeight="1" x14ac:dyDescent="0.2">
      <c r="C42" s="4" t="s">
        <v>4</v>
      </c>
      <c r="D42" s="4" t="s">
        <v>0</v>
      </c>
      <c r="E42" s="4" t="s">
        <v>67</v>
      </c>
      <c r="F42" s="152" t="str">
        <f t="shared" ref="F42:F64" si="35">C42&amp;D42&amp;E42</f>
        <v>ContractsVPNCurrency maintenance</v>
      </c>
      <c r="G42" s="3"/>
      <c r="H42" s="4"/>
      <c r="I42" s="13"/>
      <c r="J42" s="3"/>
      <c r="K42" s="4"/>
      <c r="L42" s="4"/>
      <c r="M42" s="4"/>
      <c r="N42" s="4"/>
      <c r="O42" s="4"/>
      <c r="Q42" s="133">
        <f t="shared" si="34"/>
        <v>390914.25146699377</v>
      </c>
      <c r="R42" s="133">
        <f t="shared" si="34"/>
        <v>703645.65264058881</v>
      </c>
      <c r="S42" s="133">
        <f t="shared" si="34"/>
        <v>390914.25146699377</v>
      </c>
      <c r="T42" s="133">
        <f t="shared" si="34"/>
        <v>0</v>
      </c>
      <c r="U42" s="133">
        <f t="shared" si="34"/>
        <v>0</v>
      </c>
      <c r="V42" s="97"/>
      <c r="W42" s="97"/>
    </row>
    <row r="43" spans="3:23" s="97" customFormat="1" ht="12.75" customHeight="1" x14ac:dyDescent="0.2">
      <c r="C43" s="4" t="s">
        <v>87</v>
      </c>
      <c r="D43" s="4" t="s">
        <v>92</v>
      </c>
      <c r="E43" s="4" t="s">
        <v>67</v>
      </c>
      <c r="F43" s="152" t="str">
        <f t="shared" si="35"/>
        <v>Labour OpexVPN opexCurrency maintenance</v>
      </c>
      <c r="G43" s="3"/>
      <c r="H43" s="4"/>
      <c r="I43" s="13"/>
      <c r="J43" s="3"/>
      <c r="K43" s="4"/>
      <c r="L43" s="4"/>
      <c r="M43" s="4"/>
      <c r="N43" s="4"/>
      <c r="O43" s="4"/>
      <c r="Q43" s="133">
        <f t="shared" si="34"/>
        <v>0</v>
      </c>
      <c r="R43" s="133">
        <f t="shared" si="34"/>
        <v>0</v>
      </c>
      <c r="S43" s="133">
        <f t="shared" si="34"/>
        <v>0</v>
      </c>
      <c r="T43" s="133">
        <f t="shared" si="34"/>
        <v>0</v>
      </c>
      <c r="U43" s="133">
        <f t="shared" si="34"/>
        <v>0</v>
      </c>
    </row>
    <row r="44" spans="3:23" s="97" customFormat="1" ht="12.75" customHeight="1" x14ac:dyDescent="0.2">
      <c r="C44" s="4" t="s">
        <v>88</v>
      </c>
      <c r="D44" s="4" t="s">
        <v>90</v>
      </c>
      <c r="E44" s="4" t="s">
        <v>67</v>
      </c>
      <c r="F44" s="152" t="str">
        <f t="shared" si="35"/>
        <v>Materials OpexVPN OpexCurrency maintenance</v>
      </c>
      <c r="G44" s="3"/>
      <c r="H44" s="4"/>
      <c r="I44" s="13"/>
      <c r="J44" s="3"/>
      <c r="K44" s="4"/>
      <c r="L44" s="4"/>
      <c r="M44" s="4"/>
      <c r="N44" s="4"/>
      <c r="O44" s="4"/>
      <c r="Q44" s="133">
        <f t="shared" si="34"/>
        <v>0</v>
      </c>
      <c r="R44" s="133">
        <f t="shared" si="34"/>
        <v>0</v>
      </c>
      <c r="S44" s="133">
        <f t="shared" si="34"/>
        <v>0</v>
      </c>
      <c r="T44" s="133">
        <f t="shared" si="34"/>
        <v>0</v>
      </c>
      <c r="U44" s="133">
        <f t="shared" si="34"/>
        <v>0</v>
      </c>
    </row>
    <row r="45" spans="3:23" s="97" customFormat="1" ht="12.75" customHeight="1" x14ac:dyDescent="0.2">
      <c r="C45" s="4" t="s">
        <v>86</v>
      </c>
      <c r="D45" s="4" t="s">
        <v>90</v>
      </c>
      <c r="E45" s="4" t="s">
        <v>67</v>
      </c>
      <c r="F45" s="152" t="str">
        <f t="shared" si="35"/>
        <v>Contracts OpexVPN OpexCurrency maintenance</v>
      </c>
      <c r="G45" s="3"/>
      <c r="H45" s="4"/>
      <c r="I45" s="13"/>
      <c r="J45" s="3"/>
      <c r="K45" s="4"/>
      <c r="L45" s="4"/>
      <c r="M45" s="4"/>
      <c r="N45" s="4"/>
      <c r="O45" s="4"/>
      <c r="Q45" s="133">
        <f t="shared" si="34"/>
        <v>0</v>
      </c>
      <c r="R45" s="133">
        <f t="shared" si="34"/>
        <v>0</v>
      </c>
      <c r="S45" s="133">
        <f t="shared" si="34"/>
        <v>0</v>
      </c>
      <c r="T45" s="133">
        <f t="shared" si="34"/>
        <v>0</v>
      </c>
      <c r="U45" s="133">
        <f t="shared" si="34"/>
        <v>0</v>
      </c>
    </row>
    <row r="46" spans="3:23" x14ac:dyDescent="0.2">
      <c r="C46" s="4" t="s">
        <v>2</v>
      </c>
      <c r="D46" s="4" t="s">
        <v>54</v>
      </c>
      <c r="E46" s="4" t="s">
        <v>67</v>
      </c>
      <c r="F46" s="152" t="str">
        <f t="shared" si="35"/>
        <v>LabourUECurrency maintenance</v>
      </c>
      <c r="G46" s="3"/>
      <c r="H46" s="4"/>
      <c r="I46" s="13"/>
      <c r="J46" s="3"/>
      <c r="K46" s="4"/>
      <c r="L46" s="4"/>
      <c r="M46" s="4"/>
      <c r="N46" s="4"/>
      <c r="O46" s="4"/>
      <c r="Q46" s="133">
        <f t="shared" si="34"/>
        <v>319246.63869804493</v>
      </c>
      <c r="R46" s="133">
        <f t="shared" si="34"/>
        <v>446945.29417726287</v>
      </c>
      <c r="S46" s="133">
        <f t="shared" si="34"/>
        <v>319246.63869804493</v>
      </c>
      <c r="T46" s="133">
        <f t="shared" si="34"/>
        <v>0</v>
      </c>
      <c r="U46" s="133">
        <f t="shared" si="34"/>
        <v>0</v>
      </c>
      <c r="V46" s="97"/>
      <c r="W46" s="97"/>
    </row>
    <row r="47" spans="3:23" x14ac:dyDescent="0.2">
      <c r="C47" s="4" t="s">
        <v>1</v>
      </c>
      <c r="D47" s="4" t="s">
        <v>54</v>
      </c>
      <c r="E47" s="4" t="s">
        <v>67</v>
      </c>
      <c r="F47" s="152" t="str">
        <f t="shared" si="35"/>
        <v>MaterialsUECurrency maintenance</v>
      </c>
      <c r="G47" s="3"/>
      <c r="H47" s="4"/>
      <c r="I47" s="13"/>
      <c r="J47" s="3"/>
      <c r="K47" s="4"/>
      <c r="L47" s="4"/>
      <c r="M47" s="4"/>
      <c r="N47" s="4"/>
      <c r="O47" s="4"/>
      <c r="Q47" s="133">
        <f t="shared" si="34"/>
        <v>182426.65068459709</v>
      </c>
      <c r="R47" s="133">
        <f t="shared" si="34"/>
        <v>338792.35127139458</v>
      </c>
      <c r="S47" s="133">
        <f t="shared" si="34"/>
        <v>182426.65068459709</v>
      </c>
      <c r="T47" s="133">
        <f t="shared" si="34"/>
        <v>0</v>
      </c>
      <c r="U47" s="133">
        <f t="shared" si="34"/>
        <v>0</v>
      </c>
      <c r="V47" s="97"/>
      <c r="W47" s="97"/>
    </row>
    <row r="48" spans="3:23" x14ac:dyDescent="0.2">
      <c r="C48" s="4" t="s">
        <v>4</v>
      </c>
      <c r="D48" s="4" t="s">
        <v>54</v>
      </c>
      <c r="E48" s="4" t="s">
        <v>67</v>
      </c>
      <c r="F48" s="152" t="str">
        <f t="shared" si="35"/>
        <v>ContractsUECurrency maintenance</v>
      </c>
      <c r="G48" s="3"/>
      <c r="H48" s="7"/>
      <c r="I48" s="31"/>
      <c r="J48" s="3"/>
      <c r="K48" s="7"/>
      <c r="L48" s="7"/>
      <c r="M48" s="7"/>
      <c r="N48" s="7"/>
      <c r="O48" s="7"/>
      <c r="Q48" s="133">
        <f t="shared" si="34"/>
        <v>390914.25146699377</v>
      </c>
      <c r="R48" s="133">
        <f t="shared" si="34"/>
        <v>703645.65264058881</v>
      </c>
      <c r="S48" s="133">
        <f t="shared" si="34"/>
        <v>390914.25146699377</v>
      </c>
      <c r="T48" s="133">
        <f t="shared" si="34"/>
        <v>0</v>
      </c>
      <c r="U48" s="133">
        <f t="shared" si="34"/>
        <v>0</v>
      </c>
      <c r="V48" s="97"/>
      <c r="W48" s="97"/>
    </row>
    <row r="49" spans="3:21" s="97" customFormat="1" x14ac:dyDescent="0.2">
      <c r="C49" s="4" t="s">
        <v>87</v>
      </c>
      <c r="D49" s="4" t="s">
        <v>91</v>
      </c>
      <c r="E49" s="4" t="s">
        <v>67</v>
      </c>
      <c r="F49" s="152" t="str">
        <f t="shared" si="35"/>
        <v>Labour OpexUE OpexCurrency maintenance</v>
      </c>
      <c r="G49" s="3"/>
      <c r="H49" s="7"/>
      <c r="I49" s="31"/>
      <c r="J49" s="3"/>
      <c r="K49" s="7"/>
      <c r="L49" s="7"/>
      <c r="M49" s="7"/>
      <c r="N49" s="7"/>
      <c r="O49" s="7"/>
      <c r="Q49" s="133">
        <f t="shared" si="34"/>
        <v>0</v>
      </c>
      <c r="R49" s="133">
        <f t="shared" si="34"/>
        <v>0</v>
      </c>
      <c r="S49" s="133">
        <f t="shared" si="34"/>
        <v>0</v>
      </c>
      <c r="T49" s="133">
        <f t="shared" si="34"/>
        <v>0</v>
      </c>
      <c r="U49" s="133">
        <f t="shared" si="34"/>
        <v>0</v>
      </c>
    </row>
    <row r="50" spans="3:21" s="97" customFormat="1" x14ac:dyDescent="0.2">
      <c r="C50" s="4" t="s">
        <v>89</v>
      </c>
      <c r="D50" s="4" t="s">
        <v>91</v>
      </c>
      <c r="E50" s="4" t="s">
        <v>67</v>
      </c>
      <c r="F50" s="152" t="str">
        <f t="shared" si="35"/>
        <v>Materials opexUE OpexCurrency maintenance</v>
      </c>
      <c r="G50" s="3"/>
      <c r="H50" s="7"/>
      <c r="I50" s="31"/>
      <c r="J50" s="3"/>
      <c r="K50" s="7"/>
      <c r="L50" s="7"/>
      <c r="M50" s="7"/>
      <c r="N50" s="7"/>
      <c r="O50" s="7"/>
      <c r="Q50" s="133">
        <f t="shared" si="34"/>
        <v>0</v>
      </c>
      <c r="R50" s="133">
        <f t="shared" si="34"/>
        <v>0</v>
      </c>
      <c r="S50" s="133">
        <f t="shared" si="34"/>
        <v>0</v>
      </c>
      <c r="T50" s="133">
        <f t="shared" si="34"/>
        <v>0</v>
      </c>
      <c r="U50" s="133">
        <f t="shared" si="34"/>
        <v>0</v>
      </c>
    </row>
    <row r="51" spans="3:21" s="97" customFormat="1" x14ac:dyDescent="0.2">
      <c r="C51" s="4" t="s">
        <v>86</v>
      </c>
      <c r="D51" s="4" t="s">
        <v>91</v>
      </c>
      <c r="E51" s="4" t="s">
        <v>67</v>
      </c>
      <c r="F51" s="152" t="str">
        <f t="shared" si="35"/>
        <v>Contracts OpexUE OpexCurrency maintenance</v>
      </c>
      <c r="G51" s="3"/>
      <c r="H51" s="7"/>
      <c r="I51" s="31"/>
      <c r="J51" s="3"/>
      <c r="K51" s="7"/>
      <c r="L51" s="7"/>
      <c r="M51" s="7"/>
      <c r="N51" s="7"/>
      <c r="O51" s="7"/>
      <c r="Q51" s="133">
        <f t="shared" si="34"/>
        <v>0</v>
      </c>
      <c r="R51" s="133">
        <f t="shared" si="34"/>
        <v>0</v>
      </c>
      <c r="S51" s="133">
        <f t="shared" si="34"/>
        <v>0</v>
      </c>
      <c r="T51" s="133">
        <f t="shared" si="34"/>
        <v>0</v>
      </c>
      <c r="U51" s="133">
        <f t="shared" si="34"/>
        <v>0</v>
      </c>
    </row>
    <row r="52" spans="3:21" s="97" customFormat="1" x14ac:dyDescent="0.2">
      <c r="C52" s="4"/>
      <c r="D52" s="4"/>
      <c r="E52" s="4"/>
      <c r="F52" s="132"/>
      <c r="G52" s="3"/>
      <c r="H52" s="7"/>
      <c r="I52" s="31"/>
      <c r="J52" s="3"/>
      <c r="K52" s="7"/>
      <c r="L52" s="7"/>
      <c r="M52" s="7"/>
      <c r="N52" s="7"/>
      <c r="O52" s="7"/>
      <c r="Q52" s="133"/>
      <c r="R52" s="133"/>
      <c r="S52" s="133"/>
      <c r="T52" s="133"/>
      <c r="U52" s="133"/>
    </row>
    <row r="53" spans="3:21" s="97" customFormat="1" x14ac:dyDescent="0.2">
      <c r="C53" s="4" t="s">
        <v>2</v>
      </c>
      <c r="D53" s="4" t="s">
        <v>0</v>
      </c>
      <c r="E53" s="4" t="s">
        <v>93</v>
      </c>
      <c r="F53" s="156" t="str">
        <f t="shared" si="35"/>
        <v>LabourVPNS4 upgrade</v>
      </c>
      <c r="G53" s="3"/>
      <c r="H53" s="7"/>
      <c r="I53" s="31"/>
      <c r="J53" s="3"/>
      <c r="K53" s="7"/>
      <c r="L53" s="7"/>
      <c r="M53" s="7"/>
      <c r="N53" s="7"/>
      <c r="O53" s="7"/>
      <c r="Q53" s="133">
        <f t="shared" ref="Q53:U64" si="36">SUMIFS(Q$10:Q$23,$F$10:$F$23,$C53,$D$10:$D$23,$D53)*Conv_2021-Q40</f>
        <v>0</v>
      </c>
      <c r="R53" s="133">
        <f t="shared" si="36"/>
        <v>0</v>
      </c>
      <c r="S53" s="133">
        <f t="shared" si="36"/>
        <v>0</v>
      </c>
      <c r="T53" s="133">
        <f t="shared" si="36"/>
        <v>893890.58835452574</v>
      </c>
      <c r="U53" s="133">
        <f t="shared" si="36"/>
        <v>0</v>
      </c>
    </row>
    <row r="54" spans="3:21" s="97" customFormat="1" x14ac:dyDescent="0.2">
      <c r="C54" s="4" t="s">
        <v>1</v>
      </c>
      <c r="D54" s="4" t="s">
        <v>0</v>
      </c>
      <c r="E54" s="4" t="s">
        <v>93</v>
      </c>
      <c r="F54" s="156" t="str">
        <f t="shared" si="35"/>
        <v>MaterialsVPNS4 upgrade</v>
      </c>
      <c r="G54" s="3"/>
      <c r="H54" s="7"/>
      <c r="I54" s="31"/>
      <c r="J54" s="3"/>
      <c r="K54" s="7"/>
      <c r="L54" s="7"/>
      <c r="M54" s="7"/>
      <c r="N54" s="7"/>
      <c r="O54" s="7"/>
      <c r="Q54" s="133">
        <f t="shared" si="36"/>
        <v>0</v>
      </c>
      <c r="R54" s="133">
        <f t="shared" si="36"/>
        <v>0</v>
      </c>
      <c r="S54" s="133">
        <f t="shared" si="36"/>
        <v>0</v>
      </c>
      <c r="T54" s="133">
        <f t="shared" si="36"/>
        <v>0</v>
      </c>
      <c r="U54" s="133">
        <f t="shared" si="36"/>
        <v>0</v>
      </c>
    </row>
    <row r="55" spans="3:21" s="97" customFormat="1" x14ac:dyDescent="0.2">
      <c r="C55" s="4" t="s">
        <v>4</v>
      </c>
      <c r="D55" s="4" t="s">
        <v>0</v>
      </c>
      <c r="E55" s="4" t="s">
        <v>93</v>
      </c>
      <c r="F55" s="156" t="str">
        <f t="shared" si="35"/>
        <v>ContractsVPNS4 upgrade</v>
      </c>
      <c r="G55" s="3"/>
      <c r="H55" s="7"/>
      <c r="I55" s="31"/>
      <c r="J55" s="3"/>
      <c r="K55" s="7"/>
      <c r="L55" s="7"/>
      <c r="M55" s="7"/>
      <c r="N55" s="7"/>
      <c r="O55" s="7"/>
      <c r="Q55" s="133">
        <f t="shared" si="36"/>
        <v>0</v>
      </c>
      <c r="R55" s="133">
        <f t="shared" si="36"/>
        <v>0</v>
      </c>
      <c r="S55" s="133">
        <f t="shared" si="36"/>
        <v>0</v>
      </c>
      <c r="T55" s="133">
        <f t="shared" si="36"/>
        <v>0</v>
      </c>
      <c r="U55" s="133">
        <f t="shared" si="36"/>
        <v>0</v>
      </c>
    </row>
    <row r="56" spans="3:21" s="97" customFormat="1" x14ac:dyDescent="0.2">
      <c r="C56" s="4" t="s">
        <v>87</v>
      </c>
      <c r="D56" s="4" t="s">
        <v>92</v>
      </c>
      <c r="E56" s="4" t="s">
        <v>93</v>
      </c>
      <c r="F56" s="156" t="str">
        <f t="shared" si="35"/>
        <v>Labour OpexVPN opexS4 upgrade</v>
      </c>
      <c r="G56" s="3"/>
      <c r="H56" s="7"/>
      <c r="I56" s="31"/>
      <c r="J56" s="3"/>
      <c r="K56" s="7"/>
      <c r="L56" s="7"/>
      <c r="M56" s="7"/>
      <c r="N56" s="7"/>
      <c r="O56" s="7"/>
      <c r="Q56" s="133">
        <f t="shared" si="36"/>
        <v>0</v>
      </c>
      <c r="R56" s="133">
        <f t="shared" si="36"/>
        <v>0</v>
      </c>
      <c r="S56" s="133">
        <f t="shared" si="36"/>
        <v>0</v>
      </c>
      <c r="T56" s="133">
        <f t="shared" si="36"/>
        <v>0</v>
      </c>
      <c r="U56" s="133">
        <f t="shared" si="36"/>
        <v>0</v>
      </c>
    </row>
    <row r="57" spans="3:21" s="97" customFormat="1" x14ac:dyDescent="0.2">
      <c r="C57" s="4" t="s">
        <v>88</v>
      </c>
      <c r="D57" s="4" t="s">
        <v>90</v>
      </c>
      <c r="E57" s="4" t="s">
        <v>93</v>
      </c>
      <c r="F57" s="156" t="str">
        <f t="shared" si="35"/>
        <v>Materials OpexVPN OpexS4 upgrade</v>
      </c>
      <c r="G57" s="3"/>
      <c r="H57" s="7"/>
      <c r="I57" s="31"/>
      <c r="J57" s="3"/>
      <c r="K57" s="7"/>
      <c r="L57" s="7"/>
      <c r="M57" s="7"/>
      <c r="N57" s="7"/>
      <c r="O57" s="7"/>
      <c r="Q57" s="133">
        <f t="shared" si="36"/>
        <v>0</v>
      </c>
      <c r="R57" s="133">
        <f t="shared" si="36"/>
        <v>0</v>
      </c>
      <c r="S57" s="133">
        <f t="shared" si="36"/>
        <v>0</v>
      </c>
      <c r="T57" s="133">
        <f t="shared" si="36"/>
        <v>0</v>
      </c>
      <c r="U57" s="133">
        <f t="shared" si="36"/>
        <v>0</v>
      </c>
    </row>
    <row r="58" spans="3:21" s="97" customFormat="1" x14ac:dyDescent="0.2">
      <c r="C58" s="4" t="s">
        <v>86</v>
      </c>
      <c r="D58" s="4" t="s">
        <v>90</v>
      </c>
      <c r="E58" s="4" t="s">
        <v>93</v>
      </c>
      <c r="F58" s="156" t="str">
        <f t="shared" si="35"/>
        <v>Contracts OpexVPN OpexS4 upgrade</v>
      </c>
      <c r="G58" s="3"/>
      <c r="H58" s="7"/>
      <c r="I58" s="31"/>
      <c r="J58" s="3"/>
      <c r="K58" s="7"/>
      <c r="L58" s="7"/>
      <c r="M58" s="7"/>
      <c r="N58" s="7"/>
      <c r="O58" s="7"/>
      <c r="Q58" s="133">
        <f t="shared" si="36"/>
        <v>0</v>
      </c>
      <c r="R58" s="133">
        <f t="shared" si="36"/>
        <v>0</v>
      </c>
      <c r="S58" s="133">
        <f t="shared" si="36"/>
        <v>0</v>
      </c>
      <c r="T58" s="133">
        <f t="shared" si="36"/>
        <v>1709598.3264156526</v>
      </c>
      <c r="U58" s="133">
        <f t="shared" si="36"/>
        <v>1709598.3264156526</v>
      </c>
    </row>
    <row r="59" spans="3:21" s="97" customFormat="1" x14ac:dyDescent="0.2">
      <c r="C59" s="4" t="s">
        <v>2</v>
      </c>
      <c r="D59" s="4" t="s">
        <v>54</v>
      </c>
      <c r="E59" s="4" t="s">
        <v>93</v>
      </c>
      <c r="F59" s="156" t="str">
        <f t="shared" si="35"/>
        <v>LabourUES4 upgrade</v>
      </c>
      <c r="G59" s="3"/>
      <c r="H59" s="7"/>
      <c r="I59" s="31"/>
      <c r="J59" s="3"/>
      <c r="K59" s="7"/>
      <c r="L59" s="7"/>
      <c r="M59" s="7"/>
      <c r="N59" s="7"/>
      <c r="O59" s="7"/>
      <c r="Q59" s="133">
        <f t="shared" si="36"/>
        <v>0</v>
      </c>
      <c r="R59" s="133">
        <f t="shared" si="36"/>
        <v>0</v>
      </c>
      <c r="S59" s="133">
        <f t="shared" si="36"/>
        <v>0</v>
      </c>
      <c r="T59" s="133">
        <f t="shared" si="36"/>
        <v>893890.58835452574</v>
      </c>
      <c r="U59" s="133">
        <f t="shared" si="36"/>
        <v>0</v>
      </c>
    </row>
    <row r="60" spans="3:21" s="97" customFormat="1" x14ac:dyDescent="0.2">
      <c r="C60" s="4" t="s">
        <v>1</v>
      </c>
      <c r="D60" s="4" t="s">
        <v>54</v>
      </c>
      <c r="E60" s="4" t="s">
        <v>93</v>
      </c>
      <c r="F60" s="156" t="str">
        <f t="shared" si="35"/>
        <v>MaterialsUES4 upgrade</v>
      </c>
      <c r="G60" s="3"/>
      <c r="H60" s="7"/>
      <c r="I60" s="31"/>
      <c r="J60" s="3"/>
      <c r="K60" s="7"/>
      <c r="L60" s="7"/>
      <c r="M60" s="7"/>
      <c r="N60" s="7"/>
      <c r="O60" s="7"/>
      <c r="Q60" s="133">
        <f t="shared" si="36"/>
        <v>0</v>
      </c>
      <c r="R60" s="133">
        <f t="shared" si="36"/>
        <v>0</v>
      </c>
      <c r="S60" s="133">
        <f t="shared" si="36"/>
        <v>0</v>
      </c>
      <c r="T60" s="133">
        <f t="shared" si="36"/>
        <v>0</v>
      </c>
      <c r="U60" s="133">
        <f t="shared" si="36"/>
        <v>0</v>
      </c>
    </row>
    <row r="61" spans="3:21" s="97" customFormat="1" x14ac:dyDescent="0.2">
      <c r="C61" s="4" t="s">
        <v>4</v>
      </c>
      <c r="D61" s="4" t="s">
        <v>54</v>
      </c>
      <c r="E61" s="4" t="s">
        <v>93</v>
      </c>
      <c r="F61" s="156" t="str">
        <f t="shared" si="35"/>
        <v>ContractsUES4 upgrade</v>
      </c>
      <c r="G61" s="3"/>
      <c r="H61" s="7"/>
      <c r="I61" s="31"/>
      <c r="J61" s="3"/>
      <c r="K61" s="7"/>
      <c r="L61" s="7"/>
      <c r="M61" s="7"/>
      <c r="N61" s="7"/>
      <c r="O61" s="7"/>
      <c r="Q61" s="133">
        <f t="shared" si="36"/>
        <v>0</v>
      </c>
      <c r="R61" s="133">
        <f t="shared" si="36"/>
        <v>0</v>
      </c>
      <c r="S61" s="133">
        <f t="shared" si="36"/>
        <v>0</v>
      </c>
      <c r="T61" s="133">
        <f t="shared" si="36"/>
        <v>0</v>
      </c>
      <c r="U61" s="133">
        <f t="shared" si="36"/>
        <v>0</v>
      </c>
    </row>
    <row r="62" spans="3:21" s="97" customFormat="1" x14ac:dyDescent="0.2">
      <c r="C62" s="4" t="s">
        <v>87</v>
      </c>
      <c r="D62" s="4" t="s">
        <v>91</v>
      </c>
      <c r="E62" s="4" t="s">
        <v>93</v>
      </c>
      <c r="F62" s="156" t="str">
        <f t="shared" si="35"/>
        <v>Labour OpexUE OpexS4 upgrade</v>
      </c>
      <c r="G62" s="3"/>
      <c r="H62" s="7"/>
      <c r="I62" s="31"/>
      <c r="J62" s="3"/>
      <c r="K62" s="7"/>
      <c r="L62" s="7"/>
      <c r="M62" s="7"/>
      <c r="N62" s="7"/>
      <c r="O62" s="7"/>
      <c r="Q62" s="133">
        <f t="shared" si="36"/>
        <v>0</v>
      </c>
      <c r="R62" s="133">
        <f t="shared" si="36"/>
        <v>0</v>
      </c>
      <c r="S62" s="133">
        <f t="shared" si="36"/>
        <v>0</v>
      </c>
      <c r="T62" s="133">
        <f t="shared" si="36"/>
        <v>0</v>
      </c>
      <c r="U62" s="133">
        <f t="shared" si="36"/>
        <v>0</v>
      </c>
    </row>
    <row r="63" spans="3:21" s="97" customFormat="1" x14ac:dyDescent="0.2">
      <c r="C63" s="4" t="s">
        <v>89</v>
      </c>
      <c r="D63" s="4" t="s">
        <v>91</v>
      </c>
      <c r="E63" s="4" t="s">
        <v>93</v>
      </c>
      <c r="F63" s="156" t="str">
        <f t="shared" si="35"/>
        <v>Materials opexUE OpexS4 upgrade</v>
      </c>
      <c r="G63" s="3"/>
      <c r="H63" s="7"/>
      <c r="I63" s="31"/>
      <c r="J63" s="3"/>
      <c r="K63" s="7"/>
      <c r="L63" s="7"/>
      <c r="M63" s="7"/>
      <c r="N63" s="7"/>
      <c r="O63" s="7"/>
      <c r="Q63" s="133">
        <f t="shared" si="36"/>
        <v>0</v>
      </c>
      <c r="R63" s="133">
        <f t="shared" si="36"/>
        <v>0</v>
      </c>
      <c r="S63" s="133">
        <f t="shared" si="36"/>
        <v>0</v>
      </c>
      <c r="T63" s="133">
        <f t="shared" si="36"/>
        <v>0</v>
      </c>
      <c r="U63" s="133">
        <f t="shared" si="36"/>
        <v>0</v>
      </c>
    </row>
    <row r="64" spans="3:21" s="97" customFormat="1" x14ac:dyDescent="0.2">
      <c r="C64" s="4" t="s">
        <v>86</v>
      </c>
      <c r="D64" s="4" t="s">
        <v>91</v>
      </c>
      <c r="E64" s="4" t="s">
        <v>93</v>
      </c>
      <c r="F64" s="156" t="str">
        <f t="shared" si="35"/>
        <v>Contracts OpexUE OpexS4 upgrade</v>
      </c>
      <c r="G64" s="3"/>
      <c r="H64" s="7"/>
      <c r="I64" s="31"/>
      <c r="J64" s="3"/>
      <c r="K64" s="7"/>
      <c r="L64" s="7"/>
      <c r="M64" s="7"/>
      <c r="N64" s="7"/>
      <c r="O64" s="7"/>
      <c r="Q64" s="133">
        <f t="shared" si="36"/>
        <v>0</v>
      </c>
      <c r="R64" s="133">
        <f t="shared" si="36"/>
        <v>0</v>
      </c>
      <c r="S64" s="133">
        <f t="shared" si="36"/>
        <v>0</v>
      </c>
      <c r="T64" s="133">
        <f t="shared" si="36"/>
        <v>1563657.0058679751</v>
      </c>
      <c r="U64" s="133">
        <f t="shared" si="36"/>
        <v>1563657.0058679751</v>
      </c>
    </row>
    <row r="65" spans="3:23" x14ac:dyDescent="0.2">
      <c r="C65" s="10" t="s">
        <v>82</v>
      </c>
      <c r="D65" s="10"/>
      <c r="E65" s="10"/>
      <c r="F65" s="10"/>
      <c r="G65" s="3"/>
      <c r="H65" s="10"/>
      <c r="I65" s="14"/>
      <c r="J65" s="3"/>
      <c r="K65" s="10"/>
      <c r="L65" s="10"/>
      <c r="M65" s="10"/>
      <c r="N65" s="10"/>
      <c r="O65" s="10"/>
      <c r="Q65" s="11">
        <f>SUM(Q40:Q64)</f>
        <v>1785175.0816992717</v>
      </c>
      <c r="R65" s="11">
        <f t="shared" ref="R65:U65" si="37">SUM(R40:R64)</f>
        <v>2978766.5961784925</v>
      </c>
      <c r="S65" s="11">
        <f t="shared" si="37"/>
        <v>1785175.0816992717</v>
      </c>
      <c r="T65" s="11">
        <f t="shared" si="37"/>
        <v>5061036.5089926794</v>
      </c>
      <c r="U65" s="11">
        <f t="shared" si="37"/>
        <v>3273255.3322836277</v>
      </c>
      <c r="V65" s="42"/>
      <c r="W65" s="97"/>
    </row>
    <row r="66" spans="3:23" x14ac:dyDescent="0.2">
      <c r="C66" s="28"/>
      <c r="D66" s="28"/>
      <c r="E66" s="28"/>
      <c r="F66" s="28"/>
      <c r="G66" s="3"/>
      <c r="H66" s="28"/>
      <c r="I66" s="29"/>
      <c r="J66" s="3"/>
      <c r="K66" s="28"/>
      <c r="L66" s="28"/>
      <c r="M66" s="28"/>
      <c r="N66" s="28"/>
      <c r="O66" s="28"/>
      <c r="Q66" s="43"/>
      <c r="R66" s="43"/>
      <c r="S66" s="43"/>
      <c r="T66" s="43"/>
      <c r="U66" s="43"/>
      <c r="V66" s="42"/>
      <c r="W66" s="97"/>
    </row>
    <row r="67" spans="3:23" x14ac:dyDescent="0.2">
      <c r="C67" s="98" t="s">
        <v>12</v>
      </c>
      <c r="D67" s="98"/>
      <c r="E67" s="98"/>
      <c r="F67" s="98"/>
      <c r="G67" s="3"/>
      <c r="H67" s="98"/>
      <c r="I67" s="98"/>
      <c r="J67" s="3"/>
      <c r="K67" s="98"/>
      <c r="L67" s="98"/>
      <c r="M67" s="98"/>
      <c r="N67" s="98"/>
      <c r="O67" s="98"/>
      <c r="Q67" s="163">
        <f>Q34-Q65</f>
        <v>0</v>
      </c>
      <c r="R67" s="163">
        <f>R34-R65</f>
        <v>0</v>
      </c>
      <c r="S67" s="163">
        <f>S34-S65</f>
        <v>0</v>
      </c>
      <c r="T67" s="163">
        <f>T34-T65</f>
        <v>0</v>
      </c>
      <c r="U67" s="163">
        <f>U34-U65</f>
        <v>0</v>
      </c>
      <c r="V67" s="97"/>
      <c r="W67" s="163">
        <f>SUM(Q67:U67)</f>
        <v>0</v>
      </c>
    </row>
    <row r="69" spans="3:23" ht="12.75" customHeight="1" x14ac:dyDescent="0.2">
      <c r="C69" s="162" t="str">
        <f>"NPV ($ "&amp;Assumptions!$B$17&amp;")"</f>
        <v>NPV ($ 2020/21)</v>
      </c>
      <c r="D69" s="137"/>
      <c r="E69" s="159">
        <f>NPV(Assumptions!$B$6,$Q$65:$U$65)</f>
        <v>13603136.002458734</v>
      </c>
      <c r="G69" s="3"/>
      <c r="J69" s="3"/>
      <c r="P69" s="3"/>
    </row>
  </sheetData>
  <sortState ref="B72:B74">
    <sortCondition ref="B72:B74"/>
  </sortState>
  <conditionalFormatting sqref="W35">
    <cfRule type="expression" dxfId="21" priority="5">
      <formula>ABS(W35)&gt;0.001</formula>
    </cfRule>
  </conditionalFormatting>
  <conditionalFormatting sqref="Q35:U35">
    <cfRule type="expression" dxfId="20" priority="4">
      <formula>ABS(Q35)&gt;0.001</formula>
    </cfRule>
  </conditionalFormatting>
  <conditionalFormatting sqref="Q67:U67">
    <cfRule type="expression" dxfId="19" priority="2">
      <formula>ABS(Q67)&gt;0.001</formula>
    </cfRule>
  </conditionalFormatting>
  <conditionalFormatting sqref="W67">
    <cfRule type="expression" dxfId="18" priority="1">
      <formula>ABS(W67)&gt;0.001</formula>
    </cfRule>
  </conditionalFormatting>
  <dataValidations disablePrompts="1" count="3">
    <dataValidation type="list" allowBlank="1" showInputMessage="1" showErrorMessage="1" sqref="E16:E17 E10:E13 E20:E23">
      <formula1>"CapEx, OpEx"</formula1>
    </dataValidation>
    <dataValidation type="list" allowBlank="1" showInputMessage="1" showErrorMessage="1" sqref="F10:F13 F16:F17 F20:F23">
      <formula1>"Labour, Materials, Contracts, Labour Opex, Materials Opex, Contracts Opex"</formula1>
    </dataValidation>
    <dataValidation type="list" allowBlank="1" showInputMessage="1" showErrorMessage="1" sqref="D20:D23 D16:D17 D10:D13">
      <formula1>"VPN, UE, All, VPN Opex, UE Opex"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I84"/>
  <sheetViews>
    <sheetView showGridLines="0" topLeftCell="A49" zoomScale="90" zoomScaleNormal="90" workbookViewId="0">
      <selection activeCell="A49" sqref="A49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97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21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16" t="b">
        <f>SUM(W7:W49)=0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97"/>
      <c r="C7" s="118" t="s">
        <v>44</v>
      </c>
      <c r="D7" s="118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97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97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ht="12.75" customHeight="1" x14ac:dyDescent="0.2">
      <c r="A9" s="97"/>
      <c r="B9" s="97"/>
      <c r="C9" s="97"/>
      <c r="D9" s="4"/>
      <c r="E9" s="97"/>
      <c r="F9" s="97"/>
      <c r="G9" s="20"/>
      <c r="H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1:26" ht="12.75" customHeight="1" x14ac:dyDescent="0.2">
      <c r="A10" s="7" t="str">
        <f>IF(ISBLANK(B10),"",1+MAX(A$6:A9))</f>
        <v/>
      </c>
      <c r="C10" s="105" t="s">
        <v>49</v>
      </c>
      <c r="D10" s="106" t="s">
        <v>0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09"/>
      <c r="L10" s="125">
        <v>22000</v>
      </c>
      <c r="M10" s="125"/>
      <c r="N10" s="125"/>
      <c r="O10" s="109"/>
      <c r="P10" s="3"/>
      <c r="Q10" s="8">
        <f t="shared" ref="Q10:U18" si="0">K10*$H10</f>
        <v>0</v>
      </c>
      <c r="R10" s="8">
        <f t="shared" si="0"/>
        <v>2695000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 t="str">
        <f>IF(ISBLANK(B11),"",1+MAX(A$6:A10))</f>
        <v/>
      </c>
      <c r="C11" s="105" t="s">
        <v>50</v>
      </c>
      <c r="D11" s="106" t="s">
        <v>0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09"/>
      <c r="L11" s="126"/>
      <c r="M11" s="126">
        <v>40000</v>
      </c>
      <c r="N11" s="126"/>
      <c r="O11" s="109"/>
      <c r="P11" s="3"/>
      <c r="Q11" s="8">
        <f t="shared" si="0"/>
        <v>0</v>
      </c>
      <c r="R11" s="8">
        <f t="shared" si="0"/>
        <v>0</v>
      </c>
      <c r="S11" s="8">
        <f t="shared" si="0"/>
        <v>4900000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 t="str">
        <f>IF(ISBLANK(B12),"",1+MAX(A$6:A11))</f>
        <v/>
      </c>
      <c r="C12" s="105" t="s">
        <v>51</v>
      </c>
      <c r="D12" s="106" t="s">
        <v>0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09"/>
      <c r="L12" s="126"/>
      <c r="M12" s="126"/>
      <c r="N12" s="126">
        <v>25000</v>
      </c>
      <c r="O12" s="109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3062500</v>
      </c>
      <c r="U12" s="8">
        <f t="shared" si="0"/>
        <v>0</v>
      </c>
    </row>
    <row r="13" spans="1:26" ht="12.75" customHeight="1" x14ac:dyDescent="0.25">
      <c r="A13" s="7" t="str">
        <f>IF(ISBLANK(B13),"",1+MAX(A$6:A12))</f>
        <v/>
      </c>
      <c r="C13" s="105" t="s">
        <v>52</v>
      </c>
      <c r="D13" s="106" t="s">
        <v>0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09"/>
      <c r="L13" s="126"/>
      <c r="M13" s="126"/>
      <c r="N13" s="126">
        <v>10000</v>
      </c>
      <c r="O13" s="109"/>
      <c r="P13" s="3"/>
      <c r="Q13" s="8">
        <f t="shared" si="0"/>
        <v>0</v>
      </c>
      <c r="R13" s="8">
        <f t="shared" si="0"/>
        <v>0</v>
      </c>
      <c r="S13" s="8">
        <f t="shared" si="0"/>
        <v>0</v>
      </c>
      <c r="T13" s="8">
        <f t="shared" si="0"/>
        <v>1225000</v>
      </c>
      <c r="U13" s="8">
        <f t="shared" si="0"/>
        <v>0</v>
      </c>
      <c r="Z13"/>
    </row>
    <row r="14" spans="1:26" s="97" customFormat="1" ht="12.75" customHeight="1" x14ac:dyDescent="0.25">
      <c r="A14" s="7"/>
      <c r="C14" s="105" t="s">
        <v>67</v>
      </c>
      <c r="D14" s="106" t="s">
        <v>0</v>
      </c>
      <c r="E14" s="106" t="s">
        <v>5</v>
      </c>
      <c r="F14" s="107" t="s">
        <v>2</v>
      </c>
      <c r="G14" s="3"/>
      <c r="H14" s="108">
        <v>122.5</v>
      </c>
      <c r="I14" s="12" t="s">
        <v>62</v>
      </c>
      <c r="J14" s="3"/>
      <c r="K14" s="109">
        <v>2500</v>
      </c>
      <c r="L14" s="109">
        <v>3500</v>
      </c>
      <c r="M14" s="109"/>
      <c r="N14" s="109"/>
      <c r="O14" s="109">
        <v>3500</v>
      </c>
      <c r="P14" s="3"/>
      <c r="Q14" s="8">
        <f t="shared" ref="Q14" si="1">K14*$H14</f>
        <v>306250</v>
      </c>
      <c r="R14" s="8">
        <f t="shared" ref="R14" si="2">L14*$H14</f>
        <v>428750</v>
      </c>
      <c r="S14" s="8">
        <f t="shared" ref="S14" si="3">M14*$H14</f>
        <v>0</v>
      </c>
      <c r="T14" s="8">
        <f t="shared" ref="T14" si="4">N14*$H14</f>
        <v>0</v>
      </c>
      <c r="U14" s="8">
        <f t="shared" ref="U14" si="5">O14*$H14</f>
        <v>428750</v>
      </c>
      <c r="Z14"/>
    </row>
    <row r="15" spans="1:26" s="97" customFormat="1" ht="12.75" customHeight="1" x14ac:dyDescent="0.25">
      <c r="A15" s="7"/>
      <c r="C15" s="105" t="s">
        <v>49</v>
      </c>
      <c r="D15" s="106" t="s">
        <v>54</v>
      </c>
      <c r="E15" s="106" t="s">
        <v>5</v>
      </c>
      <c r="F15" s="107" t="s">
        <v>2</v>
      </c>
      <c r="G15" s="3"/>
      <c r="H15" s="108">
        <v>122.5</v>
      </c>
      <c r="I15" s="12" t="s">
        <v>62</v>
      </c>
      <c r="J15" s="3"/>
      <c r="K15" s="109"/>
      <c r="L15" s="109">
        <v>15000</v>
      </c>
      <c r="M15" s="109"/>
      <c r="N15" s="109"/>
      <c r="O15" s="109"/>
      <c r="P15" s="3"/>
      <c r="Q15" s="8">
        <f t="shared" si="0"/>
        <v>0</v>
      </c>
      <c r="R15" s="8">
        <f t="shared" si="0"/>
        <v>1837500</v>
      </c>
      <c r="S15" s="8">
        <f t="shared" si="0"/>
        <v>0</v>
      </c>
      <c r="T15" s="8">
        <f t="shared" si="0"/>
        <v>0</v>
      </c>
      <c r="U15" s="8">
        <f t="shared" si="0"/>
        <v>0</v>
      </c>
      <c r="Z15"/>
    </row>
    <row r="16" spans="1:26" s="97" customFormat="1" ht="12.75" customHeight="1" x14ac:dyDescent="0.25">
      <c r="A16" s="7"/>
      <c r="C16" s="105" t="s">
        <v>50</v>
      </c>
      <c r="D16" s="106" t="s">
        <v>54</v>
      </c>
      <c r="E16" s="106" t="s">
        <v>5</v>
      </c>
      <c r="F16" s="107" t="s">
        <v>2</v>
      </c>
      <c r="G16" s="3"/>
      <c r="H16" s="108">
        <v>122.5</v>
      </c>
      <c r="I16" s="12" t="s">
        <v>62</v>
      </c>
      <c r="J16" s="3"/>
      <c r="K16" s="109"/>
      <c r="L16" s="109"/>
      <c r="M16" s="109">
        <v>30000</v>
      </c>
      <c r="N16" s="109"/>
      <c r="O16" s="109"/>
      <c r="P16" s="3"/>
      <c r="Q16" s="8">
        <f t="shared" si="0"/>
        <v>0</v>
      </c>
      <c r="R16" s="8">
        <f t="shared" si="0"/>
        <v>0</v>
      </c>
      <c r="S16" s="8">
        <f t="shared" si="0"/>
        <v>3675000</v>
      </c>
      <c r="T16" s="8">
        <f t="shared" si="0"/>
        <v>0</v>
      </c>
      <c r="U16" s="8">
        <f t="shared" si="0"/>
        <v>0</v>
      </c>
      <c r="Z16"/>
    </row>
    <row r="17" spans="1:26" ht="12.75" customHeight="1" x14ac:dyDescent="0.25">
      <c r="A17" s="7" t="str">
        <f>IF(ISBLANK(B17),"",1+MAX(A$6:A13))</f>
        <v/>
      </c>
      <c r="C17" s="105" t="s">
        <v>51</v>
      </c>
      <c r="D17" s="106" t="s">
        <v>54</v>
      </c>
      <c r="E17" s="106" t="s">
        <v>5</v>
      </c>
      <c r="F17" s="107" t="s">
        <v>2</v>
      </c>
      <c r="G17" s="3"/>
      <c r="H17" s="108">
        <v>122.5</v>
      </c>
      <c r="I17" s="12" t="s">
        <v>62</v>
      </c>
      <c r="J17" s="3"/>
      <c r="K17" s="109"/>
      <c r="L17" s="109"/>
      <c r="M17" s="109"/>
      <c r="N17" s="109">
        <v>20000</v>
      </c>
      <c r="O17" s="109"/>
      <c r="P17" s="3"/>
      <c r="Q17" s="8">
        <f t="shared" si="0"/>
        <v>0</v>
      </c>
      <c r="R17" s="8">
        <f t="shared" si="0"/>
        <v>0</v>
      </c>
      <c r="S17" s="8">
        <f t="shared" si="0"/>
        <v>0</v>
      </c>
      <c r="T17" s="8">
        <f t="shared" si="0"/>
        <v>2450000</v>
      </c>
      <c r="U17" s="8">
        <f t="shared" si="0"/>
        <v>0</v>
      </c>
      <c r="Z17"/>
    </row>
    <row r="18" spans="1:26" ht="12.75" customHeight="1" x14ac:dyDescent="0.25">
      <c r="A18" s="7" t="str">
        <f>IF(ISBLANK(B18),"",1+MAX(A$6:A17))</f>
        <v/>
      </c>
      <c r="C18" s="105" t="s">
        <v>52</v>
      </c>
      <c r="D18" s="106" t="s">
        <v>54</v>
      </c>
      <c r="E18" s="106" t="s">
        <v>5</v>
      </c>
      <c r="F18" s="107" t="s">
        <v>2</v>
      </c>
      <c r="G18" s="3"/>
      <c r="H18" s="108">
        <v>122.5</v>
      </c>
      <c r="I18" s="12" t="s">
        <v>62</v>
      </c>
      <c r="J18" s="3"/>
      <c r="K18" s="109"/>
      <c r="L18" s="111"/>
      <c r="M18" s="109"/>
      <c r="N18" s="109">
        <v>8000</v>
      </c>
      <c r="O18" s="111"/>
      <c r="P18" s="3"/>
      <c r="Q18" s="8">
        <f t="shared" si="0"/>
        <v>0</v>
      </c>
      <c r="R18" s="8">
        <f t="shared" si="0"/>
        <v>0</v>
      </c>
      <c r="S18" s="8">
        <f t="shared" si="0"/>
        <v>0</v>
      </c>
      <c r="T18" s="8">
        <f t="shared" si="0"/>
        <v>980000</v>
      </c>
      <c r="U18" s="8">
        <f t="shared" si="0"/>
        <v>0</v>
      </c>
      <c r="Z18"/>
    </row>
    <row r="19" spans="1:26" s="97" customFormat="1" ht="12.75" customHeight="1" x14ac:dyDescent="0.25">
      <c r="A19" s="7"/>
      <c r="C19" s="112" t="s">
        <v>67</v>
      </c>
      <c r="D19" s="106" t="s">
        <v>54</v>
      </c>
      <c r="E19" s="106" t="s">
        <v>5</v>
      </c>
      <c r="F19" s="107" t="s">
        <v>2</v>
      </c>
      <c r="G19" s="3"/>
      <c r="H19" s="108">
        <v>122.5</v>
      </c>
      <c r="I19" s="12" t="s">
        <v>62</v>
      </c>
      <c r="J19" s="3"/>
      <c r="K19" s="109">
        <v>2500</v>
      </c>
      <c r="L19" s="109">
        <v>3500</v>
      </c>
      <c r="M19" s="109"/>
      <c r="N19" s="109"/>
      <c r="O19" s="109">
        <v>3500</v>
      </c>
      <c r="P19" s="3"/>
      <c r="Q19" s="8">
        <f t="shared" ref="Q19" si="6">K19*$H19</f>
        <v>306250</v>
      </c>
      <c r="R19" s="8">
        <f t="shared" ref="R19" si="7">L19*$H19</f>
        <v>428750</v>
      </c>
      <c r="S19" s="8">
        <f t="shared" ref="S19" si="8">M19*$H19</f>
        <v>0</v>
      </c>
      <c r="T19" s="8">
        <f t="shared" ref="T19" si="9">N19*$H19</f>
        <v>0</v>
      </c>
      <c r="U19" s="8">
        <f t="shared" ref="U19" si="10">O19*$H19</f>
        <v>428750</v>
      </c>
      <c r="Z19"/>
    </row>
    <row r="20" spans="1:26" ht="12.75" customHeight="1" x14ac:dyDescent="0.25">
      <c r="A20" s="7" t="str">
        <f>IF(ISBLANK(B20),"",1+MAX(A$6:A19))</f>
        <v/>
      </c>
      <c r="C20" s="97"/>
      <c r="E20" s="97"/>
      <c r="F20" s="97"/>
      <c r="G20" s="3"/>
      <c r="H20" s="97"/>
      <c r="J20" s="3"/>
      <c r="K20" s="97"/>
      <c r="L20" s="97"/>
      <c r="M20" s="97"/>
      <c r="N20" s="97"/>
      <c r="O20" s="97"/>
      <c r="P20" s="3"/>
      <c r="Q20" s="97"/>
      <c r="R20" s="97"/>
      <c r="S20" s="97"/>
      <c r="T20" s="97"/>
      <c r="U20" s="97"/>
      <c r="Z20"/>
    </row>
    <row r="21" spans="1:26" ht="12.75" customHeight="1" x14ac:dyDescent="0.25">
      <c r="A21" s="7"/>
      <c r="C21" s="97"/>
      <c r="E21" s="97"/>
      <c r="F21" s="97"/>
      <c r="G21" s="3"/>
      <c r="H21" s="97"/>
      <c r="J21" s="3"/>
      <c r="K21" s="97"/>
      <c r="L21" s="97"/>
      <c r="M21" s="97"/>
      <c r="N21" s="97"/>
      <c r="O21" s="97"/>
      <c r="P21" s="3"/>
      <c r="Q21" s="97"/>
      <c r="R21" s="97"/>
      <c r="S21" s="97"/>
      <c r="T21" s="97"/>
      <c r="U21" s="97"/>
      <c r="Z21"/>
    </row>
    <row r="22" spans="1:26" ht="12.75" customHeight="1" x14ac:dyDescent="0.25">
      <c r="A22" s="7" t="str">
        <f>IF(ISBLANK(B22),"",1+MAX(A$6:A21))</f>
        <v/>
      </c>
      <c r="C22" s="105" t="s">
        <v>50</v>
      </c>
      <c r="D22" s="106" t="s">
        <v>0</v>
      </c>
      <c r="E22" s="106" t="s">
        <v>5</v>
      </c>
      <c r="F22" s="107" t="s">
        <v>1</v>
      </c>
      <c r="G22" s="3"/>
      <c r="H22" s="128">
        <v>2000000</v>
      </c>
      <c r="I22" s="12" t="s">
        <v>63</v>
      </c>
      <c r="J22" s="3"/>
      <c r="K22" s="110"/>
      <c r="L22" s="111"/>
      <c r="M22" s="111">
        <v>1</v>
      </c>
      <c r="N22" s="111"/>
      <c r="O22" s="110"/>
      <c r="P22" s="3"/>
      <c r="Q22" s="8">
        <f t="shared" ref="Q22:U25" si="11">K22*$H22</f>
        <v>0</v>
      </c>
      <c r="R22" s="8">
        <f t="shared" si="11"/>
        <v>0</v>
      </c>
      <c r="S22" s="8">
        <f t="shared" si="11"/>
        <v>2000000</v>
      </c>
      <c r="T22" s="8">
        <f t="shared" si="11"/>
        <v>0</v>
      </c>
      <c r="U22" s="8">
        <f t="shared" si="11"/>
        <v>0</v>
      </c>
      <c r="Z22"/>
    </row>
    <row r="23" spans="1:26" s="97" customFormat="1" ht="12.75" customHeight="1" x14ac:dyDescent="0.25">
      <c r="A23" s="7"/>
      <c r="C23" s="105" t="s">
        <v>67</v>
      </c>
      <c r="D23" s="106" t="s">
        <v>0</v>
      </c>
      <c r="E23" s="106" t="s">
        <v>5</v>
      </c>
      <c r="F23" s="107" t="s">
        <v>1</v>
      </c>
      <c r="G23" s="3"/>
      <c r="H23" s="128">
        <v>75000</v>
      </c>
      <c r="I23" s="12"/>
      <c r="J23" s="3"/>
      <c r="K23" s="127">
        <v>2.3333333333333335</v>
      </c>
      <c r="L23" s="127">
        <v>4.333333333333333</v>
      </c>
      <c r="M23" s="111"/>
      <c r="N23" s="111"/>
      <c r="O23" s="111">
        <v>4.3</v>
      </c>
      <c r="P23" s="3"/>
      <c r="Q23" s="8">
        <f t="shared" ref="Q23:Q24" si="12">K23*$H23</f>
        <v>175000</v>
      </c>
      <c r="R23" s="8">
        <f t="shared" ref="R23:R24" si="13">L23*$H23</f>
        <v>325000</v>
      </c>
      <c r="S23" s="8">
        <f t="shared" ref="S23:S24" si="14">M23*$H23</f>
        <v>0</v>
      </c>
      <c r="T23" s="8">
        <f t="shared" ref="T23:T24" si="15">N23*$H23</f>
        <v>0</v>
      </c>
      <c r="U23" s="8">
        <f t="shared" ref="U23:U24" si="16">O23*$H23</f>
        <v>322500</v>
      </c>
      <c r="Z23"/>
    </row>
    <row r="24" spans="1:26" s="97" customFormat="1" ht="12.75" customHeight="1" x14ac:dyDescent="0.25">
      <c r="A24" s="7"/>
      <c r="C24" s="105" t="s">
        <v>50</v>
      </c>
      <c r="D24" s="106" t="s">
        <v>54</v>
      </c>
      <c r="E24" s="106" t="s">
        <v>5</v>
      </c>
      <c r="F24" s="107" t="s">
        <v>1</v>
      </c>
      <c r="G24" s="3"/>
      <c r="H24" s="128">
        <v>2000000</v>
      </c>
      <c r="I24" s="12"/>
      <c r="J24" s="3"/>
      <c r="K24" s="110"/>
      <c r="L24" s="111"/>
      <c r="M24" s="111">
        <v>1</v>
      </c>
      <c r="N24" s="111"/>
      <c r="O24" s="111"/>
      <c r="P24" s="3"/>
      <c r="Q24" s="8">
        <f t="shared" si="12"/>
        <v>0</v>
      </c>
      <c r="R24" s="8">
        <f t="shared" si="13"/>
        <v>0</v>
      </c>
      <c r="S24" s="8">
        <f t="shared" si="14"/>
        <v>2000000</v>
      </c>
      <c r="T24" s="8">
        <f t="shared" si="15"/>
        <v>0</v>
      </c>
      <c r="U24" s="8">
        <f t="shared" si="16"/>
        <v>0</v>
      </c>
      <c r="Z24"/>
    </row>
    <row r="25" spans="1:26" s="97" customFormat="1" ht="12.75" customHeight="1" x14ac:dyDescent="0.2">
      <c r="A25" s="7"/>
      <c r="C25" s="105" t="s">
        <v>67</v>
      </c>
      <c r="D25" s="106" t="s">
        <v>54</v>
      </c>
      <c r="E25" s="106" t="s">
        <v>5</v>
      </c>
      <c r="F25" s="107" t="s">
        <v>1</v>
      </c>
      <c r="G25" s="3"/>
      <c r="H25" s="128">
        <v>75000</v>
      </c>
      <c r="I25" s="12" t="s">
        <v>63</v>
      </c>
      <c r="J25" s="3"/>
      <c r="K25" s="127">
        <v>2.3333333333333335</v>
      </c>
      <c r="L25" s="127">
        <v>4.333333333333333</v>
      </c>
      <c r="M25" s="111"/>
      <c r="N25" s="111"/>
      <c r="O25" s="111">
        <v>4.3</v>
      </c>
      <c r="P25" s="3"/>
      <c r="Q25" s="8">
        <f t="shared" si="11"/>
        <v>175000</v>
      </c>
      <c r="R25" s="8">
        <f t="shared" si="11"/>
        <v>325000</v>
      </c>
      <c r="S25" s="8">
        <f t="shared" si="11"/>
        <v>0</v>
      </c>
      <c r="T25" s="8">
        <f t="shared" si="11"/>
        <v>0</v>
      </c>
      <c r="U25" s="8">
        <f t="shared" si="11"/>
        <v>322500</v>
      </c>
    </row>
    <row r="26" spans="1:26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Z26"/>
    </row>
    <row r="27" spans="1:26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6" ht="12.75" customHeight="1" x14ac:dyDescent="0.2">
      <c r="A28" s="7" t="str">
        <f>IF(ISBLANK(B28),"",1+MAX(A$6:A27))</f>
        <v/>
      </c>
      <c r="C28" s="105" t="s">
        <v>49</v>
      </c>
      <c r="D28" s="106" t="s">
        <v>0</v>
      </c>
      <c r="E28" s="106" t="s">
        <v>5</v>
      </c>
      <c r="F28" s="107" t="s">
        <v>4</v>
      </c>
      <c r="G28" s="97"/>
      <c r="H28" s="6"/>
      <c r="I28" s="13" t="s">
        <v>42</v>
      </c>
      <c r="J28" s="97"/>
      <c r="K28" s="121"/>
      <c r="L28" s="121">
        <v>2000000</v>
      </c>
      <c r="M28" s="121"/>
      <c r="N28" s="121"/>
      <c r="O28" s="121"/>
      <c r="P28" s="97"/>
      <c r="Q28" s="8">
        <f t="shared" ref="Q28:U37" si="17">K28</f>
        <v>0</v>
      </c>
      <c r="R28" s="8">
        <f t="shared" si="17"/>
        <v>2000000</v>
      </c>
      <c r="S28" s="8">
        <f t="shared" si="17"/>
        <v>0</v>
      </c>
      <c r="T28" s="8">
        <f t="shared" si="17"/>
        <v>0</v>
      </c>
      <c r="U28" s="8">
        <f t="shared" si="17"/>
        <v>0</v>
      </c>
    </row>
    <row r="29" spans="1:26" s="97" customFormat="1" ht="12.75" customHeight="1" x14ac:dyDescent="0.2">
      <c r="A29" s="7"/>
      <c r="C29" s="105" t="s">
        <v>50</v>
      </c>
      <c r="D29" s="106" t="s">
        <v>0</v>
      </c>
      <c r="E29" s="106" t="s">
        <v>5</v>
      </c>
      <c r="F29" s="107" t="s">
        <v>4</v>
      </c>
      <c r="H29" s="6"/>
      <c r="I29" s="13" t="s">
        <v>42</v>
      </c>
      <c r="K29" s="121"/>
      <c r="L29" s="121"/>
      <c r="M29" s="121">
        <v>7550000</v>
      </c>
      <c r="N29" s="121"/>
      <c r="O29" s="121"/>
      <c r="Q29" s="8">
        <f t="shared" si="17"/>
        <v>0</v>
      </c>
      <c r="R29" s="8">
        <f t="shared" si="17"/>
        <v>0</v>
      </c>
      <c r="S29" s="8">
        <f t="shared" si="17"/>
        <v>7550000</v>
      </c>
      <c r="T29" s="8">
        <f t="shared" si="17"/>
        <v>0</v>
      </c>
      <c r="U29" s="8">
        <f t="shared" si="17"/>
        <v>0</v>
      </c>
    </row>
    <row r="30" spans="1:26" s="97" customFormat="1" ht="12.75" customHeight="1" x14ac:dyDescent="0.2">
      <c r="A30" s="7"/>
      <c r="C30" s="105" t="s">
        <v>51</v>
      </c>
      <c r="D30" s="106" t="s">
        <v>0</v>
      </c>
      <c r="E30" s="106" t="s">
        <v>5</v>
      </c>
      <c r="F30" s="107" t="s">
        <v>4</v>
      </c>
      <c r="H30" s="6"/>
      <c r="I30" s="13" t="s">
        <v>42</v>
      </c>
      <c r="K30" s="121"/>
      <c r="L30" s="121"/>
      <c r="M30" s="121"/>
      <c r="N30" s="121">
        <v>3500000</v>
      </c>
      <c r="O30" s="121"/>
      <c r="Q30" s="8">
        <f t="shared" si="17"/>
        <v>0</v>
      </c>
      <c r="R30" s="8">
        <f t="shared" si="17"/>
        <v>0</v>
      </c>
      <c r="S30" s="8">
        <f t="shared" si="17"/>
        <v>0</v>
      </c>
      <c r="T30" s="8">
        <f t="shared" si="17"/>
        <v>3500000</v>
      </c>
      <c r="U30" s="8">
        <f t="shared" si="17"/>
        <v>0</v>
      </c>
    </row>
    <row r="31" spans="1:26" ht="12.75" customHeight="1" x14ac:dyDescent="0.2">
      <c r="A31" s="7"/>
      <c r="C31" s="105" t="s">
        <v>52</v>
      </c>
      <c r="D31" s="106" t="s">
        <v>0</v>
      </c>
      <c r="E31" s="106" t="s">
        <v>5</v>
      </c>
      <c r="F31" s="107" t="s">
        <v>4</v>
      </c>
      <c r="G31" s="97"/>
      <c r="H31" s="6"/>
      <c r="I31" s="13" t="s">
        <v>42</v>
      </c>
      <c r="J31" s="97"/>
      <c r="K31" s="121"/>
      <c r="L31" s="121"/>
      <c r="M31" s="121"/>
      <c r="N31" s="121">
        <v>2000000</v>
      </c>
      <c r="O31" s="121"/>
      <c r="P31" s="97"/>
      <c r="Q31" s="8">
        <f t="shared" si="17"/>
        <v>0</v>
      </c>
      <c r="R31" s="8">
        <f t="shared" si="17"/>
        <v>0</v>
      </c>
      <c r="S31" s="8">
        <f t="shared" si="17"/>
        <v>0</v>
      </c>
      <c r="T31" s="8">
        <f t="shared" si="17"/>
        <v>2000000</v>
      </c>
      <c r="U31" s="8">
        <f t="shared" si="17"/>
        <v>0</v>
      </c>
    </row>
    <row r="32" spans="1:26" s="97" customFormat="1" ht="12.75" customHeight="1" x14ac:dyDescent="0.2">
      <c r="A32" s="7"/>
      <c r="C32" s="105" t="s">
        <v>53</v>
      </c>
      <c r="D32" s="106" t="s">
        <v>0</v>
      </c>
      <c r="E32" s="106" t="s">
        <v>5</v>
      </c>
      <c r="F32" s="107" t="s">
        <v>4</v>
      </c>
      <c r="H32" s="6"/>
      <c r="I32" s="13" t="s">
        <v>42</v>
      </c>
      <c r="K32" s="121">
        <v>375000</v>
      </c>
      <c r="L32" s="121">
        <v>675000</v>
      </c>
      <c r="M32" s="121"/>
      <c r="N32" s="121"/>
      <c r="O32" s="121">
        <v>675000</v>
      </c>
      <c r="Q32" s="8">
        <f t="shared" si="17"/>
        <v>375000</v>
      </c>
      <c r="R32" s="8">
        <f t="shared" si="17"/>
        <v>675000</v>
      </c>
      <c r="S32" s="8">
        <f t="shared" si="17"/>
        <v>0</v>
      </c>
      <c r="T32" s="8">
        <f t="shared" si="17"/>
        <v>0</v>
      </c>
      <c r="U32" s="8">
        <f t="shared" si="17"/>
        <v>675000</v>
      </c>
    </row>
    <row r="33" spans="1:26" s="97" customFormat="1" ht="12.75" customHeight="1" x14ac:dyDescent="0.2">
      <c r="A33" s="7"/>
      <c r="C33" s="105" t="s">
        <v>49</v>
      </c>
      <c r="D33" s="106" t="s">
        <v>54</v>
      </c>
      <c r="E33" s="106" t="s">
        <v>5</v>
      </c>
      <c r="F33" s="107" t="s">
        <v>4</v>
      </c>
      <c r="H33" s="6"/>
      <c r="I33" s="13" t="s">
        <v>42</v>
      </c>
      <c r="K33" s="121"/>
      <c r="L33" s="121">
        <v>1000000</v>
      </c>
      <c r="M33" s="121"/>
      <c r="N33" s="121"/>
      <c r="O33" s="121"/>
      <c r="Q33" s="8">
        <f t="shared" si="17"/>
        <v>0</v>
      </c>
      <c r="R33" s="8">
        <f t="shared" si="17"/>
        <v>1000000</v>
      </c>
      <c r="S33" s="8">
        <f t="shared" si="17"/>
        <v>0</v>
      </c>
      <c r="T33" s="8">
        <f t="shared" si="17"/>
        <v>0</v>
      </c>
      <c r="U33" s="8">
        <f t="shared" si="17"/>
        <v>0</v>
      </c>
    </row>
    <row r="34" spans="1:26" s="97" customFormat="1" ht="12.75" customHeight="1" x14ac:dyDescent="0.2">
      <c r="A34" s="7"/>
      <c r="C34" s="105" t="s">
        <v>50</v>
      </c>
      <c r="D34" s="106" t="s">
        <v>54</v>
      </c>
      <c r="E34" s="106" t="s">
        <v>5</v>
      </c>
      <c r="F34" s="107" t="s">
        <v>4</v>
      </c>
      <c r="H34" s="6"/>
      <c r="I34" s="13" t="s">
        <v>42</v>
      </c>
      <c r="K34" s="121"/>
      <c r="L34" s="121"/>
      <c r="M34" s="121">
        <v>5050000</v>
      </c>
      <c r="N34" s="121"/>
      <c r="O34" s="121"/>
      <c r="Q34" s="8">
        <f t="shared" si="17"/>
        <v>0</v>
      </c>
      <c r="R34" s="8">
        <f t="shared" si="17"/>
        <v>0</v>
      </c>
      <c r="S34" s="8">
        <f t="shared" si="17"/>
        <v>5050000</v>
      </c>
      <c r="T34" s="8">
        <f t="shared" si="17"/>
        <v>0</v>
      </c>
      <c r="U34" s="8">
        <f t="shared" si="17"/>
        <v>0</v>
      </c>
    </row>
    <row r="35" spans="1:26" s="97" customFormat="1" ht="12.75" customHeight="1" x14ac:dyDescent="0.2">
      <c r="A35" s="7"/>
      <c r="C35" s="105" t="s">
        <v>51</v>
      </c>
      <c r="D35" s="106" t="s">
        <v>54</v>
      </c>
      <c r="E35" s="106" t="s">
        <v>5</v>
      </c>
      <c r="F35" s="107" t="s">
        <v>4</v>
      </c>
      <c r="H35" s="6"/>
      <c r="I35" s="13" t="s">
        <v>42</v>
      </c>
      <c r="K35" s="121"/>
      <c r="L35" s="121"/>
      <c r="M35" s="121"/>
      <c r="N35" s="121">
        <v>2700000</v>
      </c>
      <c r="O35" s="121"/>
      <c r="Q35" s="8">
        <f t="shared" si="17"/>
        <v>0</v>
      </c>
      <c r="R35" s="8">
        <f t="shared" si="17"/>
        <v>0</v>
      </c>
      <c r="S35" s="8">
        <f t="shared" si="17"/>
        <v>0</v>
      </c>
      <c r="T35" s="8">
        <f t="shared" si="17"/>
        <v>2700000</v>
      </c>
      <c r="U35" s="8">
        <f t="shared" si="17"/>
        <v>0</v>
      </c>
    </row>
    <row r="36" spans="1:26" s="97" customFormat="1" ht="12.75" customHeight="1" x14ac:dyDescent="0.2">
      <c r="A36" s="7"/>
      <c r="C36" s="105" t="s">
        <v>52</v>
      </c>
      <c r="D36" s="106" t="s">
        <v>54</v>
      </c>
      <c r="E36" s="106" t="s">
        <v>5</v>
      </c>
      <c r="F36" s="107" t="s">
        <v>4</v>
      </c>
      <c r="H36" s="6"/>
      <c r="I36" s="13" t="s">
        <v>42</v>
      </c>
      <c r="K36" s="121"/>
      <c r="L36" s="121"/>
      <c r="M36" s="121"/>
      <c r="N36" s="121">
        <v>1500000</v>
      </c>
      <c r="O36" s="121"/>
      <c r="Q36" s="8">
        <f t="shared" si="17"/>
        <v>0</v>
      </c>
      <c r="R36" s="8">
        <f t="shared" si="17"/>
        <v>0</v>
      </c>
      <c r="S36" s="8">
        <f t="shared" si="17"/>
        <v>0</v>
      </c>
      <c r="T36" s="8">
        <f t="shared" si="17"/>
        <v>1500000</v>
      </c>
      <c r="U36" s="8">
        <f t="shared" si="17"/>
        <v>0</v>
      </c>
    </row>
    <row r="37" spans="1:26" s="97" customFormat="1" ht="12.75" customHeight="1" x14ac:dyDescent="0.2">
      <c r="A37" s="7"/>
      <c r="C37" s="105" t="s">
        <v>53</v>
      </c>
      <c r="D37" s="106" t="s">
        <v>54</v>
      </c>
      <c r="E37" s="106" t="s">
        <v>5</v>
      </c>
      <c r="F37" s="107" t="s">
        <v>4</v>
      </c>
      <c r="H37" s="6"/>
      <c r="I37" s="13" t="s">
        <v>42</v>
      </c>
      <c r="K37" s="121">
        <v>375000</v>
      </c>
      <c r="L37" s="121">
        <v>675000</v>
      </c>
      <c r="M37" s="121"/>
      <c r="N37" s="121"/>
      <c r="O37" s="121">
        <v>675000</v>
      </c>
      <c r="Q37" s="8">
        <f t="shared" si="17"/>
        <v>375000</v>
      </c>
      <c r="R37" s="8">
        <f t="shared" si="17"/>
        <v>675000</v>
      </c>
      <c r="S37" s="8">
        <f t="shared" si="17"/>
        <v>0</v>
      </c>
      <c r="T37" s="8">
        <f t="shared" si="17"/>
        <v>0</v>
      </c>
      <c r="U37" s="8">
        <f t="shared" si="17"/>
        <v>675000</v>
      </c>
    </row>
    <row r="38" spans="1:26" ht="12.75" customHeight="1" x14ac:dyDescent="0.25">
      <c r="G38" s="97"/>
      <c r="J38" s="97"/>
      <c r="P38" s="97"/>
      <c r="Z38"/>
    </row>
    <row r="39" spans="1:26" ht="12.75" customHeight="1" x14ac:dyDescent="0.25">
      <c r="G39" s="97"/>
      <c r="J39" s="97"/>
      <c r="P39" s="97"/>
      <c r="Z39"/>
    </row>
    <row r="40" spans="1:26" ht="12.75" customHeight="1" x14ac:dyDescent="0.25">
      <c r="C40" s="5" t="s">
        <v>13</v>
      </c>
      <c r="D40" s="7"/>
      <c r="G40" s="97"/>
      <c r="J40" s="97"/>
      <c r="P40" s="97"/>
      <c r="Z40"/>
    </row>
    <row r="41" spans="1:26" ht="12.75" customHeight="1" x14ac:dyDescent="0.2">
      <c r="C41" s="28" t="s">
        <v>2</v>
      </c>
      <c r="D41" s="28"/>
      <c r="E41" s="28" t="s">
        <v>5</v>
      </c>
      <c r="F41" s="28"/>
      <c r="G41" s="97"/>
      <c r="H41" s="28"/>
      <c r="I41" s="29"/>
      <c r="J41" s="97"/>
      <c r="K41" s="28"/>
      <c r="L41" s="28"/>
      <c r="M41" s="28"/>
      <c r="N41" s="28"/>
      <c r="O41" s="28"/>
      <c r="P41" s="97"/>
      <c r="Q41" s="30">
        <f t="shared" ref="Q41:U46" si="18">SUMIFS(Q$10:Q$37,$F$10:$F$37,$C41,$E$10:$E$37,$E41)</f>
        <v>612500</v>
      </c>
      <c r="R41" s="30">
        <f t="shared" si="18"/>
        <v>5390000</v>
      </c>
      <c r="S41" s="30">
        <f t="shared" si="18"/>
        <v>8575000</v>
      </c>
      <c r="T41" s="30">
        <f t="shared" si="18"/>
        <v>7717500</v>
      </c>
      <c r="U41" s="30">
        <f t="shared" si="18"/>
        <v>857500</v>
      </c>
    </row>
    <row r="42" spans="1:26" ht="12.75" customHeight="1" x14ac:dyDescent="0.2">
      <c r="C42" s="4" t="s">
        <v>1</v>
      </c>
      <c r="D42" s="4"/>
      <c r="E42" s="4" t="s">
        <v>5</v>
      </c>
      <c r="F42" s="4"/>
      <c r="G42" s="97"/>
      <c r="H42" s="4"/>
      <c r="I42" s="13"/>
      <c r="J42" s="97"/>
      <c r="K42" s="4"/>
      <c r="L42" s="4"/>
      <c r="M42" s="4"/>
      <c r="N42" s="4"/>
      <c r="O42" s="4"/>
      <c r="P42" s="97"/>
      <c r="Q42" s="9">
        <f t="shared" si="18"/>
        <v>350000</v>
      </c>
      <c r="R42" s="9">
        <f t="shared" si="18"/>
        <v>650000</v>
      </c>
      <c r="S42" s="9">
        <f t="shared" si="18"/>
        <v>4000000</v>
      </c>
      <c r="T42" s="9">
        <f t="shared" si="18"/>
        <v>0</v>
      </c>
      <c r="U42" s="9">
        <f t="shared" si="18"/>
        <v>645000</v>
      </c>
    </row>
    <row r="43" spans="1:26" ht="12.75" customHeight="1" x14ac:dyDescent="0.2">
      <c r="C43" s="4" t="s">
        <v>4</v>
      </c>
      <c r="D43" s="4"/>
      <c r="E43" s="4" t="s">
        <v>5</v>
      </c>
      <c r="F43" s="4"/>
      <c r="G43" s="97"/>
      <c r="H43" s="4"/>
      <c r="I43" s="13"/>
      <c r="J43" s="97"/>
      <c r="K43" s="4"/>
      <c r="L43" s="4"/>
      <c r="M43" s="4"/>
      <c r="N43" s="4"/>
      <c r="O43" s="4"/>
      <c r="P43" s="97"/>
      <c r="Q43" s="9">
        <f t="shared" si="18"/>
        <v>750000</v>
      </c>
      <c r="R43" s="9">
        <f t="shared" si="18"/>
        <v>4350000</v>
      </c>
      <c r="S43" s="9">
        <f t="shared" si="18"/>
        <v>12600000</v>
      </c>
      <c r="T43" s="9">
        <f t="shared" si="18"/>
        <v>9700000</v>
      </c>
      <c r="U43" s="9">
        <f t="shared" si="18"/>
        <v>1350000</v>
      </c>
    </row>
    <row r="44" spans="1:26" ht="12.75" customHeight="1" x14ac:dyDescent="0.2">
      <c r="C44" s="4" t="s">
        <v>2</v>
      </c>
      <c r="D44" s="4"/>
      <c r="E44" s="4" t="s">
        <v>41</v>
      </c>
      <c r="F44" s="4"/>
      <c r="G44" s="97"/>
      <c r="H44" s="4"/>
      <c r="I44" s="13"/>
      <c r="J44" s="97"/>
      <c r="K44" s="4"/>
      <c r="L44" s="4"/>
      <c r="M44" s="4"/>
      <c r="N44" s="4"/>
      <c r="O44" s="4"/>
      <c r="P44" s="97"/>
      <c r="Q44" s="9">
        <f t="shared" si="18"/>
        <v>0</v>
      </c>
      <c r="R44" s="9">
        <f t="shared" si="18"/>
        <v>0</v>
      </c>
      <c r="S44" s="9">
        <f t="shared" si="18"/>
        <v>0</v>
      </c>
      <c r="T44" s="9">
        <f t="shared" si="18"/>
        <v>0</v>
      </c>
      <c r="U44" s="9">
        <f t="shared" si="18"/>
        <v>0</v>
      </c>
    </row>
    <row r="45" spans="1:26" ht="12.75" customHeight="1" x14ac:dyDescent="0.2">
      <c r="C45" s="4" t="s">
        <v>1</v>
      </c>
      <c r="D45" s="4"/>
      <c r="E45" s="4" t="s">
        <v>41</v>
      </c>
      <c r="F45" s="4"/>
      <c r="G45" s="97"/>
      <c r="H45" s="4"/>
      <c r="I45" s="13"/>
      <c r="J45" s="97"/>
      <c r="K45" s="4"/>
      <c r="L45" s="4"/>
      <c r="M45" s="4"/>
      <c r="N45" s="4"/>
      <c r="O45" s="4"/>
      <c r="P45" s="97"/>
      <c r="Q45" s="9">
        <f t="shared" si="18"/>
        <v>0</v>
      </c>
      <c r="R45" s="9">
        <f t="shared" si="18"/>
        <v>0</v>
      </c>
      <c r="S45" s="9">
        <f t="shared" si="18"/>
        <v>0</v>
      </c>
      <c r="T45" s="9">
        <f t="shared" si="18"/>
        <v>0</v>
      </c>
      <c r="U45" s="9">
        <f t="shared" si="18"/>
        <v>0</v>
      </c>
    </row>
    <row r="46" spans="1:26" ht="12.75" customHeight="1" x14ac:dyDescent="0.2">
      <c r="C46" s="4" t="s">
        <v>4</v>
      </c>
      <c r="D46" s="4"/>
      <c r="E46" s="4" t="s">
        <v>41</v>
      </c>
      <c r="F46" s="7"/>
      <c r="G46" s="97"/>
      <c r="H46" s="7"/>
      <c r="I46" s="31"/>
      <c r="J46" s="97"/>
      <c r="K46" s="7"/>
      <c r="L46" s="7"/>
      <c r="M46" s="7"/>
      <c r="N46" s="7"/>
      <c r="O46" s="7"/>
      <c r="P46" s="97"/>
      <c r="Q46" s="9">
        <f t="shared" si="18"/>
        <v>0</v>
      </c>
      <c r="R46" s="9">
        <f t="shared" si="18"/>
        <v>0</v>
      </c>
      <c r="S46" s="9">
        <f t="shared" si="18"/>
        <v>0</v>
      </c>
      <c r="T46" s="9">
        <f t="shared" si="18"/>
        <v>0</v>
      </c>
      <c r="U46" s="9">
        <f t="shared" si="18"/>
        <v>0</v>
      </c>
    </row>
    <row r="47" spans="1:26" ht="12.75" customHeight="1" x14ac:dyDescent="0.2">
      <c r="C47" s="10" t="str">
        <f>"Total Expenditure ($ "&amp;Assumptions!$B$8&amp;")"</f>
        <v>Total Expenditure ($ 2019)</v>
      </c>
      <c r="D47" s="10"/>
      <c r="E47" s="10"/>
      <c r="F47" s="10"/>
      <c r="G47" s="97"/>
      <c r="H47" s="10"/>
      <c r="I47" s="14"/>
      <c r="J47" s="97"/>
      <c r="K47" s="10"/>
      <c r="L47" s="10"/>
      <c r="M47" s="10"/>
      <c r="N47" s="10"/>
      <c r="O47" s="10"/>
      <c r="P47" s="97"/>
      <c r="Q47" s="11">
        <f>SUM(Q41:Q46)</f>
        <v>1712500</v>
      </c>
      <c r="R47" s="11">
        <f t="shared" ref="R47:U47" si="19">SUM(R41:R46)</f>
        <v>10390000</v>
      </c>
      <c r="S47" s="11">
        <f t="shared" si="19"/>
        <v>25175000</v>
      </c>
      <c r="T47" s="11">
        <f t="shared" si="19"/>
        <v>17417500</v>
      </c>
      <c r="U47" s="11">
        <f t="shared" si="19"/>
        <v>2852500</v>
      </c>
      <c r="V47" s="42"/>
      <c r="W47" s="97"/>
      <c r="X47" s="97"/>
      <c r="Y47" s="97"/>
    </row>
    <row r="48" spans="1:26" ht="12.75" customHeight="1" x14ac:dyDescent="0.2">
      <c r="C48" s="28" t="str">
        <f>"Total Expenditure ($ "&amp;Assumptions!B17&amp;")"</f>
        <v>Total Expenditure ($ 2020/21)</v>
      </c>
      <c r="D48" s="28"/>
      <c r="E48" s="28"/>
      <c r="F48" s="28"/>
      <c r="G48" s="97"/>
      <c r="H48" s="28"/>
      <c r="I48" s="29"/>
      <c r="J48" s="97"/>
      <c r="K48" s="28"/>
      <c r="L48" s="28"/>
      <c r="M48" s="28"/>
      <c r="N48" s="28"/>
      <c r="O48" s="28"/>
      <c r="P48" s="97"/>
      <c r="Q48" s="43">
        <f>Q47*Assumptions!$B$18</f>
        <v>1785175.0816992715</v>
      </c>
      <c r="R48" s="43">
        <f>R47*Assumptions!$B$18</f>
        <v>10830930.860645507</v>
      </c>
      <c r="S48" s="43">
        <f>S47*Assumptions!$B$18</f>
        <v>26243376.748484183</v>
      </c>
      <c r="T48" s="43">
        <f>T47*Assumptions!$B$18</f>
        <v>18156663.93313697</v>
      </c>
      <c r="U48" s="43">
        <f>U47*Assumptions!$B$18</f>
        <v>2973554.4061589325</v>
      </c>
      <c r="V48" s="42"/>
      <c r="W48" s="97"/>
      <c r="X48" s="97"/>
      <c r="Y48" s="97"/>
    </row>
    <row r="49" spans="3:35" x14ac:dyDescent="0.2">
      <c r="C49" s="98" t="s">
        <v>12</v>
      </c>
      <c r="D49" s="98"/>
      <c r="E49" s="98"/>
      <c r="F49" s="98"/>
      <c r="G49" s="97"/>
      <c r="H49" s="98"/>
      <c r="I49" s="98"/>
      <c r="J49" s="97"/>
      <c r="K49" s="98"/>
      <c r="L49" s="98"/>
      <c r="M49" s="98"/>
      <c r="N49" s="98"/>
      <c r="O49" s="98"/>
      <c r="P49" s="97"/>
      <c r="Q49" s="99">
        <f>Q47-SUM(Q10:Q37)</f>
        <v>0</v>
      </c>
      <c r="R49" s="99">
        <f>R47-SUM(R10:R37)</f>
        <v>0</v>
      </c>
      <c r="S49" s="99">
        <f>S47-SUM(S10:S37)</f>
        <v>0</v>
      </c>
      <c r="T49" s="99">
        <f>T47-SUM(T10:T37)</f>
        <v>0</v>
      </c>
      <c r="U49" s="99">
        <f>U47-SUM(U10:U37)</f>
        <v>0</v>
      </c>
      <c r="V49" s="97"/>
      <c r="W49" s="99">
        <f>SUM(Q49:U49)</f>
        <v>0</v>
      </c>
      <c r="X49" s="97"/>
      <c r="Y49" s="97"/>
    </row>
    <row r="50" spans="3:35" ht="12.75" customHeight="1" x14ac:dyDescent="0.2">
      <c r="C50" s="97"/>
      <c r="E50" s="97"/>
      <c r="F50" s="97"/>
      <c r="G50" s="97"/>
      <c r="H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</row>
    <row r="52" spans="3:35" ht="12.75" customHeight="1" x14ac:dyDescent="0.2">
      <c r="G52" s="97"/>
      <c r="J52" s="97"/>
      <c r="P52" s="97"/>
    </row>
    <row r="53" spans="3:35" s="97" customFormat="1" ht="12.75" customHeight="1" x14ac:dyDescent="0.2">
      <c r="C53" s="5" t="s">
        <v>75</v>
      </c>
      <c r="D53" s="7"/>
      <c r="G53" s="3"/>
      <c r="I53" s="12"/>
      <c r="J53" s="3"/>
      <c r="P53" s="3"/>
    </row>
    <row r="54" spans="3:35" s="97" customFormat="1" ht="12.75" customHeight="1" x14ac:dyDescent="0.2">
      <c r="C54" s="28" t="s">
        <v>2</v>
      </c>
      <c r="D54" s="148" t="s">
        <v>0</v>
      </c>
      <c r="E54" s="148" t="s">
        <v>67</v>
      </c>
      <c r="F54" s="149" t="str">
        <f t="shared" ref="F54" si="20">C54&amp;D54&amp;E54</f>
        <v>LabourVPNCurrency maintenance</v>
      </c>
      <c r="G54" s="134"/>
      <c r="H54" s="148"/>
      <c r="I54" s="150"/>
      <c r="J54" s="134"/>
      <c r="K54" s="148"/>
      <c r="L54" s="148"/>
      <c r="M54" s="148"/>
      <c r="N54" s="148"/>
      <c r="O54" s="148"/>
      <c r="P54" s="2"/>
      <c r="Q54" s="43">
        <f t="shared" ref="Q54:U65" si="21">SUMIFS(Q$10:Q$37,$F$10:$F$37,$C54,$D$10:$D$37,$D54,$C$10:$C$37,$E54)*Conv_2021</f>
        <v>319246.63869804493</v>
      </c>
      <c r="R54" s="43">
        <f t="shared" si="21"/>
        <v>446945.29417726287</v>
      </c>
      <c r="S54" s="43">
        <f t="shared" si="21"/>
        <v>0</v>
      </c>
      <c r="T54" s="43">
        <f t="shared" si="21"/>
        <v>0</v>
      </c>
      <c r="U54" s="43">
        <f t="shared" si="21"/>
        <v>446945.29417726287</v>
      </c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3:35" s="97" customFormat="1" ht="12.75" customHeight="1" x14ac:dyDescent="0.2">
      <c r="C55" s="4" t="s">
        <v>1</v>
      </c>
      <c r="D55" s="151" t="s">
        <v>0</v>
      </c>
      <c r="E55" s="151" t="s">
        <v>67</v>
      </c>
      <c r="F55" s="152" t="str">
        <f>C55&amp;D55&amp;E55</f>
        <v>MaterialsVPNCurrency maintenance</v>
      </c>
      <c r="G55" s="134"/>
      <c r="H55" s="151"/>
      <c r="I55" s="153"/>
      <c r="J55" s="134"/>
      <c r="K55" s="151"/>
      <c r="L55" s="151"/>
      <c r="M55" s="151"/>
      <c r="N55" s="151"/>
      <c r="O55" s="151"/>
      <c r="P55" s="2"/>
      <c r="Q55" s="133">
        <f t="shared" si="21"/>
        <v>182426.65068459709</v>
      </c>
      <c r="R55" s="133">
        <f t="shared" si="21"/>
        <v>338792.35127139458</v>
      </c>
      <c r="S55" s="133">
        <f t="shared" si="21"/>
        <v>0</v>
      </c>
      <c r="T55" s="133">
        <f t="shared" si="21"/>
        <v>0</v>
      </c>
      <c r="U55" s="133">
        <f t="shared" si="21"/>
        <v>336186.25626161462</v>
      </c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3:35" s="97" customFormat="1" ht="12.75" customHeight="1" x14ac:dyDescent="0.2">
      <c r="C56" s="4" t="s">
        <v>4</v>
      </c>
      <c r="D56" s="151" t="s">
        <v>0</v>
      </c>
      <c r="E56" s="151" t="s">
        <v>67</v>
      </c>
      <c r="F56" s="152" t="str">
        <f t="shared" ref="F56:F78" si="22">C56&amp;D56&amp;E56</f>
        <v>ContractsVPNCurrency maintenance</v>
      </c>
      <c r="G56" s="134"/>
      <c r="H56" s="151"/>
      <c r="I56" s="153"/>
      <c r="J56" s="134"/>
      <c r="K56" s="151"/>
      <c r="L56" s="151"/>
      <c r="M56" s="151"/>
      <c r="N56" s="151"/>
      <c r="O56" s="151"/>
      <c r="P56" s="2"/>
      <c r="Q56" s="133">
        <f t="shared" si="21"/>
        <v>390914.25146699377</v>
      </c>
      <c r="R56" s="133">
        <f t="shared" si="21"/>
        <v>703645.65264058881</v>
      </c>
      <c r="S56" s="133">
        <f t="shared" si="21"/>
        <v>0</v>
      </c>
      <c r="T56" s="133">
        <f t="shared" si="21"/>
        <v>0</v>
      </c>
      <c r="U56" s="133">
        <f t="shared" si="21"/>
        <v>703645.65264058881</v>
      </c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3:35" s="97" customFormat="1" ht="12.75" customHeight="1" x14ac:dyDescent="0.2">
      <c r="C57" s="4" t="s">
        <v>87</v>
      </c>
      <c r="D57" s="151" t="s">
        <v>92</v>
      </c>
      <c r="E57" s="151" t="s">
        <v>67</v>
      </c>
      <c r="F57" s="152" t="str">
        <f t="shared" si="22"/>
        <v>Labour OpexVPN opexCurrency maintenance</v>
      </c>
      <c r="G57" s="134"/>
      <c r="H57" s="151"/>
      <c r="I57" s="153"/>
      <c r="J57" s="134"/>
      <c r="K57" s="151"/>
      <c r="L57" s="151"/>
      <c r="M57" s="151"/>
      <c r="N57" s="151"/>
      <c r="O57" s="151"/>
      <c r="P57" s="2"/>
      <c r="Q57" s="133">
        <f t="shared" si="21"/>
        <v>0</v>
      </c>
      <c r="R57" s="133">
        <f t="shared" si="21"/>
        <v>0</v>
      </c>
      <c r="S57" s="133">
        <f t="shared" si="21"/>
        <v>0</v>
      </c>
      <c r="T57" s="133">
        <f t="shared" si="21"/>
        <v>0</v>
      </c>
      <c r="U57" s="133">
        <f t="shared" si="21"/>
        <v>0</v>
      </c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3:35" s="97" customFormat="1" ht="12.75" customHeight="1" x14ac:dyDescent="0.2">
      <c r="C58" s="4" t="s">
        <v>88</v>
      </c>
      <c r="D58" s="151" t="s">
        <v>90</v>
      </c>
      <c r="E58" s="151" t="s">
        <v>67</v>
      </c>
      <c r="F58" s="152" t="str">
        <f t="shared" si="22"/>
        <v>Materials OpexVPN OpexCurrency maintenance</v>
      </c>
      <c r="G58" s="134"/>
      <c r="H58" s="151"/>
      <c r="I58" s="153"/>
      <c r="J58" s="134"/>
      <c r="K58" s="151"/>
      <c r="L58" s="151"/>
      <c r="M58" s="151"/>
      <c r="N58" s="151"/>
      <c r="O58" s="151"/>
      <c r="P58" s="2"/>
      <c r="Q58" s="133">
        <f t="shared" si="21"/>
        <v>0</v>
      </c>
      <c r="R58" s="133">
        <f t="shared" si="21"/>
        <v>0</v>
      </c>
      <c r="S58" s="133">
        <f t="shared" si="21"/>
        <v>0</v>
      </c>
      <c r="T58" s="133">
        <f t="shared" si="21"/>
        <v>0</v>
      </c>
      <c r="U58" s="133">
        <f t="shared" si="21"/>
        <v>0</v>
      </c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3:35" s="97" customFormat="1" ht="12.75" customHeight="1" x14ac:dyDescent="0.2">
      <c r="C59" s="4" t="s">
        <v>86</v>
      </c>
      <c r="D59" s="151" t="s">
        <v>90</v>
      </c>
      <c r="E59" s="151" t="s">
        <v>67</v>
      </c>
      <c r="F59" s="152" t="str">
        <f t="shared" si="22"/>
        <v>Contracts OpexVPN OpexCurrency maintenance</v>
      </c>
      <c r="G59" s="134"/>
      <c r="H59" s="151"/>
      <c r="I59" s="153"/>
      <c r="J59" s="134"/>
      <c r="K59" s="151"/>
      <c r="L59" s="151"/>
      <c r="M59" s="151"/>
      <c r="N59" s="151"/>
      <c r="O59" s="151"/>
      <c r="P59" s="2"/>
      <c r="Q59" s="133">
        <f t="shared" si="21"/>
        <v>0</v>
      </c>
      <c r="R59" s="133">
        <f t="shared" si="21"/>
        <v>0</v>
      </c>
      <c r="S59" s="133">
        <f t="shared" si="21"/>
        <v>0</v>
      </c>
      <c r="T59" s="133">
        <f t="shared" si="21"/>
        <v>0</v>
      </c>
      <c r="U59" s="133">
        <f t="shared" si="21"/>
        <v>0</v>
      </c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3:35" s="97" customFormat="1" x14ac:dyDescent="0.2">
      <c r="C60" s="4" t="s">
        <v>2</v>
      </c>
      <c r="D60" s="151" t="s">
        <v>54</v>
      </c>
      <c r="E60" s="151" t="s">
        <v>67</v>
      </c>
      <c r="F60" s="152" t="str">
        <f t="shared" si="22"/>
        <v>LabourUECurrency maintenance</v>
      </c>
      <c r="G60" s="134"/>
      <c r="H60" s="151"/>
      <c r="I60" s="153"/>
      <c r="J60" s="134"/>
      <c r="K60" s="151"/>
      <c r="L60" s="151"/>
      <c r="M60" s="151"/>
      <c r="N60" s="151"/>
      <c r="O60" s="151"/>
      <c r="P60" s="2"/>
      <c r="Q60" s="133">
        <f t="shared" si="21"/>
        <v>319246.63869804493</v>
      </c>
      <c r="R60" s="133">
        <f t="shared" si="21"/>
        <v>446945.29417726287</v>
      </c>
      <c r="S60" s="133">
        <f t="shared" si="21"/>
        <v>0</v>
      </c>
      <c r="T60" s="133">
        <f t="shared" si="21"/>
        <v>0</v>
      </c>
      <c r="U60" s="133">
        <f t="shared" si="21"/>
        <v>446945.29417726287</v>
      </c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3:35" s="97" customFormat="1" x14ac:dyDescent="0.2">
      <c r="C61" s="4" t="s">
        <v>1</v>
      </c>
      <c r="D61" s="151" t="s">
        <v>54</v>
      </c>
      <c r="E61" s="151" t="s">
        <v>67</v>
      </c>
      <c r="F61" s="152" t="str">
        <f t="shared" si="22"/>
        <v>MaterialsUECurrency maintenance</v>
      </c>
      <c r="G61" s="134"/>
      <c r="H61" s="151"/>
      <c r="I61" s="153"/>
      <c r="J61" s="134"/>
      <c r="K61" s="151"/>
      <c r="L61" s="151"/>
      <c r="M61" s="151"/>
      <c r="N61" s="151"/>
      <c r="O61" s="151"/>
      <c r="P61" s="2"/>
      <c r="Q61" s="133">
        <f t="shared" si="21"/>
        <v>182426.65068459709</v>
      </c>
      <c r="R61" s="133">
        <f t="shared" si="21"/>
        <v>338792.35127139458</v>
      </c>
      <c r="S61" s="133">
        <f t="shared" si="21"/>
        <v>0</v>
      </c>
      <c r="T61" s="133">
        <f t="shared" si="21"/>
        <v>0</v>
      </c>
      <c r="U61" s="133">
        <f t="shared" si="21"/>
        <v>336186.25626161462</v>
      </c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3:35" s="97" customFormat="1" x14ac:dyDescent="0.2">
      <c r="C62" s="4" t="s">
        <v>4</v>
      </c>
      <c r="D62" s="151" t="s">
        <v>54</v>
      </c>
      <c r="E62" s="151" t="s">
        <v>67</v>
      </c>
      <c r="F62" s="152" t="str">
        <f t="shared" si="22"/>
        <v>ContractsUECurrency maintenance</v>
      </c>
      <c r="G62" s="134"/>
      <c r="H62" s="154"/>
      <c r="I62" s="155"/>
      <c r="J62" s="134"/>
      <c r="K62" s="154"/>
      <c r="L62" s="154"/>
      <c r="M62" s="154"/>
      <c r="N62" s="154"/>
      <c r="O62" s="154"/>
      <c r="P62" s="2"/>
      <c r="Q62" s="133">
        <f t="shared" si="21"/>
        <v>390914.25146699377</v>
      </c>
      <c r="R62" s="133">
        <f t="shared" si="21"/>
        <v>703645.65264058881</v>
      </c>
      <c r="S62" s="133">
        <f t="shared" si="21"/>
        <v>0</v>
      </c>
      <c r="T62" s="133">
        <f t="shared" si="21"/>
        <v>0</v>
      </c>
      <c r="U62" s="133">
        <f t="shared" si="21"/>
        <v>703645.65264058881</v>
      </c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3:35" s="97" customFormat="1" x14ac:dyDescent="0.2">
      <c r="C63" s="4" t="s">
        <v>87</v>
      </c>
      <c r="D63" s="151" t="s">
        <v>91</v>
      </c>
      <c r="E63" s="151" t="s">
        <v>67</v>
      </c>
      <c r="F63" s="152" t="str">
        <f t="shared" si="22"/>
        <v>Labour OpexUE OpexCurrency maintenance</v>
      </c>
      <c r="G63" s="134"/>
      <c r="H63" s="154"/>
      <c r="I63" s="155"/>
      <c r="J63" s="134"/>
      <c r="K63" s="154"/>
      <c r="L63" s="154"/>
      <c r="M63" s="154"/>
      <c r="N63" s="154"/>
      <c r="O63" s="154"/>
      <c r="P63" s="2"/>
      <c r="Q63" s="133">
        <f t="shared" si="21"/>
        <v>0</v>
      </c>
      <c r="R63" s="133">
        <f t="shared" si="21"/>
        <v>0</v>
      </c>
      <c r="S63" s="133">
        <f t="shared" si="21"/>
        <v>0</v>
      </c>
      <c r="T63" s="133">
        <f t="shared" si="21"/>
        <v>0</v>
      </c>
      <c r="U63" s="133">
        <f t="shared" si="21"/>
        <v>0</v>
      </c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3:35" s="97" customFormat="1" x14ac:dyDescent="0.2">
      <c r="C64" s="4" t="s">
        <v>89</v>
      </c>
      <c r="D64" s="151" t="s">
        <v>91</v>
      </c>
      <c r="E64" s="151" t="s">
        <v>67</v>
      </c>
      <c r="F64" s="152" t="str">
        <f t="shared" si="22"/>
        <v>Materials opexUE OpexCurrency maintenance</v>
      </c>
      <c r="G64" s="134"/>
      <c r="H64" s="154"/>
      <c r="I64" s="155"/>
      <c r="J64" s="134"/>
      <c r="K64" s="154"/>
      <c r="L64" s="154"/>
      <c r="M64" s="154"/>
      <c r="N64" s="154"/>
      <c r="O64" s="154"/>
      <c r="P64" s="2"/>
      <c r="Q64" s="133">
        <f t="shared" si="21"/>
        <v>0</v>
      </c>
      <c r="R64" s="133">
        <f t="shared" si="21"/>
        <v>0</v>
      </c>
      <c r="S64" s="133">
        <f t="shared" si="21"/>
        <v>0</v>
      </c>
      <c r="T64" s="133">
        <f t="shared" si="21"/>
        <v>0</v>
      </c>
      <c r="U64" s="133">
        <f t="shared" si="21"/>
        <v>0</v>
      </c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3:35" s="97" customFormat="1" x14ac:dyDescent="0.2">
      <c r="C65" s="4" t="s">
        <v>86</v>
      </c>
      <c r="D65" s="151" t="s">
        <v>91</v>
      </c>
      <c r="E65" s="151" t="s">
        <v>67</v>
      </c>
      <c r="F65" s="152" t="str">
        <f t="shared" si="22"/>
        <v>Contracts OpexUE OpexCurrency maintenance</v>
      </c>
      <c r="G65" s="134"/>
      <c r="H65" s="154"/>
      <c r="I65" s="155"/>
      <c r="J65" s="134"/>
      <c r="K65" s="154"/>
      <c r="L65" s="154"/>
      <c r="M65" s="154"/>
      <c r="N65" s="154"/>
      <c r="O65" s="154"/>
      <c r="P65" s="2"/>
      <c r="Q65" s="133">
        <f t="shared" si="21"/>
        <v>0</v>
      </c>
      <c r="R65" s="133">
        <f t="shared" si="21"/>
        <v>0</v>
      </c>
      <c r="S65" s="133">
        <f t="shared" si="21"/>
        <v>0</v>
      </c>
      <c r="T65" s="133">
        <f t="shared" si="21"/>
        <v>0</v>
      </c>
      <c r="U65" s="133">
        <f t="shared" si="21"/>
        <v>0</v>
      </c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3:35" s="97" customFormat="1" x14ac:dyDescent="0.2">
      <c r="C66" s="4"/>
      <c r="D66" s="151"/>
      <c r="E66" s="151"/>
      <c r="F66" s="156"/>
      <c r="G66" s="134"/>
      <c r="H66" s="154"/>
      <c r="I66" s="155"/>
      <c r="J66" s="134"/>
      <c r="K66" s="154"/>
      <c r="L66" s="154"/>
      <c r="M66" s="154"/>
      <c r="N66" s="154"/>
      <c r="O66" s="154"/>
      <c r="P66" s="2"/>
      <c r="Q66" s="133"/>
      <c r="R66" s="133"/>
      <c r="S66" s="133"/>
      <c r="T66" s="133"/>
      <c r="U66" s="133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3:35" s="97" customFormat="1" x14ac:dyDescent="0.2">
      <c r="C67" s="4" t="s">
        <v>2</v>
      </c>
      <c r="D67" s="151" t="s">
        <v>0</v>
      </c>
      <c r="E67" s="151" t="s">
        <v>93</v>
      </c>
      <c r="F67" s="156" t="str">
        <f t="shared" si="22"/>
        <v>LabourVPNS4 upgrade</v>
      </c>
      <c r="G67" s="134"/>
      <c r="H67" s="154"/>
      <c r="I67" s="155"/>
      <c r="J67" s="134"/>
      <c r="K67" s="154"/>
      <c r="L67" s="154"/>
      <c r="M67" s="154"/>
      <c r="N67" s="154"/>
      <c r="O67" s="154"/>
      <c r="P67" s="2"/>
      <c r="Q67" s="133">
        <f t="shared" ref="Q67:U78" si="23">SUMIFS(Q$10:Q$37,$F$10:$F$37,$C67,$D$10:$D$37,$D67)*Conv_2021-Q54</f>
        <v>0</v>
      </c>
      <c r="R67" s="133">
        <f t="shared" si="23"/>
        <v>2809370.4205427952</v>
      </c>
      <c r="S67" s="133">
        <f t="shared" si="23"/>
        <v>5107946.2191687189</v>
      </c>
      <c r="T67" s="133">
        <f t="shared" si="23"/>
        <v>4469452.9417726286</v>
      </c>
      <c r="U67" s="133">
        <f t="shared" si="23"/>
        <v>0</v>
      </c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3:35" s="97" customFormat="1" x14ac:dyDescent="0.2">
      <c r="C68" s="4" t="s">
        <v>1</v>
      </c>
      <c r="D68" s="151" t="s">
        <v>0</v>
      </c>
      <c r="E68" s="151" t="s">
        <v>93</v>
      </c>
      <c r="F68" s="156" t="str">
        <f t="shared" si="22"/>
        <v>MaterialsVPNS4 upgrade</v>
      </c>
      <c r="G68" s="134"/>
      <c r="H68" s="154"/>
      <c r="I68" s="155"/>
      <c r="J68" s="134"/>
      <c r="K68" s="154"/>
      <c r="L68" s="154"/>
      <c r="M68" s="154"/>
      <c r="N68" s="154"/>
      <c r="O68" s="154"/>
      <c r="P68" s="2"/>
      <c r="Q68" s="133">
        <f t="shared" si="23"/>
        <v>0</v>
      </c>
      <c r="R68" s="133">
        <f t="shared" si="23"/>
        <v>0</v>
      </c>
      <c r="S68" s="133">
        <f t="shared" si="23"/>
        <v>2084876.0078239667</v>
      </c>
      <c r="T68" s="133">
        <f t="shared" si="23"/>
        <v>0</v>
      </c>
      <c r="U68" s="133">
        <f t="shared" si="23"/>
        <v>0</v>
      </c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3:35" s="97" customFormat="1" x14ac:dyDescent="0.2">
      <c r="C69" s="4" t="s">
        <v>4</v>
      </c>
      <c r="D69" s="151" t="s">
        <v>0</v>
      </c>
      <c r="E69" s="151" t="s">
        <v>93</v>
      </c>
      <c r="F69" s="156" t="str">
        <f t="shared" si="22"/>
        <v>ContractsVPNS4 upgrade</v>
      </c>
      <c r="G69" s="134"/>
      <c r="H69" s="154"/>
      <c r="I69" s="155"/>
      <c r="J69" s="134"/>
      <c r="K69" s="154"/>
      <c r="L69" s="154"/>
      <c r="M69" s="154"/>
      <c r="N69" s="154"/>
      <c r="O69" s="154"/>
      <c r="P69" s="2"/>
      <c r="Q69" s="133">
        <f t="shared" si="23"/>
        <v>0</v>
      </c>
      <c r="R69" s="133">
        <f t="shared" si="23"/>
        <v>2084876.0078239667</v>
      </c>
      <c r="S69" s="133">
        <f t="shared" si="23"/>
        <v>7870406.9295354746</v>
      </c>
      <c r="T69" s="133">
        <f t="shared" si="23"/>
        <v>5733409.0215159087</v>
      </c>
      <c r="U69" s="133">
        <f t="shared" si="23"/>
        <v>0</v>
      </c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3:35" s="97" customFormat="1" x14ac:dyDescent="0.2">
      <c r="C70" s="4" t="s">
        <v>87</v>
      </c>
      <c r="D70" s="151" t="s">
        <v>92</v>
      </c>
      <c r="E70" s="151" t="s">
        <v>93</v>
      </c>
      <c r="F70" s="156" t="str">
        <f t="shared" si="22"/>
        <v>Labour OpexVPN opexS4 upgrade</v>
      </c>
      <c r="G70" s="134"/>
      <c r="H70" s="154"/>
      <c r="I70" s="155"/>
      <c r="J70" s="134"/>
      <c r="K70" s="154"/>
      <c r="L70" s="154"/>
      <c r="M70" s="154"/>
      <c r="N70" s="154"/>
      <c r="O70" s="154"/>
      <c r="P70" s="2"/>
      <c r="Q70" s="133">
        <f t="shared" si="23"/>
        <v>0</v>
      </c>
      <c r="R70" s="133">
        <f t="shared" si="23"/>
        <v>0</v>
      </c>
      <c r="S70" s="133">
        <f t="shared" si="23"/>
        <v>0</v>
      </c>
      <c r="T70" s="133">
        <f t="shared" si="23"/>
        <v>0</v>
      </c>
      <c r="U70" s="133">
        <f t="shared" si="23"/>
        <v>0</v>
      </c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3:35" s="97" customFormat="1" x14ac:dyDescent="0.2">
      <c r="C71" s="4" t="s">
        <v>88</v>
      </c>
      <c r="D71" s="151" t="s">
        <v>90</v>
      </c>
      <c r="E71" s="151" t="s">
        <v>93</v>
      </c>
      <c r="F71" s="156" t="str">
        <f t="shared" si="22"/>
        <v>Materials OpexVPN OpexS4 upgrade</v>
      </c>
      <c r="G71" s="134"/>
      <c r="H71" s="154"/>
      <c r="I71" s="155"/>
      <c r="J71" s="134"/>
      <c r="K71" s="154"/>
      <c r="L71" s="154"/>
      <c r="M71" s="154"/>
      <c r="N71" s="154"/>
      <c r="O71" s="154"/>
      <c r="P71" s="2"/>
      <c r="Q71" s="133">
        <f t="shared" si="23"/>
        <v>0</v>
      </c>
      <c r="R71" s="133">
        <f t="shared" si="23"/>
        <v>0</v>
      </c>
      <c r="S71" s="133">
        <f t="shared" si="23"/>
        <v>0</v>
      </c>
      <c r="T71" s="133">
        <f t="shared" si="23"/>
        <v>0</v>
      </c>
      <c r="U71" s="133">
        <f t="shared" si="23"/>
        <v>0</v>
      </c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3:35" s="97" customFormat="1" x14ac:dyDescent="0.2">
      <c r="C72" s="4" t="s">
        <v>86</v>
      </c>
      <c r="D72" s="151" t="s">
        <v>90</v>
      </c>
      <c r="E72" s="151" t="s">
        <v>93</v>
      </c>
      <c r="F72" s="156" t="str">
        <f t="shared" si="22"/>
        <v>Contracts OpexVPN OpexS4 upgrade</v>
      </c>
      <c r="G72" s="134"/>
      <c r="H72" s="154"/>
      <c r="I72" s="155"/>
      <c r="J72" s="134"/>
      <c r="K72" s="154"/>
      <c r="L72" s="154"/>
      <c r="M72" s="154"/>
      <c r="N72" s="154"/>
      <c r="O72" s="154"/>
      <c r="P72" s="2"/>
      <c r="Q72" s="133">
        <f t="shared" si="23"/>
        <v>0</v>
      </c>
      <c r="R72" s="133">
        <f t="shared" si="23"/>
        <v>0</v>
      </c>
      <c r="S72" s="133">
        <f t="shared" si="23"/>
        <v>0</v>
      </c>
      <c r="T72" s="133">
        <f t="shared" si="23"/>
        <v>0</v>
      </c>
      <c r="U72" s="133">
        <f t="shared" si="23"/>
        <v>0</v>
      </c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3:35" s="97" customFormat="1" x14ac:dyDescent="0.2">
      <c r="C73" s="4" t="s">
        <v>2</v>
      </c>
      <c r="D73" s="151" t="s">
        <v>54</v>
      </c>
      <c r="E73" s="151" t="s">
        <v>93</v>
      </c>
      <c r="F73" s="156" t="str">
        <f t="shared" si="22"/>
        <v>LabourUES4 upgrade</v>
      </c>
      <c r="G73" s="134"/>
      <c r="H73" s="154"/>
      <c r="I73" s="155"/>
      <c r="J73" s="134"/>
      <c r="K73" s="154"/>
      <c r="L73" s="154"/>
      <c r="M73" s="154"/>
      <c r="N73" s="154"/>
      <c r="O73" s="154"/>
      <c r="P73" s="2"/>
      <c r="Q73" s="133">
        <f t="shared" si="23"/>
        <v>0</v>
      </c>
      <c r="R73" s="133">
        <f t="shared" si="23"/>
        <v>1915479.8321882694</v>
      </c>
      <c r="S73" s="133">
        <f t="shared" si="23"/>
        <v>3830959.6643765387</v>
      </c>
      <c r="T73" s="133">
        <f t="shared" si="23"/>
        <v>3575562.353418103</v>
      </c>
      <c r="U73" s="133">
        <f t="shared" si="23"/>
        <v>0</v>
      </c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3:35" s="97" customFormat="1" x14ac:dyDescent="0.2">
      <c r="C74" s="4" t="s">
        <v>1</v>
      </c>
      <c r="D74" s="151" t="s">
        <v>54</v>
      </c>
      <c r="E74" s="151" t="s">
        <v>93</v>
      </c>
      <c r="F74" s="156" t="str">
        <f t="shared" si="22"/>
        <v>MaterialsUES4 upgrade</v>
      </c>
      <c r="G74" s="134"/>
      <c r="H74" s="154"/>
      <c r="I74" s="155"/>
      <c r="J74" s="134"/>
      <c r="K74" s="154"/>
      <c r="L74" s="154"/>
      <c r="M74" s="154"/>
      <c r="N74" s="154"/>
      <c r="O74" s="154"/>
      <c r="P74" s="2"/>
      <c r="Q74" s="133">
        <f t="shared" si="23"/>
        <v>0</v>
      </c>
      <c r="R74" s="133">
        <f t="shared" si="23"/>
        <v>0</v>
      </c>
      <c r="S74" s="133">
        <f t="shared" si="23"/>
        <v>2084876.0078239667</v>
      </c>
      <c r="T74" s="133">
        <f t="shared" si="23"/>
        <v>0</v>
      </c>
      <c r="U74" s="133">
        <f t="shared" si="23"/>
        <v>0</v>
      </c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3:35" s="97" customFormat="1" x14ac:dyDescent="0.2">
      <c r="C75" s="4" t="s">
        <v>4</v>
      </c>
      <c r="D75" s="151" t="s">
        <v>54</v>
      </c>
      <c r="E75" s="151" t="s">
        <v>93</v>
      </c>
      <c r="F75" s="156" t="str">
        <f t="shared" si="22"/>
        <v>ContractsUES4 upgrade</v>
      </c>
      <c r="G75" s="134"/>
      <c r="H75" s="154"/>
      <c r="I75" s="155"/>
      <c r="J75" s="134"/>
      <c r="K75" s="154"/>
      <c r="L75" s="154"/>
      <c r="M75" s="154"/>
      <c r="N75" s="154"/>
      <c r="O75" s="154"/>
      <c r="P75" s="2"/>
      <c r="Q75" s="133">
        <f t="shared" si="23"/>
        <v>0</v>
      </c>
      <c r="R75" s="133">
        <f t="shared" si="23"/>
        <v>1042438.0039119835</v>
      </c>
      <c r="S75" s="133">
        <f t="shared" si="23"/>
        <v>5264311.9197555156</v>
      </c>
      <c r="T75" s="133">
        <f t="shared" si="23"/>
        <v>4378239.6164303301</v>
      </c>
      <c r="U75" s="133">
        <f t="shared" si="23"/>
        <v>0</v>
      </c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3:35" s="97" customFormat="1" x14ac:dyDescent="0.2">
      <c r="C76" s="4" t="s">
        <v>87</v>
      </c>
      <c r="D76" s="151" t="s">
        <v>91</v>
      </c>
      <c r="E76" s="151" t="s">
        <v>93</v>
      </c>
      <c r="F76" s="156" t="str">
        <f t="shared" si="22"/>
        <v>Labour OpexUE OpexS4 upgrade</v>
      </c>
      <c r="G76" s="134"/>
      <c r="H76" s="154"/>
      <c r="I76" s="155"/>
      <c r="J76" s="134"/>
      <c r="K76" s="154"/>
      <c r="L76" s="154"/>
      <c r="M76" s="154"/>
      <c r="N76" s="154"/>
      <c r="O76" s="154"/>
      <c r="P76" s="2"/>
      <c r="Q76" s="133">
        <f t="shared" si="23"/>
        <v>0</v>
      </c>
      <c r="R76" s="133">
        <f t="shared" si="23"/>
        <v>0</v>
      </c>
      <c r="S76" s="133">
        <f t="shared" si="23"/>
        <v>0</v>
      </c>
      <c r="T76" s="133">
        <f t="shared" si="23"/>
        <v>0</v>
      </c>
      <c r="U76" s="133">
        <f t="shared" si="23"/>
        <v>0</v>
      </c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3:35" s="97" customFormat="1" x14ac:dyDescent="0.2">
      <c r="C77" s="4" t="s">
        <v>89</v>
      </c>
      <c r="D77" s="151" t="s">
        <v>91</v>
      </c>
      <c r="E77" s="151" t="s">
        <v>93</v>
      </c>
      <c r="F77" s="156" t="str">
        <f t="shared" si="22"/>
        <v>Materials opexUE OpexS4 upgrade</v>
      </c>
      <c r="G77" s="134"/>
      <c r="H77" s="154"/>
      <c r="I77" s="155"/>
      <c r="J77" s="134"/>
      <c r="K77" s="154"/>
      <c r="L77" s="154"/>
      <c r="M77" s="154"/>
      <c r="N77" s="154"/>
      <c r="O77" s="154"/>
      <c r="P77" s="2"/>
      <c r="Q77" s="133">
        <f t="shared" si="23"/>
        <v>0</v>
      </c>
      <c r="R77" s="133">
        <f t="shared" si="23"/>
        <v>0</v>
      </c>
      <c r="S77" s="133">
        <f t="shared" si="23"/>
        <v>0</v>
      </c>
      <c r="T77" s="133">
        <f t="shared" si="23"/>
        <v>0</v>
      </c>
      <c r="U77" s="133">
        <f t="shared" si="23"/>
        <v>0</v>
      </c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3:35" s="97" customFormat="1" x14ac:dyDescent="0.2">
      <c r="C78" s="4" t="s">
        <v>86</v>
      </c>
      <c r="D78" s="151" t="s">
        <v>91</v>
      </c>
      <c r="E78" s="151" t="s">
        <v>93</v>
      </c>
      <c r="F78" s="156" t="str">
        <f t="shared" si="22"/>
        <v>Contracts OpexUE OpexS4 upgrade</v>
      </c>
      <c r="G78" s="134"/>
      <c r="H78" s="154"/>
      <c r="I78" s="155"/>
      <c r="J78" s="134"/>
      <c r="K78" s="154"/>
      <c r="L78" s="154"/>
      <c r="M78" s="154"/>
      <c r="N78" s="154"/>
      <c r="O78" s="154"/>
      <c r="P78" s="2"/>
      <c r="Q78" s="133">
        <f t="shared" si="23"/>
        <v>0</v>
      </c>
      <c r="R78" s="133">
        <f t="shared" si="23"/>
        <v>0</v>
      </c>
      <c r="S78" s="133">
        <f t="shared" si="23"/>
        <v>0</v>
      </c>
      <c r="T78" s="133">
        <f t="shared" si="23"/>
        <v>0</v>
      </c>
      <c r="U78" s="133">
        <f t="shared" si="23"/>
        <v>0</v>
      </c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3:35" s="97" customFormat="1" x14ac:dyDescent="0.2">
      <c r="C79" s="10" t="s">
        <v>82</v>
      </c>
      <c r="D79" s="10"/>
      <c r="E79" s="10"/>
      <c r="F79" s="10"/>
      <c r="G79" s="3"/>
      <c r="H79" s="10"/>
      <c r="I79" s="14"/>
      <c r="J79" s="3"/>
      <c r="K79" s="10"/>
      <c r="L79" s="10"/>
      <c r="M79" s="10"/>
      <c r="N79" s="10"/>
      <c r="O79" s="10"/>
      <c r="Q79" s="11">
        <f>SUM(Q54:Q78)</f>
        <v>1785175.0816992717</v>
      </c>
      <c r="R79" s="11">
        <f t="shared" ref="R79:U79" si="24">SUM(R54:R78)</f>
        <v>10830930.860645507</v>
      </c>
      <c r="S79" s="11">
        <f t="shared" si="24"/>
        <v>26243376.748484179</v>
      </c>
      <c r="T79" s="11">
        <f t="shared" si="24"/>
        <v>18156663.93313697</v>
      </c>
      <c r="U79" s="11">
        <f t="shared" si="24"/>
        <v>2973554.4061589325</v>
      </c>
      <c r="V79" s="42"/>
    </row>
    <row r="80" spans="3:35" s="97" customFormat="1" x14ac:dyDescent="0.2">
      <c r="C80" s="28"/>
      <c r="D80" s="28"/>
      <c r="E80" s="28"/>
      <c r="F80" s="28"/>
      <c r="G80" s="3"/>
      <c r="H80" s="28"/>
      <c r="I80" s="29"/>
      <c r="J80" s="3"/>
      <c r="K80" s="28"/>
      <c r="L80" s="28"/>
      <c r="M80" s="28"/>
      <c r="N80" s="28"/>
      <c r="O80" s="28"/>
      <c r="Q80" s="43"/>
      <c r="R80" s="43"/>
      <c r="S80" s="43"/>
      <c r="T80" s="43"/>
      <c r="U80" s="43"/>
      <c r="V80" s="42"/>
    </row>
    <row r="81" spans="3:25" s="97" customFormat="1" x14ac:dyDescent="0.2">
      <c r="C81" s="98" t="s">
        <v>12</v>
      </c>
      <c r="D81" s="98"/>
      <c r="E81" s="98"/>
      <c r="F81" s="98"/>
      <c r="G81" s="3"/>
      <c r="H81" s="98"/>
      <c r="I81" s="98"/>
      <c r="J81" s="3"/>
      <c r="K81" s="98"/>
      <c r="L81" s="98"/>
      <c r="M81" s="98"/>
      <c r="N81" s="98"/>
      <c r="O81" s="98"/>
      <c r="Q81" s="99">
        <f>Q48-Q79</f>
        <v>0</v>
      </c>
      <c r="R81" s="99">
        <f>R48-R79</f>
        <v>0</v>
      </c>
      <c r="S81" s="99">
        <f>S48-S79</f>
        <v>0</v>
      </c>
      <c r="T81" s="99">
        <f>T48-T79</f>
        <v>0</v>
      </c>
      <c r="U81" s="99">
        <f>U48-U79</f>
        <v>0</v>
      </c>
      <c r="W81" s="99">
        <f>SUM(Q81:U81)</f>
        <v>0</v>
      </c>
    </row>
    <row r="84" spans="3:25" ht="12.75" customHeight="1" x14ac:dyDescent="0.2">
      <c r="C84" s="137" t="str">
        <f>"NPV ($ "&amp;Assumptions!$B$17&amp;")"</f>
        <v>NPV ($ 2020/21)</v>
      </c>
      <c r="D84" s="137"/>
      <c r="E84" s="138">
        <f>NPV(Assumptions!$B$6,$Q$79:$U$79)</f>
        <v>55074372.093764178</v>
      </c>
      <c r="F84" s="39"/>
      <c r="G84" s="97"/>
      <c r="H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</row>
  </sheetData>
  <conditionalFormatting sqref="W49">
    <cfRule type="expression" dxfId="17" priority="6">
      <formula>ABS(W49)&gt;0.001</formula>
    </cfRule>
  </conditionalFormatting>
  <conditionalFormatting sqref="Q49:U49">
    <cfRule type="expression" dxfId="16" priority="5">
      <formula>ABS(Q49)&gt;0.001</formula>
    </cfRule>
  </conditionalFormatting>
  <conditionalFormatting sqref="Q81:U81">
    <cfRule type="expression" dxfId="15" priority="2">
      <formula>ABS(Q81)&gt;0.001</formula>
    </cfRule>
  </conditionalFormatting>
  <conditionalFormatting sqref="W81">
    <cfRule type="expression" dxfId="14" priority="1">
      <formula>ABS(W81)&gt;0.001</formula>
    </cfRule>
  </conditionalFormatting>
  <dataValidations count="3">
    <dataValidation type="list" allowBlank="1" showInputMessage="1" showErrorMessage="1" sqref="F28:F37 F10:F19 F22:F25">
      <formula1>"Labour, Materials, Contracts"</formula1>
    </dataValidation>
    <dataValidation type="list" allowBlank="1" showInputMessage="1" showErrorMessage="1" sqref="E28:E37 E10:E19 E22:E25">
      <formula1>"CapEx, OpEx"</formula1>
    </dataValidation>
    <dataValidation type="list" allowBlank="1" showInputMessage="1" showErrorMessage="1" sqref="D10:D19 D28:D37 D22:D25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H12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97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23" width="13.42578125" style="1" bestFit="1" customWidth="1"/>
    <col min="24" max="16384" width="9.140625" style="1"/>
  </cols>
  <sheetData>
    <row r="1" spans="1:26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61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16" t="b">
        <f>SUM(W7:W43)=0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</row>
    <row r="7" spans="1:26" ht="12.75" customHeight="1" x14ac:dyDescent="0.2">
      <c r="A7" s="7"/>
      <c r="C7" s="118" t="s">
        <v>44</v>
      </c>
      <c r="D7" s="118"/>
      <c r="E7" s="23" t="s">
        <v>23</v>
      </c>
      <c r="F7" s="23" t="s">
        <v>9</v>
      </c>
      <c r="G7" s="97"/>
      <c r="H7" s="23" t="s">
        <v>15</v>
      </c>
      <c r="I7" s="23" t="s">
        <v>10</v>
      </c>
      <c r="J7" s="97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ht="12.75" customHeight="1" x14ac:dyDescent="0.2">
      <c r="A8" s="7"/>
      <c r="B8" s="7"/>
      <c r="C8" s="7"/>
      <c r="D8" s="7"/>
      <c r="E8" s="7"/>
      <c r="F8" s="7"/>
      <c r="G8" s="97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x14ac:dyDescent="0.2">
      <c r="D9" s="4"/>
      <c r="G9" s="97"/>
    </row>
    <row r="10" spans="1:26" ht="12.75" customHeight="1" x14ac:dyDescent="0.2">
      <c r="C10" s="105" t="s">
        <v>49</v>
      </c>
      <c r="D10" s="106" t="s">
        <v>64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22"/>
      <c r="L10" s="125">
        <v>35000</v>
      </c>
      <c r="M10" s="125"/>
      <c r="N10" s="125"/>
      <c r="O10" s="122"/>
      <c r="P10" s="3"/>
      <c r="Q10" s="8">
        <f t="shared" ref="Q10:U16" si="0">K10*$H10</f>
        <v>0</v>
      </c>
      <c r="R10" s="8">
        <f t="shared" si="0"/>
        <v>4287500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05" t="s">
        <v>50</v>
      </c>
      <c r="D11" s="106" t="s">
        <v>64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23"/>
      <c r="L11" s="126"/>
      <c r="M11" s="126">
        <v>65000</v>
      </c>
      <c r="N11" s="126"/>
      <c r="O11" s="123"/>
      <c r="P11" s="3"/>
      <c r="Q11" s="8">
        <f t="shared" si="0"/>
        <v>0</v>
      </c>
      <c r="R11" s="8">
        <f t="shared" si="0"/>
        <v>0</v>
      </c>
      <c r="S11" s="8">
        <f t="shared" si="0"/>
        <v>7962500</v>
      </c>
      <c r="T11" s="8">
        <f t="shared" si="0"/>
        <v>0</v>
      </c>
      <c r="U11" s="8">
        <f t="shared" si="0"/>
        <v>0</v>
      </c>
    </row>
    <row r="12" spans="1:26" ht="12.75" customHeight="1" x14ac:dyDescent="0.25">
      <c r="A12" s="7"/>
      <c r="C12" s="105" t="s">
        <v>51</v>
      </c>
      <c r="D12" s="106" t="s">
        <v>64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24"/>
      <c r="L12" s="126"/>
      <c r="M12" s="126"/>
      <c r="N12" s="126">
        <v>42000</v>
      </c>
      <c r="O12" s="124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5145000</v>
      </c>
      <c r="U12" s="8">
        <f t="shared" si="0"/>
        <v>0</v>
      </c>
      <c r="Z12"/>
    </row>
    <row r="13" spans="1:26" s="97" customFormat="1" ht="12.75" customHeight="1" x14ac:dyDescent="0.25">
      <c r="A13" s="7"/>
      <c r="C13" s="105" t="s">
        <v>52</v>
      </c>
      <c r="D13" s="106" t="s">
        <v>64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24"/>
      <c r="L13" s="126"/>
      <c r="M13" s="126"/>
      <c r="N13" s="126">
        <v>16000</v>
      </c>
      <c r="O13" s="124"/>
      <c r="P13" s="3"/>
      <c r="Q13" s="8">
        <f t="shared" si="0"/>
        <v>0</v>
      </c>
      <c r="R13" s="8">
        <f t="shared" si="0"/>
        <v>0</v>
      </c>
      <c r="S13" s="8">
        <f t="shared" si="0"/>
        <v>0</v>
      </c>
      <c r="T13" s="8">
        <f t="shared" si="0"/>
        <v>1960000</v>
      </c>
      <c r="U13" s="8">
        <f t="shared" si="0"/>
        <v>0</v>
      </c>
      <c r="Z13"/>
    </row>
    <row r="14" spans="1:26" s="97" customFormat="1" ht="12.75" customHeight="1" x14ac:dyDescent="0.25">
      <c r="A14" s="7"/>
      <c r="C14" s="105" t="s">
        <v>67</v>
      </c>
      <c r="D14" s="106" t="s">
        <v>0</v>
      </c>
      <c r="E14" s="106" t="s">
        <v>5</v>
      </c>
      <c r="F14" s="107" t="s">
        <v>2</v>
      </c>
      <c r="G14" s="3"/>
      <c r="H14" s="108">
        <v>122.5</v>
      </c>
      <c r="I14" s="12" t="s">
        <v>62</v>
      </c>
      <c r="J14" s="3"/>
      <c r="K14" s="109">
        <v>2500</v>
      </c>
      <c r="L14" s="109">
        <v>3500</v>
      </c>
      <c r="M14" s="109"/>
      <c r="N14" s="109"/>
      <c r="O14" s="109"/>
      <c r="P14" s="3"/>
      <c r="Q14" s="8">
        <f t="shared" si="0"/>
        <v>306250</v>
      </c>
      <c r="R14" s="8">
        <f t="shared" si="0"/>
        <v>428750</v>
      </c>
      <c r="S14" s="8">
        <f t="shared" si="0"/>
        <v>0</v>
      </c>
      <c r="T14" s="8">
        <f t="shared" si="0"/>
        <v>0</v>
      </c>
      <c r="U14" s="8">
        <f t="shared" si="0"/>
        <v>0</v>
      </c>
      <c r="Z14"/>
    </row>
    <row r="15" spans="1:26" s="97" customFormat="1" ht="12.75" customHeight="1" x14ac:dyDescent="0.25">
      <c r="A15" s="7"/>
      <c r="C15" s="105" t="s">
        <v>67</v>
      </c>
      <c r="D15" s="106" t="s">
        <v>54</v>
      </c>
      <c r="E15" s="106" t="s">
        <v>5</v>
      </c>
      <c r="F15" s="107" t="s">
        <v>2</v>
      </c>
      <c r="G15" s="3"/>
      <c r="H15" s="108">
        <v>122.5</v>
      </c>
      <c r="I15" s="12" t="s">
        <v>62</v>
      </c>
      <c r="J15" s="3"/>
      <c r="K15" s="109">
        <v>2500</v>
      </c>
      <c r="L15" s="109">
        <v>3500</v>
      </c>
      <c r="M15" s="109"/>
      <c r="N15" s="109"/>
      <c r="O15" s="109"/>
      <c r="P15" s="3"/>
      <c r="Q15" s="8">
        <f t="shared" si="0"/>
        <v>306250</v>
      </c>
      <c r="R15" s="8">
        <f t="shared" si="0"/>
        <v>428750</v>
      </c>
      <c r="S15" s="8">
        <f t="shared" si="0"/>
        <v>0</v>
      </c>
      <c r="T15" s="8">
        <f t="shared" si="0"/>
        <v>0</v>
      </c>
      <c r="U15" s="8">
        <f t="shared" si="0"/>
        <v>0</v>
      </c>
      <c r="Z15"/>
    </row>
    <row r="16" spans="1:26" s="97" customFormat="1" ht="12.75" customHeight="1" x14ac:dyDescent="0.2">
      <c r="A16" s="7"/>
      <c r="C16" s="105" t="s">
        <v>67</v>
      </c>
      <c r="D16" s="106" t="s">
        <v>64</v>
      </c>
      <c r="E16" s="106" t="s">
        <v>5</v>
      </c>
      <c r="F16" s="107" t="s">
        <v>2</v>
      </c>
      <c r="G16" s="3"/>
      <c r="H16" s="108">
        <v>122.5</v>
      </c>
      <c r="I16" s="12" t="s">
        <v>62</v>
      </c>
      <c r="J16" s="3"/>
      <c r="K16" s="109"/>
      <c r="L16" s="109"/>
      <c r="M16" s="109"/>
      <c r="N16" s="109"/>
      <c r="O16" s="109">
        <v>3500</v>
      </c>
      <c r="P16" s="3"/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428750</v>
      </c>
    </row>
    <row r="17" spans="1:26" s="97" customFormat="1" ht="12.75" customHeight="1" x14ac:dyDescent="0.25">
      <c r="A17" s="7"/>
      <c r="G17" s="3"/>
      <c r="I17" s="12"/>
      <c r="J17" s="3"/>
      <c r="P17" s="3"/>
      <c r="Z17"/>
    </row>
    <row r="18" spans="1:26" ht="12.75" customHeight="1" x14ac:dyDescent="0.25">
      <c r="A18" s="7"/>
      <c r="C18" s="97"/>
      <c r="E18" s="97"/>
      <c r="F18" s="97"/>
      <c r="G18" s="3"/>
      <c r="H18" s="97"/>
      <c r="J18" s="3"/>
      <c r="K18" s="97"/>
      <c r="L18" s="97"/>
      <c r="M18" s="97"/>
      <c r="N18" s="97"/>
      <c r="O18" s="97"/>
      <c r="P18" s="3"/>
      <c r="Q18" s="97"/>
      <c r="R18" s="97"/>
      <c r="S18" s="97"/>
      <c r="T18" s="97"/>
      <c r="U18" s="97"/>
      <c r="Z18"/>
    </row>
    <row r="19" spans="1:26" ht="12.75" customHeight="1" x14ac:dyDescent="0.25">
      <c r="A19" s="7"/>
      <c r="C19" s="105" t="s">
        <v>50</v>
      </c>
      <c r="D19" s="106" t="s">
        <v>64</v>
      </c>
      <c r="E19" s="106" t="s">
        <v>5</v>
      </c>
      <c r="F19" s="107" t="s">
        <v>1</v>
      </c>
      <c r="G19" s="3"/>
      <c r="H19" s="128">
        <v>2000000</v>
      </c>
      <c r="I19" s="12" t="s">
        <v>63</v>
      </c>
      <c r="J19" s="3"/>
      <c r="K19" s="127"/>
      <c r="L19" s="127"/>
      <c r="M19" s="127">
        <v>1.5</v>
      </c>
      <c r="N19" s="127"/>
      <c r="O19" s="127"/>
      <c r="P19" s="3"/>
      <c r="Q19" s="8">
        <f t="shared" ref="Q19:U22" si="1">K19*$H19</f>
        <v>0</v>
      </c>
      <c r="R19" s="8">
        <f t="shared" si="1"/>
        <v>0</v>
      </c>
      <c r="S19" s="8">
        <f t="shared" si="1"/>
        <v>3000000</v>
      </c>
      <c r="T19" s="8">
        <f t="shared" si="1"/>
        <v>0</v>
      </c>
      <c r="U19" s="8">
        <f t="shared" si="1"/>
        <v>0</v>
      </c>
      <c r="Z19"/>
    </row>
    <row r="20" spans="1:26" s="97" customFormat="1" ht="12.75" customHeight="1" x14ac:dyDescent="0.25">
      <c r="A20" s="7"/>
      <c r="C20" s="105" t="s">
        <v>53</v>
      </c>
      <c r="D20" s="106" t="s">
        <v>0</v>
      </c>
      <c r="E20" s="106" t="s">
        <v>5</v>
      </c>
      <c r="F20" s="107" t="s">
        <v>1</v>
      </c>
      <c r="G20" s="3"/>
      <c r="H20" s="128">
        <v>75000</v>
      </c>
      <c r="I20" s="12" t="s">
        <v>63</v>
      </c>
      <c r="J20" s="3"/>
      <c r="K20" s="127">
        <v>2.3333333333333335</v>
      </c>
      <c r="L20" s="127">
        <v>4.333333333333333</v>
      </c>
      <c r="M20" s="127"/>
      <c r="N20" s="127"/>
      <c r="O20" s="127"/>
      <c r="P20" s="3"/>
      <c r="Q20" s="8">
        <f t="shared" ref="Q20:Q21" si="2">K20*$H20</f>
        <v>175000</v>
      </c>
      <c r="R20" s="8">
        <f t="shared" ref="R20:R21" si="3">L20*$H20</f>
        <v>325000</v>
      </c>
      <c r="S20" s="8">
        <f t="shared" ref="S20:S21" si="4">M20*$H20</f>
        <v>0</v>
      </c>
      <c r="T20" s="8">
        <f t="shared" ref="T20:T21" si="5">N20*$H20</f>
        <v>0</v>
      </c>
      <c r="U20" s="8">
        <f t="shared" ref="U20:U21" si="6">O20*$H20</f>
        <v>0</v>
      </c>
      <c r="Z20"/>
    </row>
    <row r="21" spans="1:26" s="97" customFormat="1" ht="12.75" customHeight="1" x14ac:dyDescent="0.25">
      <c r="A21" s="7"/>
      <c r="C21" s="105" t="s">
        <v>53</v>
      </c>
      <c r="D21" s="106" t="s">
        <v>54</v>
      </c>
      <c r="E21" s="106" t="s">
        <v>5</v>
      </c>
      <c r="F21" s="107" t="s">
        <v>1</v>
      </c>
      <c r="G21" s="3"/>
      <c r="H21" s="128">
        <v>75000</v>
      </c>
      <c r="I21" s="12" t="s">
        <v>63</v>
      </c>
      <c r="J21" s="3"/>
      <c r="K21" s="127">
        <v>2.3333333333333335</v>
      </c>
      <c r="L21" s="127">
        <v>4.333333333333333</v>
      </c>
      <c r="M21" s="127"/>
      <c r="N21" s="127"/>
      <c r="O21" s="127"/>
      <c r="P21" s="3"/>
      <c r="Q21" s="8">
        <f t="shared" si="2"/>
        <v>175000</v>
      </c>
      <c r="R21" s="8">
        <f t="shared" si="3"/>
        <v>325000</v>
      </c>
      <c r="S21" s="8">
        <f t="shared" si="4"/>
        <v>0</v>
      </c>
      <c r="T21" s="8">
        <f t="shared" si="5"/>
        <v>0</v>
      </c>
      <c r="U21" s="8">
        <f t="shared" si="6"/>
        <v>0</v>
      </c>
      <c r="Z21"/>
    </row>
    <row r="22" spans="1:26" s="97" customFormat="1" ht="12.75" customHeight="1" x14ac:dyDescent="0.2">
      <c r="A22" s="7"/>
      <c r="C22" s="105" t="s">
        <v>53</v>
      </c>
      <c r="D22" s="106" t="s">
        <v>64</v>
      </c>
      <c r="E22" s="106" t="s">
        <v>5</v>
      </c>
      <c r="F22" s="107" t="s">
        <v>1</v>
      </c>
      <c r="G22" s="3"/>
      <c r="H22" s="128">
        <v>75000</v>
      </c>
      <c r="I22" s="12" t="s">
        <v>63</v>
      </c>
      <c r="J22" s="3"/>
      <c r="K22" s="127"/>
      <c r="L22" s="127"/>
      <c r="M22" s="127"/>
      <c r="N22" s="127"/>
      <c r="O22" s="127">
        <v>4.3</v>
      </c>
      <c r="P22" s="3"/>
      <c r="Q22" s="8">
        <f t="shared" si="1"/>
        <v>0</v>
      </c>
      <c r="R22" s="8">
        <f t="shared" si="1"/>
        <v>0</v>
      </c>
      <c r="S22" s="8">
        <f t="shared" si="1"/>
        <v>0</v>
      </c>
      <c r="T22" s="8">
        <f t="shared" si="1"/>
        <v>0</v>
      </c>
      <c r="U22" s="8">
        <f t="shared" si="1"/>
        <v>322500</v>
      </c>
    </row>
    <row r="23" spans="1:26" ht="12.7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Z23"/>
    </row>
    <row r="24" spans="1:26" ht="12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Z24"/>
    </row>
    <row r="25" spans="1:26" s="97" customFormat="1" ht="12.75" customHeight="1" x14ac:dyDescent="0.2">
      <c r="A25" s="7"/>
      <c r="C25" s="105" t="s">
        <v>49</v>
      </c>
      <c r="D25" s="106" t="s">
        <v>64</v>
      </c>
      <c r="E25" s="106" t="s">
        <v>5</v>
      </c>
      <c r="F25" s="107" t="s">
        <v>4</v>
      </c>
      <c r="H25" s="6"/>
      <c r="I25" s="13" t="s">
        <v>42</v>
      </c>
      <c r="K25" s="121"/>
      <c r="L25" s="121">
        <v>2500000</v>
      </c>
      <c r="M25" s="121"/>
      <c r="N25" s="121"/>
      <c r="O25" s="121"/>
      <c r="Q25" s="8">
        <f t="shared" ref="Q25:U31" si="7">K25</f>
        <v>0</v>
      </c>
      <c r="R25" s="8">
        <f t="shared" si="7"/>
        <v>2500000</v>
      </c>
      <c r="S25" s="8">
        <f t="shared" si="7"/>
        <v>0</v>
      </c>
      <c r="T25" s="8">
        <f t="shared" si="7"/>
        <v>0</v>
      </c>
      <c r="U25" s="8">
        <f t="shared" si="7"/>
        <v>0</v>
      </c>
    </row>
    <row r="26" spans="1:26" s="97" customFormat="1" ht="12.75" customHeight="1" x14ac:dyDescent="0.2">
      <c r="A26" s="7"/>
      <c r="C26" s="105" t="s">
        <v>50</v>
      </c>
      <c r="D26" s="106" t="s">
        <v>64</v>
      </c>
      <c r="E26" s="106" t="s">
        <v>5</v>
      </c>
      <c r="F26" s="107" t="s">
        <v>4</v>
      </c>
      <c r="H26" s="6"/>
      <c r="I26" s="13" t="s">
        <v>42</v>
      </c>
      <c r="K26" s="121"/>
      <c r="L26" s="121"/>
      <c r="M26" s="121">
        <v>9950000</v>
      </c>
      <c r="N26" s="121"/>
      <c r="O26" s="121"/>
      <c r="Q26" s="8">
        <f t="shared" si="7"/>
        <v>0</v>
      </c>
      <c r="R26" s="8">
        <f t="shared" si="7"/>
        <v>0</v>
      </c>
      <c r="S26" s="8">
        <f t="shared" si="7"/>
        <v>9950000</v>
      </c>
      <c r="T26" s="8">
        <f t="shared" si="7"/>
        <v>0</v>
      </c>
      <c r="U26" s="8">
        <f t="shared" si="7"/>
        <v>0</v>
      </c>
    </row>
    <row r="27" spans="1:26" s="97" customFormat="1" ht="12.75" customHeight="1" x14ac:dyDescent="0.2">
      <c r="A27" s="7"/>
      <c r="C27" s="105" t="s">
        <v>51</v>
      </c>
      <c r="D27" s="106" t="s">
        <v>64</v>
      </c>
      <c r="E27" s="106" t="s">
        <v>5</v>
      </c>
      <c r="F27" s="107" t="s">
        <v>4</v>
      </c>
      <c r="H27" s="6"/>
      <c r="I27" s="13" t="s">
        <v>42</v>
      </c>
      <c r="K27" s="121"/>
      <c r="L27" s="121"/>
      <c r="M27" s="121"/>
      <c r="N27" s="121">
        <v>5800000</v>
      </c>
      <c r="O27" s="121"/>
      <c r="Q27" s="8">
        <f t="shared" si="7"/>
        <v>0</v>
      </c>
      <c r="R27" s="8">
        <f t="shared" si="7"/>
        <v>0</v>
      </c>
      <c r="S27" s="8">
        <f t="shared" si="7"/>
        <v>0</v>
      </c>
      <c r="T27" s="8">
        <f t="shared" si="7"/>
        <v>5800000</v>
      </c>
      <c r="U27" s="8">
        <f t="shared" si="7"/>
        <v>0</v>
      </c>
    </row>
    <row r="28" spans="1:26" s="97" customFormat="1" ht="12.75" customHeight="1" x14ac:dyDescent="0.2">
      <c r="A28" s="7"/>
      <c r="C28" s="105" t="s">
        <v>52</v>
      </c>
      <c r="D28" s="106" t="s">
        <v>64</v>
      </c>
      <c r="E28" s="106" t="s">
        <v>5</v>
      </c>
      <c r="F28" s="107" t="s">
        <v>4</v>
      </c>
      <c r="H28" s="6"/>
      <c r="I28" s="13" t="s">
        <v>42</v>
      </c>
      <c r="K28" s="121"/>
      <c r="L28" s="121"/>
      <c r="M28" s="121"/>
      <c r="N28" s="121">
        <v>2800000</v>
      </c>
      <c r="O28" s="121"/>
      <c r="Q28" s="8">
        <f t="shared" si="7"/>
        <v>0</v>
      </c>
      <c r="R28" s="8">
        <f t="shared" si="7"/>
        <v>0</v>
      </c>
      <c r="S28" s="8">
        <f t="shared" si="7"/>
        <v>0</v>
      </c>
      <c r="T28" s="8">
        <f t="shared" si="7"/>
        <v>2800000</v>
      </c>
      <c r="U28" s="8">
        <f t="shared" si="7"/>
        <v>0</v>
      </c>
    </row>
    <row r="29" spans="1:26" s="97" customFormat="1" ht="12.75" customHeight="1" x14ac:dyDescent="0.2">
      <c r="A29" s="7"/>
      <c r="C29" s="105" t="s">
        <v>53</v>
      </c>
      <c r="D29" s="106" t="s">
        <v>0</v>
      </c>
      <c r="E29" s="106" t="s">
        <v>5</v>
      </c>
      <c r="F29" s="107" t="s">
        <v>4</v>
      </c>
      <c r="H29" s="6"/>
      <c r="I29" s="13" t="s">
        <v>42</v>
      </c>
      <c r="K29" s="121">
        <v>375000</v>
      </c>
      <c r="L29" s="121">
        <v>675000</v>
      </c>
      <c r="M29" s="121"/>
      <c r="N29" s="121"/>
      <c r="O29" s="121"/>
      <c r="Q29" s="8">
        <f t="shared" si="7"/>
        <v>375000</v>
      </c>
      <c r="R29" s="8">
        <f t="shared" si="7"/>
        <v>675000</v>
      </c>
      <c r="S29" s="8">
        <f t="shared" si="7"/>
        <v>0</v>
      </c>
      <c r="T29" s="8">
        <f t="shared" si="7"/>
        <v>0</v>
      </c>
      <c r="U29" s="8">
        <f t="shared" si="7"/>
        <v>0</v>
      </c>
    </row>
    <row r="30" spans="1:26" s="97" customFormat="1" ht="12.75" customHeight="1" x14ac:dyDescent="0.2">
      <c r="A30" s="7"/>
      <c r="C30" s="105" t="s">
        <v>53</v>
      </c>
      <c r="D30" s="106" t="s">
        <v>54</v>
      </c>
      <c r="E30" s="106" t="s">
        <v>5</v>
      </c>
      <c r="F30" s="107" t="s">
        <v>4</v>
      </c>
      <c r="H30" s="6"/>
      <c r="I30" s="13" t="s">
        <v>42</v>
      </c>
      <c r="K30" s="121">
        <v>375000</v>
      </c>
      <c r="L30" s="121">
        <v>675000</v>
      </c>
      <c r="M30" s="109"/>
      <c r="N30" s="109"/>
      <c r="O30" s="109"/>
      <c r="Q30" s="8">
        <f t="shared" si="7"/>
        <v>375000</v>
      </c>
      <c r="R30" s="8">
        <f t="shared" si="7"/>
        <v>675000</v>
      </c>
      <c r="S30" s="8">
        <f t="shared" si="7"/>
        <v>0</v>
      </c>
      <c r="T30" s="8">
        <f t="shared" si="7"/>
        <v>0</v>
      </c>
      <c r="U30" s="8">
        <f t="shared" si="7"/>
        <v>0</v>
      </c>
    </row>
    <row r="31" spans="1:26" s="97" customFormat="1" ht="12.75" customHeight="1" x14ac:dyDescent="0.2">
      <c r="A31" s="7"/>
      <c r="C31" s="105" t="s">
        <v>53</v>
      </c>
      <c r="D31" s="106" t="s">
        <v>64</v>
      </c>
      <c r="E31" s="106" t="s">
        <v>5</v>
      </c>
      <c r="F31" s="107" t="s">
        <v>4</v>
      </c>
      <c r="H31" s="6"/>
      <c r="I31" s="13" t="s">
        <v>42</v>
      </c>
      <c r="K31" s="109"/>
      <c r="L31" s="109"/>
      <c r="M31" s="109"/>
      <c r="N31" s="109"/>
      <c r="O31" s="121">
        <v>675000</v>
      </c>
      <c r="Q31" s="8">
        <f t="shared" si="7"/>
        <v>0</v>
      </c>
      <c r="R31" s="8">
        <f t="shared" si="7"/>
        <v>0</v>
      </c>
      <c r="S31" s="8">
        <f t="shared" si="7"/>
        <v>0</v>
      </c>
      <c r="T31" s="8">
        <f t="shared" si="7"/>
        <v>0</v>
      </c>
      <c r="U31" s="8">
        <f t="shared" si="7"/>
        <v>675000</v>
      </c>
    </row>
    <row r="32" spans="1:26" ht="12.75" customHeight="1" x14ac:dyDescent="0.25">
      <c r="G32" s="97"/>
      <c r="H32" s="6"/>
      <c r="I32" s="13"/>
      <c r="J32" s="97"/>
      <c r="P32" s="97"/>
      <c r="Z32"/>
    </row>
    <row r="33" spans="3:26" ht="12.75" customHeight="1" x14ac:dyDescent="0.25">
      <c r="G33" s="97"/>
      <c r="I33" s="13"/>
      <c r="J33" s="97"/>
      <c r="P33" s="97"/>
      <c r="Z33"/>
    </row>
    <row r="34" spans="3:26" ht="12.75" customHeight="1" x14ac:dyDescent="0.25">
      <c r="C34" s="5" t="s">
        <v>13</v>
      </c>
      <c r="D34" s="7"/>
      <c r="G34" s="97"/>
      <c r="I34" s="97"/>
      <c r="J34" s="97"/>
      <c r="P34" s="97"/>
      <c r="Z34"/>
    </row>
    <row r="35" spans="3:26" ht="12.75" customHeight="1" x14ac:dyDescent="0.2">
      <c r="C35" s="28" t="s">
        <v>2</v>
      </c>
      <c r="D35" s="28"/>
      <c r="E35" s="28" t="s">
        <v>5</v>
      </c>
      <c r="F35" s="28"/>
      <c r="G35" s="97"/>
      <c r="H35" s="28"/>
      <c r="I35" s="28"/>
      <c r="J35" s="97"/>
      <c r="K35" s="28"/>
      <c r="L35" s="28"/>
      <c r="M35" s="28"/>
      <c r="N35" s="28"/>
      <c r="O35" s="28"/>
      <c r="P35" s="97"/>
      <c r="Q35" s="30">
        <f t="shared" ref="Q35:U40" si="8">SUMIFS(Q$10:Q$31,$F$10:$F$31,$C35,$E$10:$E$31,$E35)</f>
        <v>612500</v>
      </c>
      <c r="R35" s="30">
        <f t="shared" si="8"/>
        <v>5145000</v>
      </c>
      <c r="S35" s="30">
        <f t="shared" si="8"/>
        <v>7962500</v>
      </c>
      <c r="T35" s="30">
        <f t="shared" si="8"/>
        <v>7105000</v>
      </c>
      <c r="U35" s="30">
        <f t="shared" si="8"/>
        <v>428750</v>
      </c>
    </row>
    <row r="36" spans="3:26" ht="12.75" customHeight="1" x14ac:dyDescent="0.2">
      <c r="C36" s="4" t="s">
        <v>1</v>
      </c>
      <c r="D36" s="4"/>
      <c r="E36" s="4" t="s">
        <v>5</v>
      </c>
      <c r="F36" s="4"/>
      <c r="G36" s="97"/>
      <c r="H36" s="4"/>
      <c r="I36" s="13"/>
      <c r="J36" s="97"/>
      <c r="K36" s="4"/>
      <c r="L36" s="4"/>
      <c r="M36" s="4"/>
      <c r="N36" s="4"/>
      <c r="O36" s="4"/>
      <c r="P36" s="97"/>
      <c r="Q36" s="9">
        <f t="shared" si="8"/>
        <v>350000</v>
      </c>
      <c r="R36" s="9">
        <f t="shared" si="8"/>
        <v>650000</v>
      </c>
      <c r="S36" s="9">
        <f t="shared" si="8"/>
        <v>3000000</v>
      </c>
      <c r="T36" s="9">
        <f t="shared" si="8"/>
        <v>0</v>
      </c>
      <c r="U36" s="9">
        <f t="shared" si="8"/>
        <v>322500</v>
      </c>
    </row>
    <row r="37" spans="3:26" ht="12.75" customHeight="1" x14ac:dyDescent="0.2">
      <c r="C37" s="4" t="s">
        <v>4</v>
      </c>
      <c r="D37" s="4"/>
      <c r="E37" s="4" t="s">
        <v>5</v>
      </c>
      <c r="F37" s="4"/>
      <c r="G37" s="97"/>
      <c r="H37" s="4"/>
      <c r="I37" s="13"/>
      <c r="J37" s="97"/>
      <c r="K37" s="4"/>
      <c r="L37" s="4"/>
      <c r="M37" s="4"/>
      <c r="N37" s="4"/>
      <c r="O37" s="4"/>
      <c r="P37" s="97"/>
      <c r="Q37" s="9">
        <f t="shared" si="8"/>
        <v>750000</v>
      </c>
      <c r="R37" s="9">
        <f t="shared" si="8"/>
        <v>3850000</v>
      </c>
      <c r="S37" s="9">
        <f t="shared" si="8"/>
        <v>9950000</v>
      </c>
      <c r="T37" s="9">
        <f t="shared" si="8"/>
        <v>8600000</v>
      </c>
      <c r="U37" s="9">
        <f t="shared" si="8"/>
        <v>675000</v>
      </c>
    </row>
    <row r="38" spans="3:26" ht="12.75" customHeight="1" x14ac:dyDescent="0.2">
      <c r="C38" s="4" t="s">
        <v>2</v>
      </c>
      <c r="D38" s="4"/>
      <c r="E38" s="4" t="s">
        <v>41</v>
      </c>
      <c r="F38" s="4"/>
      <c r="G38" s="97"/>
      <c r="H38" s="4"/>
      <c r="I38" s="13"/>
      <c r="J38" s="97"/>
      <c r="K38" s="4"/>
      <c r="L38" s="4"/>
      <c r="M38" s="4"/>
      <c r="N38" s="4"/>
      <c r="O38" s="4"/>
      <c r="P38" s="97"/>
      <c r="Q38" s="9">
        <f t="shared" si="8"/>
        <v>0</v>
      </c>
      <c r="R38" s="9">
        <f t="shared" si="8"/>
        <v>0</v>
      </c>
      <c r="S38" s="9">
        <f t="shared" si="8"/>
        <v>0</v>
      </c>
      <c r="T38" s="9">
        <f t="shared" si="8"/>
        <v>0</v>
      </c>
      <c r="U38" s="9">
        <f t="shared" si="8"/>
        <v>0</v>
      </c>
    </row>
    <row r="39" spans="3:26" ht="12.75" customHeight="1" x14ac:dyDescent="0.2">
      <c r="C39" s="4" t="s">
        <v>1</v>
      </c>
      <c r="D39" s="4"/>
      <c r="E39" s="4" t="s">
        <v>41</v>
      </c>
      <c r="F39" s="4"/>
      <c r="G39" s="97"/>
      <c r="H39" s="4"/>
      <c r="I39" s="13"/>
      <c r="J39" s="97"/>
      <c r="K39" s="4"/>
      <c r="L39" s="4"/>
      <c r="M39" s="4"/>
      <c r="N39" s="4"/>
      <c r="O39" s="4"/>
      <c r="P39" s="97"/>
      <c r="Q39" s="9">
        <f t="shared" si="8"/>
        <v>0</v>
      </c>
      <c r="R39" s="9">
        <f t="shared" si="8"/>
        <v>0</v>
      </c>
      <c r="S39" s="9">
        <f t="shared" si="8"/>
        <v>0</v>
      </c>
      <c r="T39" s="9">
        <f t="shared" si="8"/>
        <v>0</v>
      </c>
      <c r="U39" s="9">
        <f t="shared" si="8"/>
        <v>0</v>
      </c>
    </row>
    <row r="40" spans="3:26" ht="12.75" customHeight="1" x14ac:dyDescent="0.2">
      <c r="C40" s="4" t="s">
        <v>4</v>
      </c>
      <c r="D40" s="4"/>
      <c r="E40" s="4" t="s">
        <v>41</v>
      </c>
      <c r="F40" s="7"/>
      <c r="G40" s="97"/>
      <c r="H40" s="7"/>
      <c r="I40" s="31"/>
      <c r="J40" s="97"/>
      <c r="K40" s="7"/>
      <c r="L40" s="7"/>
      <c r="M40" s="7"/>
      <c r="N40" s="7"/>
      <c r="O40" s="7"/>
      <c r="P40" s="97"/>
      <c r="Q40" s="9">
        <f t="shared" si="8"/>
        <v>0</v>
      </c>
      <c r="R40" s="9">
        <f t="shared" si="8"/>
        <v>0</v>
      </c>
      <c r="S40" s="9">
        <f t="shared" si="8"/>
        <v>0</v>
      </c>
      <c r="T40" s="9">
        <f t="shared" si="8"/>
        <v>0</v>
      </c>
      <c r="U40" s="9">
        <f t="shared" si="8"/>
        <v>0</v>
      </c>
    </row>
    <row r="41" spans="3:26" ht="12.75" customHeight="1" x14ac:dyDescent="0.2">
      <c r="C41" s="10" t="str">
        <f>"Total Expenditure ($ "&amp;Assumptions!$B$8&amp;")"</f>
        <v>Total Expenditure ($ 2019)</v>
      </c>
      <c r="D41" s="10"/>
      <c r="E41" s="10"/>
      <c r="F41" s="10"/>
      <c r="G41" s="97"/>
      <c r="H41" s="10"/>
      <c r="I41" s="14"/>
      <c r="J41" s="97"/>
      <c r="K41" s="10"/>
      <c r="L41" s="10"/>
      <c r="M41" s="10"/>
      <c r="N41" s="10"/>
      <c r="O41" s="10"/>
      <c r="P41" s="97"/>
      <c r="Q41" s="11">
        <f>SUM(Q35:Q40)</f>
        <v>1712500</v>
      </c>
      <c r="R41" s="11">
        <f t="shared" ref="R41:U41" si="9">SUM(R35:R40)</f>
        <v>9645000</v>
      </c>
      <c r="S41" s="11">
        <f t="shared" si="9"/>
        <v>20912500</v>
      </c>
      <c r="T41" s="11">
        <f t="shared" si="9"/>
        <v>15705000</v>
      </c>
      <c r="U41" s="11">
        <f t="shared" si="9"/>
        <v>1426250</v>
      </c>
      <c r="V41" s="42"/>
      <c r="W41" s="97"/>
      <c r="X41" s="97"/>
      <c r="Y41" s="97"/>
    </row>
    <row r="42" spans="3:26" ht="12.75" customHeight="1" x14ac:dyDescent="0.2">
      <c r="C42" s="28" t="str">
        <f>"Total Expenditure ($ "&amp;Assumptions!B17&amp;")"</f>
        <v>Total Expenditure ($ 2020/21)</v>
      </c>
      <c r="D42" s="28"/>
      <c r="E42" s="28"/>
      <c r="F42" s="28"/>
      <c r="G42" s="97"/>
      <c r="H42" s="28"/>
      <c r="I42" s="29"/>
      <c r="J42" s="97"/>
      <c r="K42" s="28"/>
      <c r="L42" s="28"/>
      <c r="M42" s="28"/>
      <c r="N42" s="28"/>
      <c r="O42" s="28"/>
      <c r="P42" s="97"/>
      <c r="Q42" s="43">
        <f>Q41*Assumptions!$B$18</f>
        <v>1785175.0816992715</v>
      </c>
      <c r="R42" s="43">
        <f>R41*Assumptions!$B$18</f>
        <v>10054314.547731079</v>
      </c>
      <c r="S42" s="43">
        <f>S41*Assumptions!$B$18</f>
        <v>21799984.756809354</v>
      </c>
      <c r="T42" s="43">
        <f>T41*Assumptions!$B$18</f>
        <v>16371488.851437699</v>
      </c>
      <c r="U42" s="43">
        <f>U41*Assumptions!$B$18</f>
        <v>1486777.2030794662</v>
      </c>
      <c r="V42" s="42"/>
      <c r="W42" s="158"/>
      <c r="X42" s="97"/>
      <c r="Y42" s="97"/>
    </row>
    <row r="43" spans="3:26" x14ac:dyDescent="0.2">
      <c r="C43" s="98" t="s">
        <v>12</v>
      </c>
      <c r="D43" s="98"/>
      <c r="E43" s="98"/>
      <c r="F43" s="98"/>
      <c r="G43" s="97"/>
      <c r="H43" s="98"/>
      <c r="I43" s="98"/>
      <c r="J43" s="97"/>
      <c r="K43" s="98"/>
      <c r="L43" s="98"/>
      <c r="M43" s="98"/>
      <c r="N43" s="98"/>
      <c r="O43" s="98"/>
      <c r="P43" s="97"/>
      <c r="Q43" s="99">
        <f>Q41-SUM(Q10:Q31)</f>
        <v>0</v>
      </c>
      <c r="R43" s="99">
        <f>R41-SUM(R10:R31)</f>
        <v>0</v>
      </c>
      <c r="S43" s="99">
        <f>S41-SUM(S10:S31)</f>
        <v>0</v>
      </c>
      <c r="T43" s="99">
        <f>T41-SUM(T10:T31)</f>
        <v>0</v>
      </c>
      <c r="U43" s="99">
        <f>U41-SUM(U10:U31)</f>
        <v>0</v>
      </c>
      <c r="V43" s="97"/>
      <c r="W43" s="99">
        <f>SUM(Q43:U43)</f>
        <v>0</v>
      </c>
      <c r="X43" s="97"/>
      <c r="Y43" s="97"/>
    </row>
    <row r="44" spans="3:26" ht="12.75" customHeight="1" x14ac:dyDescent="0.2">
      <c r="C44" s="97"/>
      <c r="E44" s="97"/>
      <c r="F44" s="97"/>
      <c r="G44" s="97"/>
      <c r="H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</row>
    <row r="46" spans="3:26" ht="12.75" customHeight="1" x14ac:dyDescent="0.2">
      <c r="G46" s="97"/>
      <c r="J46" s="97"/>
      <c r="P46" s="97"/>
    </row>
    <row r="47" spans="3:26" x14ac:dyDescent="0.2">
      <c r="D47" s="1"/>
      <c r="I47" s="1"/>
    </row>
    <row r="48" spans="3:26" s="97" customFormat="1" ht="12.75" customHeight="1" x14ac:dyDescent="0.2">
      <c r="C48" s="5" t="s">
        <v>75</v>
      </c>
      <c r="D48" s="7"/>
      <c r="G48" s="3"/>
      <c r="I48" s="12"/>
      <c r="J48" s="3"/>
      <c r="P48" s="3"/>
    </row>
    <row r="49" spans="3:21" s="97" customFormat="1" ht="12.75" customHeight="1" x14ac:dyDescent="0.2">
      <c r="C49" s="28" t="s">
        <v>2</v>
      </c>
      <c r="D49" s="28" t="s">
        <v>0</v>
      </c>
      <c r="E49" s="28" t="s">
        <v>67</v>
      </c>
      <c r="F49" s="135" t="str">
        <f t="shared" ref="F49" si="10">C49&amp;D49&amp;E49</f>
        <v>LabourVPNCurrency maintenance</v>
      </c>
      <c r="G49" s="3"/>
      <c r="H49" s="28"/>
      <c r="I49" s="29"/>
      <c r="J49" s="3"/>
      <c r="K49" s="28"/>
      <c r="L49" s="28"/>
      <c r="M49" s="28"/>
      <c r="N49" s="28"/>
      <c r="O49" s="28"/>
      <c r="Q49" s="43">
        <f t="shared" ref="Q49:U63" si="11">SUMIFS(Q$10:Q$31,$F$10:$F$31,$C49,$D$10:$D$31,$D49,$C$10:$C$31,$E49)*Conv_2021</f>
        <v>319246.63869804493</v>
      </c>
      <c r="R49" s="43">
        <f t="shared" si="11"/>
        <v>446945.29417726287</v>
      </c>
      <c r="S49" s="43">
        <f t="shared" si="11"/>
        <v>0</v>
      </c>
      <c r="T49" s="43">
        <f t="shared" si="11"/>
        <v>0</v>
      </c>
      <c r="U49" s="43">
        <f t="shared" si="11"/>
        <v>0</v>
      </c>
    </row>
    <row r="50" spans="3:21" s="97" customFormat="1" ht="12.75" customHeight="1" x14ac:dyDescent="0.2">
      <c r="C50" s="4" t="s">
        <v>1</v>
      </c>
      <c r="D50" s="4" t="s">
        <v>0</v>
      </c>
      <c r="E50" s="4" t="s">
        <v>67</v>
      </c>
      <c r="F50" s="136" t="str">
        <f>C50&amp;D50&amp;E50</f>
        <v>MaterialsVPNCurrency maintenance</v>
      </c>
      <c r="G50" s="3"/>
      <c r="H50" s="4"/>
      <c r="I50" s="13"/>
      <c r="J50" s="3"/>
      <c r="K50" s="4"/>
      <c r="L50" s="4"/>
      <c r="M50" s="4"/>
      <c r="N50" s="4"/>
      <c r="O50" s="4"/>
      <c r="Q50" s="133">
        <f t="shared" si="11"/>
        <v>182426.65068459709</v>
      </c>
      <c r="R50" s="133">
        <f t="shared" si="11"/>
        <v>338792.35127139458</v>
      </c>
      <c r="S50" s="133">
        <f t="shared" si="11"/>
        <v>0</v>
      </c>
      <c r="T50" s="133">
        <f t="shared" si="11"/>
        <v>0</v>
      </c>
      <c r="U50" s="133">
        <f t="shared" si="11"/>
        <v>0</v>
      </c>
    </row>
    <row r="51" spans="3:21" s="97" customFormat="1" ht="12.75" customHeight="1" x14ac:dyDescent="0.2">
      <c r="C51" s="4" t="s">
        <v>4</v>
      </c>
      <c r="D51" s="4" t="s">
        <v>0</v>
      </c>
      <c r="E51" s="4" t="s">
        <v>67</v>
      </c>
      <c r="F51" s="136" t="str">
        <f t="shared" ref="F51:F76" si="12">C51&amp;D51&amp;E51</f>
        <v>ContractsVPNCurrency maintenance</v>
      </c>
      <c r="G51" s="3"/>
      <c r="H51" s="4"/>
      <c r="I51" s="13"/>
      <c r="J51" s="3"/>
      <c r="K51" s="4"/>
      <c r="L51" s="4"/>
      <c r="M51" s="4"/>
      <c r="N51" s="4"/>
      <c r="O51" s="4"/>
      <c r="Q51" s="133">
        <f t="shared" si="11"/>
        <v>390914.25146699377</v>
      </c>
      <c r="R51" s="133">
        <f t="shared" si="11"/>
        <v>703645.65264058881</v>
      </c>
      <c r="S51" s="133">
        <f t="shared" si="11"/>
        <v>0</v>
      </c>
      <c r="T51" s="133">
        <f t="shared" si="11"/>
        <v>0</v>
      </c>
      <c r="U51" s="133">
        <f t="shared" si="11"/>
        <v>0</v>
      </c>
    </row>
    <row r="52" spans="3:21" s="97" customFormat="1" ht="12.75" customHeight="1" x14ac:dyDescent="0.2">
      <c r="C52" s="4" t="s">
        <v>87</v>
      </c>
      <c r="D52" s="4" t="s">
        <v>92</v>
      </c>
      <c r="E52" s="4" t="s">
        <v>67</v>
      </c>
      <c r="F52" s="136" t="str">
        <f t="shared" si="12"/>
        <v>Labour OpexVPN opexCurrency maintenance</v>
      </c>
      <c r="G52" s="3"/>
      <c r="H52" s="4"/>
      <c r="I52" s="13"/>
      <c r="J52" s="3"/>
      <c r="K52" s="4"/>
      <c r="L52" s="4"/>
      <c r="M52" s="4"/>
      <c r="N52" s="4"/>
      <c r="O52" s="4"/>
      <c r="Q52" s="133">
        <f t="shared" si="11"/>
        <v>0</v>
      </c>
      <c r="R52" s="133">
        <f t="shared" si="11"/>
        <v>0</v>
      </c>
      <c r="S52" s="133">
        <f t="shared" si="11"/>
        <v>0</v>
      </c>
      <c r="T52" s="133">
        <f t="shared" si="11"/>
        <v>0</v>
      </c>
      <c r="U52" s="133">
        <f t="shared" si="11"/>
        <v>0</v>
      </c>
    </row>
    <row r="53" spans="3:21" s="97" customFormat="1" ht="12.75" customHeight="1" x14ac:dyDescent="0.2">
      <c r="C53" s="4" t="s">
        <v>88</v>
      </c>
      <c r="D53" s="4" t="s">
        <v>90</v>
      </c>
      <c r="E53" s="4" t="s">
        <v>67</v>
      </c>
      <c r="F53" s="136" t="str">
        <f t="shared" si="12"/>
        <v>Materials OpexVPN OpexCurrency maintenance</v>
      </c>
      <c r="G53" s="3"/>
      <c r="H53" s="4"/>
      <c r="I53" s="13"/>
      <c r="J53" s="3"/>
      <c r="K53" s="4"/>
      <c r="L53" s="4"/>
      <c r="M53" s="4"/>
      <c r="N53" s="4"/>
      <c r="O53" s="4"/>
      <c r="Q53" s="133">
        <f t="shared" si="11"/>
        <v>0</v>
      </c>
      <c r="R53" s="133">
        <f t="shared" si="11"/>
        <v>0</v>
      </c>
      <c r="S53" s="133">
        <f t="shared" si="11"/>
        <v>0</v>
      </c>
      <c r="T53" s="133">
        <f t="shared" si="11"/>
        <v>0</v>
      </c>
      <c r="U53" s="133">
        <f t="shared" si="11"/>
        <v>0</v>
      </c>
    </row>
    <row r="54" spans="3:21" s="97" customFormat="1" ht="12.75" customHeight="1" x14ac:dyDescent="0.2">
      <c r="C54" s="4" t="s">
        <v>86</v>
      </c>
      <c r="D54" s="4" t="s">
        <v>90</v>
      </c>
      <c r="E54" s="4" t="s">
        <v>67</v>
      </c>
      <c r="F54" s="136" t="str">
        <f t="shared" si="12"/>
        <v>Contracts OpexVPN OpexCurrency maintenance</v>
      </c>
      <c r="G54" s="3"/>
      <c r="H54" s="4"/>
      <c r="I54" s="13"/>
      <c r="J54" s="3"/>
      <c r="K54" s="4"/>
      <c r="L54" s="4"/>
      <c r="M54" s="4"/>
      <c r="N54" s="4"/>
      <c r="O54" s="4"/>
      <c r="Q54" s="133">
        <f t="shared" si="11"/>
        <v>0</v>
      </c>
      <c r="R54" s="133">
        <f t="shared" si="11"/>
        <v>0</v>
      </c>
      <c r="S54" s="133">
        <f t="shared" si="11"/>
        <v>0</v>
      </c>
      <c r="T54" s="133">
        <f t="shared" si="11"/>
        <v>0</v>
      </c>
      <c r="U54" s="133">
        <f t="shared" si="11"/>
        <v>0</v>
      </c>
    </row>
    <row r="55" spans="3:21" s="97" customFormat="1" x14ac:dyDescent="0.2">
      <c r="C55" s="4" t="s">
        <v>2</v>
      </c>
      <c r="D55" s="4" t="s">
        <v>54</v>
      </c>
      <c r="E55" s="4" t="s">
        <v>67</v>
      </c>
      <c r="F55" s="136" t="str">
        <f t="shared" si="12"/>
        <v>LabourUECurrency maintenance</v>
      </c>
      <c r="G55" s="3"/>
      <c r="H55" s="4"/>
      <c r="I55" s="13"/>
      <c r="J55" s="3"/>
      <c r="K55" s="4"/>
      <c r="L55" s="4"/>
      <c r="M55" s="4"/>
      <c r="N55" s="4"/>
      <c r="O55" s="4"/>
      <c r="Q55" s="133">
        <f t="shared" si="11"/>
        <v>319246.63869804493</v>
      </c>
      <c r="R55" s="133">
        <f t="shared" si="11"/>
        <v>446945.29417726287</v>
      </c>
      <c r="S55" s="133">
        <f t="shared" si="11"/>
        <v>0</v>
      </c>
      <c r="T55" s="133">
        <f t="shared" si="11"/>
        <v>0</v>
      </c>
      <c r="U55" s="133">
        <f t="shared" si="11"/>
        <v>0</v>
      </c>
    </row>
    <row r="56" spans="3:21" s="97" customFormat="1" x14ac:dyDescent="0.2">
      <c r="C56" s="4" t="s">
        <v>1</v>
      </c>
      <c r="D56" s="4" t="s">
        <v>54</v>
      </c>
      <c r="E56" s="4" t="s">
        <v>67</v>
      </c>
      <c r="F56" s="136" t="str">
        <f t="shared" si="12"/>
        <v>MaterialsUECurrency maintenance</v>
      </c>
      <c r="G56" s="3"/>
      <c r="H56" s="4"/>
      <c r="I56" s="13"/>
      <c r="J56" s="3"/>
      <c r="K56" s="4"/>
      <c r="L56" s="4"/>
      <c r="M56" s="4"/>
      <c r="N56" s="4"/>
      <c r="O56" s="4"/>
      <c r="Q56" s="133">
        <f t="shared" si="11"/>
        <v>182426.65068459709</v>
      </c>
      <c r="R56" s="133">
        <f t="shared" si="11"/>
        <v>338792.35127139458</v>
      </c>
      <c r="S56" s="133">
        <f t="shared" si="11"/>
        <v>0</v>
      </c>
      <c r="T56" s="133">
        <f t="shared" si="11"/>
        <v>0</v>
      </c>
      <c r="U56" s="133">
        <f t="shared" si="11"/>
        <v>0</v>
      </c>
    </row>
    <row r="57" spans="3:21" s="97" customFormat="1" x14ac:dyDescent="0.2">
      <c r="C57" s="4" t="s">
        <v>4</v>
      </c>
      <c r="D57" s="4" t="s">
        <v>54</v>
      </c>
      <c r="E57" s="4" t="s">
        <v>67</v>
      </c>
      <c r="F57" s="136" t="str">
        <f t="shared" si="12"/>
        <v>ContractsUECurrency maintenance</v>
      </c>
      <c r="G57" s="3"/>
      <c r="H57" s="7"/>
      <c r="I57" s="31"/>
      <c r="J57" s="3"/>
      <c r="K57" s="7"/>
      <c r="L57" s="7"/>
      <c r="M57" s="7"/>
      <c r="N57" s="7"/>
      <c r="O57" s="7"/>
      <c r="Q57" s="133">
        <f t="shared" si="11"/>
        <v>390914.25146699377</v>
      </c>
      <c r="R57" s="133">
        <f t="shared" si="11"/>
        <v>703645.65264058881</v>
      </c>
      <c r="S57" s="133">
        <f t="shared" si="11"/>
        <v>0</v>
      </c>
      <c r="T57" s="133">
        <f t="shared" si="11"/>
        <v>0</v>
      </c>
      <c r="U57" s="133">
        <f t="shared" si="11"/>
        <v>0</v>
      </c>
    </row>
    <row r="58" spans="3:21" s="97" customFormat="1" x14ac:dyDescent="0.2">
      <c r="C58" s="4" t="s">
        <v>87</v>
      </c>
      <c r="D58" s="4" t="s">
        <v>91</v>
      </c>
      <c r="E58" s="4" t="s">
        <v>67</v>
      </c>
      <c r="F58" s="136" t="str">
        <f t="shared" si="12"/>
        <v>Labour OpexUE OpexCurrency maintenance</v>
      </c>
      <c r="G58" s="3"/>
      <c r="H58" s="7"/>
      <c r="I58" s="31"/>
      <c r="J58" s="3"/>
      <c r="K58" s="7"/>
      <c r="L58" s="7"/>
      <c r="M58" s="7"/>
      <c r="N58" s="7"/>
      <c r="O58" s="7"/>
      <c r="Q58" s="133">
        <f t="shared" si="11"/>
        <v>0</v>
      </c>
      <c r="R58" s="133">
        <f t="shared" si="11"/>
        <v>0</v>
      </c>
      <c r="S58" s="133">
        <f t="shared" si="11"/>
        <v>0</v>
      </c>
      <c r="T58" s="133">
        <f t="shared" si="11"/>
        <v>0</v>
      </c>
      <c r="U58" s="133">
        <f t="shared" si="11"/>
        <v>0</v>
      </c>
    </row>
    <row r="59" spans="3:21" s="97" customFormat="1" x14ac:dyDescent="0.2">
      <c r="C59" s="4" t="s">
        <v>89</v>
      </c>
      <c r="D59" s="4" t="s">
        <v>91</v>
      </c>
      <c r="E59" s="4" t="s">
        <v>67</v>
      </c>
      <c r="F59" s="136" t="str">
        <f t="shared" si="12"/>
        <v>Materials opexUE OpexCurrency maintenance</v>
      </c>
      <c r="G59" s="3"/>
      <c r="H59" s="7"/>
      <c r="I59" s="31"/>
      <c r="J59" s="3"/>
      <c r="K59" s="7"/>
      <c r="L59" s="7"/>
      <c r="M59" s="7"/>
      <c r="N59" s="7"/>
      <c r="O59" s="7"/>
      <c r="Q59" s="133">
        <f t="shared" si="11"/>
        <v>0</v>
      </c>
      <c r="R59" s="133">
        <f t="shared" si="11"/>
        <v>0</v>
      </c>
      <c r="S59" s="133">
        <f t="shared" si="11"/>
        <v>0</v>
      </c>
      <c r="T59" s="133">
        <f t="shared" si="11"/>
        <v>0</v>
      </c>
      <c r="U59" s="133">
        <f t="shared" si="11"/>
        <v>0</v>
      </c>
    </row>
    <row r="60" spans="3:21" s="97" customFormat="1" x14ac:dyDescent="0.2">
      <c r="C60" s="4" t="s">
        <v>86</v>
      </c>
      <c r="D60" s="4" t="s">
        <v>91</v>
      </c>
      <c r="E60" s="4" t="s">
        <v>67</v>
      </c>
      <c r="F60" s="136" t="str">
        <f t="shared" si="12"/>
        <v>Contracts OpexUE OpexCurrency maintenance</v>
      </c>
      <c r="G60" s="3"/>
      <c r="H60" s="7"/>
      <c r="I60" s="31"/>
      <c r="J60" s="3"/>
      <c r="K60" s="7"/>
      <c r="L60" s="7"/>
      <c r="M60" s="7"/>
      <c r="N60" s="7"/>
      <c r="O60" s="7"/>
      <c r="Q60" s="133">
        <f t="shared" si="11"/>
        <v>0</v>
      </c>
      <c r="R60" s="133">
        <f t="shared" si="11"/>
        <v>0</v>
      </c>
      <c r="S60" s="133">
        <f t="shared" si="11"/>
        <v>0</v>
      </c>
      <c r="T60" s="133">
        <f t="shared" si="11"/>
        <v>0</v>
      </c>
      <c r="U60" s="133">
        <f t="shared" si="11"/>
        <v>0</v>
      </c>
    </row>
    <row r="61" spans="3:21" s="97" customFormat="1" x14ac:dyDescent="0.2">
      <c r="C61" s="4" t="s">
        <v>2</v>
      </c>
      <c r="D61" s="4" t="s">
        <v>64</v>
      </c>
      <c r="E61" s="4" t="s">
        <v>67</v>
      </c>
      <c r="F61" s="136" t="str">
        <f t="shared" ref="F61:F63" si="13">C61&amp;D61&amp;E61</f>
        <v>LabourAllCurrency maintenance</v>
      </c>
      <c r="G61" s="3"/>
      <c r="H61" s="7"/>
      <c r="I61" s="31"/>
      <c r="J61" s="3"/>
      <c r="K61" s="7"/>
      <c r="L61" s="7"/>
      <c r="M61" s="7"/>
      <c r="N61" s="7"/>
      <c r="O61" s="7"/>
      <c r="Q61" s="133">
        <f t="shared" si="11"/>
        <v>0</v>
      </c>
      <c r="R61" s="133">
        <f t="shared" si="11"/>
        <v>0</v>
      </c>
      <c r="S61" s="133">
        <f t="shared" si="11"/>
        <v>0</v>
      </c>
      <c r="T61" s="133">
        <f t="shared" si="11"/>
        <v>0</v>
      </c>
      <c r="U61" s="133">
        <f t="shared" si="11"/>
        <v>446945.29417726287</v>
      </c>
    </row>
    <row r="62" spans="3:21" s="97" customFormat="1" x14ac:dyDescent="0.2">
      <c r="C62" s="4" t="s">
        <v>1</v>
      </c>
      <c r="D62" s="4" t="s">
        <v>64</v>
      </c>
      <c r="E62" s="4" t="s">
        <v>67</v>
      </c>
      <c r="F62" s="136" t="str">
        <f t="shared" si="13"/>
        <v>MaterialsAllCurrency maintenance</v>
      </c>
      <c r="G62" s="3"/>
      <c r="H62" s="7"/>
      <c r="I62" s="31"/>
      <c r="J62" s="3"/>
      <c r="K62" s="7"/>
      <c r="L62" s="7"/>
      <c r="M62" s="7"/>
      <c r="N62" s="7"/>
      <c r="O62" s="7"/>
      <c r="Q62" s="133">
        <f t="shared" si="11"/>
        <v>0</v>
      </c>
      <c r="R62" s="133">
        <f t="shared" si="11"/>
        <v>0</v>
      </c>
      <c r="S62" s="133">
        <f t="shared" si="11"/>
        <v>0</v>
      </c>
      <c r="T62" s="133">
        <f t="shared" si="11"/>
        <v>0</v>
      </c>
      <c r="U62" s="133">
        <f t="shared" si="11"/>
        <v>336186.25626161462</v>
      </c>
    </row>
    <row r="63" spans="3:21" s="97" customFormat="1" x14ac:dyDescent="0.2">
      <c r="C63" s="4" t="s">
        <v>4</v>
      </c>
      <c r="D63" s="4" t="s">
        <v>64</v>
      </c>
      <c r="E63" s="4" t="s">
        <v>67</v>
      </c>
      <c r="F63" s="136" t="str">
        <f t="shared" si="13"/>
        <v>ContractsAllCurrency maintenance</v>
      </c>
      <c r="G63" s="3"/>
      <c r="H63" s="7"/>
      <c r="I63" s="31"/>
      <c r="J63" s="3"/>
      <c r="K63" s="7"/>
      <c r="L63" s="7"/>
      <c r="M63" s="7"/>
      <c r="N63" s="7"/>
      <c r="O63" s="7"/>
      <c r="Q63" s="133">
        <f t="shared" si="11"/>
        <v>0</v>
      </c>
      <c r="R63" s="133">
        <f t="shared" si="11"/>
        <v>0</v>
      </c>
      <c r="S63" s="133">
        <f t="shared" si="11"/>
        <v>0</v>
      </c>
      <c r="T63" s="133">
        <f t="shared" si="11"/>
        <v>0</v>
      </c>
      <c r="U63" s="133">
        <f t="shared" si="11"/>
        <v>703645.65264058881</v>
      </c>
    </row>
    <row r="64" spans="3:21" s="97" customFormat="1" x14ac:dyDescent="0.2">
      <c r="C64" s="4"/>
      <c r="D64" s="4"/>
      <c r="E64" s="4"/>
      <c r="F64" s="132"/>
      <c r="G64" s="3"/>
      <c r="H64" s="7"/>
      <c r="I64" s="31"/>
      <c r="J64" s="3"/>
      <c r="K64" s="7"/>
      <c r="L64" s="7"/>
      <c r="M64" s="7"/>
      <c r="N64" s="7"/>
      <c r="O64" s="7"/>
      <c r="Q64" s="133"/>
      <c r="R64" s="133"/>
      <c r="S64" s="133"/>
      <c r="T64" s="133"/>
      <c r="U64" s="133"/>
    </row>
    <row r="65" spans="3:22" s="97" customFormat="1" x14ac:dyDescent="0.2">
      <c r="C65" s="4" t="s">
        <v>2</v>
      </c>
      <c r="D65" s="4" t="s">
        <v>0</v>
      </c>
      <c r="E65" s="4" t="s">
        <v>93</v>
      </c>
      <c r="F65" s="132" t="str">
        <f t="shared" si="12"/>
        <v>LabourVPNS4 upgrade</v>
      </c>
      <c r="G65" s="3"/>
      <c r="H65" s="7"/>
      <c r="I65" s="31"/>
      <c r="J65" s="3"/>
      <c r="K65" s="7"/>
      <c r="L65" s="7"/>
      <c r="M65" s="7"/>
      <c r="N65" s="7"/>
      <c r="O65" s="7"/>
      <c r="Q65" s="133">
        <f t="shared" ref="Q65:U79" si="14">SUMIFS(Q$10:Q$31,$F$10:$F$31,$C65,$D$10:$D$31,$D65)*Conv_2021-Q49</f>
        <v>0</v>
      </c>
      <c r="R65" s="133">
        <f t="shared" si="14"/>
        <v>0</v>
      </c>
      <c r="S65" s="133">
        <f t="shared" si="14"/>
        <v>0</v>
      </c>
      <c r="T65" s="133">
        <f t="shared" si="14"/>
        <v>0</v>
      </c>
      <c r="U65" s="133">
        <f t="shared" si="14"/>
        <v>0</v>
      </c>
    </row>
    <row r="66" spans="3:22" s="97" customFormat="1" x14ac:dyDescent="0.2">
      <c r="C66" s="4" t="s">
        <v>1</v>
      </c>
      <c r="D66" s="4" t="s">
        <v>0</v>
      </c>
      <c r="E66" s="4" t="s">
        <v>93</v>
      </c>
      <c r="F66" s="132" t="str">
        <f t="shared" si="12"/>
        <v>MaterialsVPNS4 upgrade</v>
      </c>
      <c r="G66" s="3"/>
      <c r="H66" s="7"/>
      <c r="I66" s="31"/>
      <c r="J66" s="3"/>
      <c r="K66" s="7"/>
      <c r="L66" s="7"/>
      <c r="M66" s="7"/>
      <c r="N66" s="7"/>
      <c r="O66" s="7"/>
      <c r="Q66" s="133">
        <f t="shared" si="14"/>
        <v>0</v>
      </c>
      <c r="R66" s="133">
        <f t="shared" si="14"/>
        <v>0</v>
      </c>
      <c r="S66" s="133">
        <f t="shared" si="14"/>
        <v>0</v>
      </c>
      <c r="T66" s="133">
        <f t="shared" si="14"/>
        <v>0</v>
      </c>
      <c r="U66" s="133">
        <f t="shared" si="14"/>
        <v>0</v>
      </c>
    </row>
    <row r="67" spans="3:22" s="97" customFormat="1" x14ac:dyDescent="0.2">
      <c r="C67" s="4" t="s">
        <v>4</v>
      </c>
      <c r="D67" s="4" t="s">
        <v>0</v>
      </c>
      <c r="E67" s="4" t="s">
        <v>93</v>
      </c>
      <c r="F67" s="132" t="str">
        <f t="shared" si="12"/>
        <v>ContractsVPNS4 upgrade</v>
      </c>
      <c r="G67" s="3"/>
      <c r="H67" s="7"/>
      <c r="I67" s="31"/>
      <c r="J67" s="3"/>
      <c r="K67" s="7"/>
      <c r="L67" s="7"/>
      <c r="M67" s="7"/>
      <c r="N67" s="7"/>
      <c r="O67" s="7"/>
      <c r="Q67" s="133">
        <f t="shared" si="14"/>
        <v>0</v>
      </c>
      <c r="R67" s="133">
        <f t="shared" si="14"/>
        <v>0</v>
      </c>
      <c r="S67" s="133">
        <f t="shared" si="14"/>
        <v>0</v>
      </c>
      <c r="T67" s="133">
        <f t="shared" si="14"/>
        <v>0</v>
      </c>
      <c r="U67" s="133">
        <f t="shared" si="14"/>
        <v>0</v>
      </c>
    </row>
    <row r="68" spans="3:22" s="97" customFormat="1" x14ac:dyDescent="0.2">
      <c r="C68" s="4" t="s">
        <v>87</v>
      </c>
      <c r="D68" s="4" t="s">
        <v>92</v>
      </c>
      <c r="E68" s="4" t="s">
        <v>93</v>
      </c>
      <c r="F68" s="132" t="str">
        <f t="shared" si="12"/>
        <v>Labour OpexVPN opexS4 upgrade</v>
      </c>
      <c r="G68" s="3"/>
      <c r="H68" s="7"/>
      <c r="I68" s="31"/>
      <c r="J68" s="3"/>
      <c r="K68" s="7"/>
      <c r="L68" s="7"/>
      <c r="M68" s="7"/>
      <c r="N68" s="7"/>
      <c r="O68" s="7"/>
      <c r="Q68" s="133">
        <f t="shared" si="14"/>
        <v>0</v>
      </c>
      <c r="R68" s="133">
        <f t="shared" si="14"/>
        <v>0</v>
      </c>
      <c r="S68" s="133">
        <f t="shared" si="14"/>
        <v>0</v>
      </c>
      <c r="T68" s="133">
        <f t="shared" si="14"/>
        <v>0</v>
      </c>
      <c r="U68" s="133">
        <f t="shared" si="14"/>
        <v>0</v>
      </c>
    </row>
    <row r="69" spans="3:22" s="97" customFormat="1" x14ac:dyDescent="0.2">
      <c r="C69" s="4" t="s">
        <v>88</v>
      </c>
      <c r="D69" s="4" t="s">
        <v>90</v>
      </c>
      <c r="E69" s="4" t="s">
        <v>93</v>
      </c>
      <c r="F69" s="132" t="str">
        <f t="shared" si="12"/>
        <v>Materials OpexVPN OpexS4 upgrade</v>
      </c>
      <c r="G69" s="3"/>
      <c r="H69" s="7"/>
      <c r="I69" s="31"/>
      <c r="J69" s="3"/>
      <c r="K69" s="7"/>
      <c r="L69" s="7"/>
      <c r="M69" s="7"/>
      <c r="N69" s="7"/>
      <c r="O69" s="7"/>
      <c r="Q69" s="133">
        <f t="shared" si="14"/>
        <v>0</v>
      </c>
      <c r="R69" s="133">
        <f t="shared" si="14"/>
        <v>0</v>
      </c>
      <c r="S69" s="133">
        <f t="shared" si="14"/>
        <v>0</v>
      </c>
      <c r="T69" s="133">
        <f t="shared" si="14"/>
        <v>0</v>
      </c>
      <c r="U69" s="133">
        <f t="shared" si="14"/>
        <v>0</v>
      </c>
    </row>
    <row r="70" spans="3:22" s="97" customFormat="1" x14ac:dyDescent="0.2">
      <c r="C70" s="4" t="s">
        <v>86</v>
      </c>
      <c r="D70" s="4" t="s">
        <v>90</v>
      </c>
      <c r="E70" s="4" t="s">
        <v>93</v>
      </c>
      <c r="F70" s="132" t="str">
        <f t="shared" si="12"/>
        <v>Contracts OpexVPN OpexS4 upgrade</v>
      </c>
      <c r="G70" s="3"/>
      <c r="H70" s="7"/>
      <c r="I70" s="31"/>
      <c r="J70" s="3"/>
      <c r="K70" s="7"/>
      <c r="L70" s="7"/>
      <c r="M70" s="7"/>
      <c r="N70" s="7"/>
      <c r="O70" s="7"/>
      <c r="Q70" s="133">
        <f t="shared" si="14"/>
        <v>0</v>
      </c>
      <c r="R70" s="133">
        <f t="shared" si="14"/>
        <v>0</v>
      </c>
      <c r="S70" s="133">
        <f t="shared" si="14"/>
        <v>0</v>
      </c>
      <c r="T70" s="133">
        <f t="shared" si="14"/>
        <v>0</v>
      </c>
      <c r="U70" s="133">
        <f t="shared" si="14"/>
        <v>0</v>
      </c>
    </row>
    <row r="71" spans="3:22" s="97" customFormat="1" x14ac:dyDescent="0.2">
      <c r="C71" s="4" t="s">
        <v>2</v>
      </c>
      <c r="D71" s="4" t="s">
        <v>54</v>
      </c>
      <c r="E71" s="4" t="s">
        <v>93</v>
      </c>
      <c r="F71" s="132" t="str">
        <f t="shared" si="12"/>
        <v>LabourUES4 upgrade</v>
      </c>
      <c r="G71" s="3"/>
      <c r="H71" s="7"/>
      <c r="I71" s="31"/>
      <c r="J71" s="3"/>
      <c r="K71" s="7"/>
      <c r="L71" s="7"/>
      <c r="M71" s="7"/>
      <c r="N71" s="7"/>
      <c r="O71" s="7"/>
      <c r="Q71" s="133">
        <f t="shared" si="14"/>
        <v>0</v>
      </c>
      <c r="R71" s="133">
        <f t="shared" si="14"/>
        <v>0</v>
      </c>
      <c r="S71" s="133">
        <f t="shared" si="14"/>
        <v>0</v>
      </c>
      <c r="T71" s="133">
        <f t="shared" si="14"/>
        <v>0</v>
      </c>
      <c r="U71" s="133">
        <f t="shared" si="14"/>
        <v>0</v>
      </c>
    </row>
    <row r="72" spans="3:22" s="97" customFormat="1" x14ac:dyDescent="0.2">
      <c r="C72" s="4" t="s">
        <v>1</v>
      </c>
      <c r="D72" s="4" t="s">
        <v>54</v>
      </c>
      <c r="E72" s="4" t="s">
        <v>93</v>
      </c>
      <c r="F72" s="132" t="str">
        <f t="shared" si="12"/>
        <v>MaterialsUES4 upgrade</v>
      </c>
      <c r="G72" s="3"/>
      <c r="H72" s="7"/>
      <c r="I72" s="31"/>
      <c r="J72" s="3"/>
      <c r="K72" s="7"/>
      <c r="L72" s="7"/>
      <c r="M72" s="7"/>
      <c r="N72" s="7"/>
      <c r="O72" s="7"/>
      <c r="Q72" s="133">
        <f t="shared" si="14"/>
        <v>0</v>
      </c>
      <c r="R72" s="133">
        <f t="shared" si="14"/>
        <v>0</v>
      </c>
      <c r="S72" s="133">
        <f t="shared" si="14"/>
        <v>0</v>
      </c>
      <c r="T72" s="133">
        <f t="shared" si="14"/>
        <v>0</v>
      </c>
      <c r="U72" s="133">
        <f t="shared" si="14"/>
        <v>0</v>
      </c>
    </row>
    <row r="73" spans="3:22" s="97" customFormat="1" x14ac:dyDescent="0.2">
      <c r="C73" s="4" t="s">
        <v>4</v>
      </c>
      <c r="D73" s="4" t="s">
        <v>54</v>
      </c>
      <c r="E73" s="4" t="s">
        <v>93</v>
      </c>
      <c r="F73" s="132" t="str">
        <f t="shared" si="12"/>
        <v>ContractsUES4 upgrade</v>
      </c>
      <c r="G73" s="3"/>
      <c r="H73" s="7"/>
      <c r="I73" s="31"/>
      <c r="J73" s="3"/>
      <c r="K73" s="7"/>
      <c r="L73" s="7"/>
      <c r="M73" s="7"/>
      <c r="N73" s="7"/>
      <c r="O73" s="7"/>
      <c r="Q73" s="133">
        <f t="shared" si="14"/>
        <v>0</v>
      </c>
      <c r="R73" s="133">
        <f t="shared" si="14"/>
        <v>0</v>
      </c>
      <c r="S73" s="133">
        <f t="shared" si="14"/>
        <v>0</v>
      </c>
      <c r="T73" s="133">
        <f t="shared" si="14"/>
        <v>0</v>
      </c>
      <c r="U73" s="133">
        <f t="shared" si="14"/>
        <v>0</v>
      </c>
    </row>
    <row r="74" spans="3:22" s="97" customFormat="1" x14ac:dyDescent="0.2">
      <c r="C74" s="4" t="s">
        <v>87</v>
      </c>
      <c r="D74" s="4" t="s">
        <v>91</v>
      </c>
      <c r="E74" s="4" t="s">
        <v>93</v>
      </c>
      <c r="F74" s="132" t="str">
        <f t="shared" si="12"/>
        <v>Labour OpexUE OpexS4 upgrade</v>
      </c>
      <c r="G74" s="3"/>
      <c r="H74" s="7"/>
      <c r="I74" s="31"/>
      <c r="J74" s="3"/>
      <c r="K74" s="7"/>
      <c r="L74" s="7"/>
      <c r="M74" s="7"/>
      <c r="N74" s="7"/>
      <c r="O74" s="7"/>
      <c r="Q74" s="133">
        <f t="shared" si="14"/>
        <v>0</v>
      </c>
      <c r="R74" s="133">
        <f t="shared" si="14"/>
        <v>0</v>
      </c>
      <c r="S74" s="133">
        <f t="shared" si="14"/>
        <v>0</v>
      </c>
      <c r="T74" s="133">
        <f t="shared" si="14"/>
        <v>0</v>
      </c>
      <c r="U74" s="133">
        <f t="shared" si="14"/>
        <v>0</v>
      </c>
    </row>
    <row r="75" spans="3:22" s="97" customFormat="1" x14ac:dyDescent="0.2">
      <c r="C75" s="4" t="s">
        <v>89</v>
      </c>
      <c r="D75" s="4" t="s">
        <v>91</v>
      </c>
      <c r="E75" s="4" t="s">
        <v>93</v>
      </c>
      <c r="F75" s="132" t="str">
        <f t="shared" si="12"/>
        <v>Materials opexUE OpexS4 upgrade</v>
      </c>
      <c r="G75" s="3"/>
      <c r="H75" s="7"/>
      <c r="I75" s="31"/>
      <c r="J75" s="3"/>
      <c r="K75" s="7"/>
      <c r="L75" s="7"/>
      <c r="M75" s="7"/>
      <c r="N75" s="7"/>
      <c r="O75" s="7"/>
      <c r="Q75" s="133">
        <f t="shared" si="14"/>
        <v>0</v>
      </c>
      <c r="R75" s="133">
        <f t="shared" si="14"/>
        <v>0</v>
      </c>
      <c r="S75" s="133">
        <f t="shared" si="14"/>
        <v>0</v>
      </c>
      <c r="T75" s="133">
        <f t="shared" si="14"/>
        <v>0</v>
      </c>
      <c r="U75" s="133">
        <f t="shared" si="14"/>
        <v>0</v>
      </c>
    </row>
    <row r="76" spans="3:22" s="97" customFormat="1" x14ac:dyDescent="0.2">
      <c r="C76" s="4" t="s">
        <v>86</v>
      </c>
      <c r="D76" s="4" t="s">
        <v>91</v>
      </c>
      <c r="E76" s="4" t="s">
        <v>93</v>
      </c>
      <c r="F76" s="132" t="str">
        <f t="shared" si="12"/>
        <v>Contracts OpexUE OpexS4 upgrade</v>
      </c>
      <c r="G76" s="3"/>
      <c r="H76" s="7"/>
      <c r="I76" s="31"/>
      <c r="J76" s="3"/>
      <c r="K76" s="7"/>
      <c r="L76" s="7"/>
      <c r="M76" s="7"/>
      <c r="N76" s="7"/>
      <c r="O76" s="7"/>
      <c r="Q76" s="133">
        <f t="shared" si="14"/>
        <v>0</v>
      </c>
      <c r="R76" s="133">
        <f t="shared" si="14"/>
        <v>0</v>
      </c>
      <c r="S76" s="133">
        <f t="shared" si="14"/>
        <v>0</v>
      </c>
      <c r="T76" s="133">
        <f t="shared" si="14"/>
        <v>0</v>
      </c>
      <c r="U76" s="133">
        <f t="shared" si="14"/>
        <v>0</v>
      </c>
    </row>
    <row r="77" spans="3:22" s="97" customFormat="1" x14ac:dyDescent="0.2">
      <c r="C77" s="4" t="s">
        <v>2</v>
      </c>
      <c r="D77" s="4" t="s">
        <v>64</v>
      </c>
      <c r="E77" s="4" t="s">
        <v>93</v>
      </c>
      <c r="F77" s="132" t="str">
        <f t="shared" ref="F77:F79" si="15">C77&amp;D77&amp;E77</f>
        <v>LabourAllS4 upgrade</v>
      </c>
      <c r="G77" s="3"/>
      <c r="H77" s="7"/>
      <c r="I77" s="31"/>
      <c r="J77" s="3"/>
      <c r="K77" s="7"/>
      <c r="L77" s="7"/>
      <c r="M77" s="7"/>
      <c r="N77" s="7"/>
      <c r="O77" s="7"/>
      <c r="Q77" s="133">
        <f t="shared" si="14"/>
        <v>0</v>
      </c>
      <c r="R77" s="133">
        <f t="shared" si="14"/>
        <v>4469452.9417726286</v>
      </c>
      <c r="S77" s="133">
        <f t="shared" si="14"/>
        <v>8300412.6061491678</v>
      </c>
      <c r="T77" s="133">
        <f t="shared" si="14"/>
        <v>7406522.0177946417</v>
      </c>
      <c r="U77" s="133">
        <f t="shared" si="14"/>
        <v>0</v>
      </c>
    </row>
    <row r="78" spans="3:22" s="97" customFormat="1" x14ac:dyDescent="0.2">
      <c r="C78" s="4" t="s">
        <v>1</v>
      </c>
      <c r="D78" s="4" t="s">
        <v>64</v>
      </c>
      <c r="E78" s="4" t="s">
        <v>93</v>
      </c>
      <c r="F78" s="132" t="str">
        <f t="shared" si="15"/>
        <v>MaterialsAllS4 upgrade</v>
      </c>
      <c r="G78" s="3"/>
      <c r="H78" s="7"/>
      <c r="I78" s="31"/>
      <c r="J78" s="3"/>
      <c r="K78" s="7"/>
      <c r="L78" s="7"/>
      <c r="M78" s="7"/>
      <c r="N78" s="7"/>
      <c r="O78" s="7"/>
      <c r="Q78" s="133">
        <f t="shared" si="14"/>
        <v>0</v>
      </c>
      <c r="R78" s="133">
        <f t="shared" si="14"/>
        <v>0</v>
      </c>
      <c r="S78" s="133">
        <f t="shared" si="14"/>
        <v>3127314.0117359501</v>
      </c>
      <c r="T78" s="133">
        <f t="shared" si="14"/>
        <v>0</v>
      </c>
      <c r="U78" s="133">
        <f t="shared" si="14"/>
        <v>0</v>
      </c>
    </row>
    <row r="79" spans="3:22" s="97" customFormat="1" x14ac:dyDescent="0.2">
      <c r="C79" s="4" t="s">
        <v>4</v>
      </c>
      <c r="D79" s="4" t="s">
        <v>64</v>
      </c>
      <c r="E79" s="4" t="s">
        <v>93</v>
      </c>
      <c r="F79" s="132" t="str">
        <f t="shared" si="15"/>
        <v>ContractsAllS4 upgrade</v>
      </c>
      <c r="G79" s="3"/>
      <c r="H79" s="7"/>
      <c r="I79" s="31"/>
      <c r="J79" s="3"/>
      <c r="K79" s="7"/>
      <c r="L79" s="7"/>
      <c r="M79" s="7"/>
      <c r="N79" s="7"/>
      <c r="O79" s="7"/>
      <c r="Q79" s="133">
        <f t="shared" si="14"/>
        <v>0</v>
      </c>
      <c r="R79" s="133">
        <f t="shared" si="14"/>
        <v>2606095.0097799585</v>
      </c>
      <c r="S79" s="133">
        <f t="shared" si="14"/>
        <v>10372258.138924235</v>
      </c>
      <c r="T79" s="133">
        <f t="shared" si="14"/>
        <v>8964966.8336430565</v>
      </c>
      <c r="U79" s="133">
        <f t="shared" si="14"/>
        <v>0</v>
      </c>
    </row>
    <row r="80" spans="3:22" s="97" customFormat="1" x14ac:dyDescent="0.2">
      <c r="C80" s="10" t="s">
        <v>82</v>
      </c>
      <c r="D80" s="10"/>
      <c r="E80" s="10"/>
      <c r="F80" s="10"/>
      <c r="G80" s="3"/>
      <c r="H80" s="10"/>
      <c r="I80" s="14"/>
      <c r="J80" s="3"/>
      <c r="K80" s="10"/>
      <c r="L80" s="10"/>
      <c r="M80" s="10"/>
      <c r="N80" s="10"/>
      <c r="O80" s="10"/>
      <c r="Q80" s="11">
        <f>SUM(Q49:Q79)</f>
        <v>1785175.0816992717</v>
      </c>
      <c r="R80" s="11">
        <f t="shared" ref="R80:U80" si="16">SUM(R49:R79)</f>
        <v>10054314.547731079</v>
      </c>
      <c r="S80" s="11">
        <f t="shared" si="16"/>
        <v>21799984.756809354</v>
      </c>
      <c r="T80" s="11">
        <f t="shared" si="16"/>
        <v>16371488.851437699</v>
      </c>
      <c r="U80" s="11">
        <f t="shared" si="16"/>
        <v>1486777.2030794662</v>
      </c>
      <c r="V80" s="42"/>
    </row>
    <row r="81" spans="3:34" s="97" customFormat="1" x14ac:dyDescent="0.2">
      <c r="C81" s="28"/>
      <c r="D81" s="28"/>
      <c r="E81" s="28"/>
      <c r="F81" s="28"/>
      <c r="G81" s="3"/>
      <c r="H81" s="28"/>
      <c r="I81" s="29"/>
      <c r="J81" s="3"/>
      <c r="K81" s="28"/>
      <c r="L81" s="28"/>
      <c r="M81" s="28"/>
      <c r="N81" s="28"/>
      <c r="O81" s="28"/>
      <c r="Q81" s="43"/>
      <c r="R81" s="43"/>
      <c r="S81" s="43"/>
      <c r="T81" s="43"/>
      <c r="U81" s="43"/>
      <c r="V81" s="42"/>
    </row>
    <row r="82" spans="3:34" s="97" customFormat="1" x14ac:dyDescent="0.2">
      <c r="C82" s="98" t="s">
        <v>12</v>
      </c>
      <c r="D82" s="98"/>
      <c r="E82" s="98"/>
      <c r="F82" s="98"/>
      <c r="G82" s="3"/>
      <c r="H82" s="98"/>
      <c r="I82" s="98"/>
      <c r="J82" s="3"/>
      <c r="K82" s="98"/>
      <c r="L82" s="98"/>
      <c r="M82" s="98"/>
      <c r="N82" s="98"/>
      <c r="O82" s="98"/>
      <c r="Q82" s="99">
        <f>Q42-Q80</f>
        <v>0</v>
      </c>
      <c r="R82" s="99">
        <f t="shared" ref="R82:U82" si="17">R42-R80</f>
        <v>0</v>
      </c>
      <c r="S82" s="99">
        <f t="shared" si="17"/>
        <v>0</v>
      </c>
      <c r="T82" s="99">
        <f t="shared" si="17"/>
        <v>0</v>
      </c>
      <c r="U82" s="99">
        <f t="shared" si="17"/>
        <v>0</v>
      </c>
      <c r="W82" s="99">
        <f>SUM(Q82:U82)</f>
        <v>0</v>
      </c>
    </row>
    <row r="85" spans="3:34" x14ac:dyDescent="0.2">
      <c r="C85" s="5" t="s">
        <v>75</v>
      </c>
      <c r="D85" s="7"/>
      <c r="E85" s="97"/>
      <c r="F85" s="97"/>
      <c r="G85" s="3"/>
      <c r="H85" s="97"/>
      <c r="J85" s="3"/>
      <c r="K85" s="97"/>
      <c r="L85" s="97"/>
      <c r="M85" s="97"/>
      <c r="N85" s="97"/>
      <c r="O85" s="97"/>
      <c r="P85" s="3"/>
      <c r="Q85" s="97"/>
      <c r="R85" s="97"/>
      <c r="S85" s="97"/>
      <c r="T85" s="97"/>
      <c r="U85" s="97"/>
      <c r="V85" s="97"/>
      <c r="W85" s="97"/>
    </row>
    <row r="86" spans="3:34" x14ac:dyDescent="0.2">
      <c r="C86" s="28" t="s">
        <v>2</v>
      </c>
      <c r="D86" s="148" t="s">
        <v>0</v>
      </c>
      <c r="E86" s="148" t="s">
        <v>67</v>
      </c>
      <c r="F86" s="149" t="str">
        <f t="shared" ref="F86" si="18">C86&amp;D86&amp;E86</f>
        <v>LabourVPNCurrency maintenance</v>
      </c>
      <c r="G86" s="134"/>
      <c r="H86" s="148"/>
      <c r="I86" s="150"/>
      <c r="J86" s="134"/>
      <c r="K86" s="148"/>
      <c r="L86" s="148"/>
      <c r="M86" s="148"/>
      <c r="N86" s="148"/>
      <c r="O86" s="148"/>
      <c r="P86" s="2"/>
      <c r="Q86" s="43">
        <f>Q49+(Q61*Assumptions!$B$30)</f>
        <v>319246.63869804493</v>
      </c>
      <c r="R86" s="43">
        <f>R49+(R61*Assumptions!$B$30)</f>
        <v>446945.29417726287</v>
      </c>
      <c r="S86" s="43">
        <f>S49+(S61*Assumptions!$B$30)</f>
        <v>0</v>
      </c>
      <c r="T86" s="43">
        <f>T49+(T61*Assumptions!$B$30)</f>
        <v>0</v>
      </c>
      <c r="U86" s="43">
        <f>U49+(U61*Assumptions!$B$30)</f>
        <v>223472.64708863143</v>
      </c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3:34" x14ac:dyDescent="0.2">
      <c r="C87" s="4" t="s">
        <v>1</v>
      </c>
      <c r="D87" s="151" t="s">
        <v>0</v>
      </c>
      <c r="E87" s="151" t="s">
        <v>67</v>
      </c>
      <c r="F87" s="152" t="str">
        <f>C87&amp;D87&amp;E87</f>
        <v>MaterialsVPNCurrency maintenance</v>
      </c>
      <c r="G87" s="134"/>
      <c r="H87" s="151"/>
      <c r="I87" s="153"/>
      <c r="J87" s="134"/>
      <c r="K87" s="151"/>
      <c r="L87" s="151"/>
      <c r="M87" s="151"/>
      <c r="N87" s="151"/>
      <c r="O87" s="151"/>
      <c r="P87" s="2"/>
      <c r="Q87" s="133">
        <f>Q50+(Q62*Assumptions!$B$30)</f>
        <v>182426.65068459709</v>
      </c>
      <c r="R87" s="133">
        <f>R50+(R62*Assumptions!$B$30)</f>
        <v>338792.35127139458</v>
      </c>
      <c r="S87" s="133">
        <f>S50+(S62*Assumptions!$B$30)</f>
        <v>0</v>
      </c>
      <c r="T87" s="133">
        <f>T50+(T62*Assumptions!$B$30)</f>
        <v>0</v>
      </c>
      <c r="U87" s="133">
        <f>U50+(U62*Assumptions!$B$30)</f>
        <v>168093.12813080731</v>
      </c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3:34" x14ac:dyDescent="0.2">
      <c r="C88" s="4" t="s">
        <v>4</v>
      </c>
      <c r="D88" s="151" t="s">
        <v>0</v>
      </c>
      <c r="E88" s="151" t="s">
        <v>67</v>
      </c>
      <c r="F88" s="152" t="str">
        <f t="shared" ref="F88:F100" si="19">C88&amp;D88&amp;E88</f>
        <v>ContractsVPNCurrency maintenance</v>
      </c>
      <c r="G88" s="134"/>
      <c r="H88" s="151"/>
      <c r="I88" s="153"/>
      <c r="J88" s="134"/>
      <c r="K88" s="151"/>
      <c r="L88" s="151"/>
      <c r="M88" s="151"/>
      <c r="N88" s="151"/>
      <c r="O88" s="151"/>
      <c r="P88" s="2"/>
      <c r="Q88" s="133">
        <f>Q51+(Q63*Assumptions!$B$30)</f>
        <v>390914.25146699377</v>
      </c>
      <c r="R88" s="133">
        <f>R51+(R63*Assumptions!$B$30)</f>
        <v>703645.65264058881</v>
      </c>
      <c r="S88" s="133">
        <f>S51+(S63*Assumptions!$B$30)</f>
        <v>0</v>
      </c>
      <c r="T88" s="133">
        <f>T51+(T63*Assumptions!$B$30)</f>
        <v>0</v>
      </c>
      <c r="U88" s="133">
        <f>U51+(U63*Assumptions!$B$30)</f>
        <v>351822.82632029441</v>
      </c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3:34" s="97" customFormat="1" x14ac:dyDescent="0.2">
      <c r="C89" s="4"/>
      <c r="D89" s="151"/>
      <c r="E89" s="151"/>
      <c r="F89" s="152"/>
      <c r="G89" s="134"/>
      <c r="H89" s="151"/>
      <c r="I89" s="153"/>
      <c r="J89" s="134"/>
      <c r="K89" s="151"/>
      <c r="L89" s="151"/>
      <c r="M89" s="151"/>
      <c r="N89" s="151"/>
      <c r="O89" s="151"/>
      <c r="P89" s="2"/>
      <c r="Q89" s="133"/>
      <c r="R89" s="133"/>
      <c r="S89" s="133"/>
      <c r="T89" s="133"/>
      <c r="U89" s="133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3:34" x14ac:dyDescent="0.2">
      <c r="C90" s="4" t="s">
        <v>87</v>
      </c>
      <c r="D90" s="151" t="s">
        <v>92</v>
      </c>
      <c r="E90" s="151" t="s">
        <v>67</v>
      </c>
      <c r="F90" s="152" t="str">
        <f t="shared" si="19"/>
        <v>Labour OpexVPN opexCurrency maintenance</v>
      </c>
      <c r="G90" s="134"/>
      <c r="H90" s="151"/>
      <c r="I90" s="153"/>
      <c r="J90" s="134"/>
      <c r="K90" s="151"/>
      <c r="L90" s="151"/>
      <c r="M90" s="151"/>
      <c r="N90" s="151"/>
      <c r="O90" s="151"/>
      <c r="P90" s="2"/>
      <c r="Q90" s="133">
        <f>Q52</f>
        <v>0</v>
      </c>
      <c r="R90" s="133">
        <f t="shared" ref="R90:U90" si="20">R52</f>
        <v>0</v>
      </c>
      <c r="S90" s="133">
        <f t="shared" si="20"/>
        <v>0</v>
      </c>
      <c r="T90" s="133">
        <f t="shared" si="20"/>
        <v>0</v>
      </c>
      <c r="U90" s="133">
        <f t="shared" si="20"/>
        <v>0</v>
      </c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3:34" x14ac:dyDescent="0.2">
      <c r="C91" s="4" t="s">
        <v>88</v>
      </c>
      <c r="D91" s="151" t="s">
        <v>90</v>
      </c>
      <c r="E91" s="151" t="s">
        <v>67</v>
      </c>
      <c r="F91" s="152" t="str">
        <f t="shared" si="19"/>
        <v>Materials OpexVPN OpexCurrency maintenance</v>
      </c>
      <c r="G91" s="134"/>
      <c r="H91" s="151"/>
      <c r="I91" s="153"/>
      <c r="J91" s="134"/>
      <c r="K91" s="151"/>
      <c r="L91" s="151"/>
      <c r="M91" s="151"/>
      <c r="N91" s="151"/>
      <c r="O91" s="151"/>
      <c r="P91" s="2"/>
      <c r="Q91" s="133">
        <f t="shared" ref="Q91:U91" si="21">Q53</f>
        <v>0</v>
      </c>
      <c r="R91" s="133">
        <f t="shared" si="21"/>
        <v>0</v>
      </c>
      <c r="S91" s="133">
        <f t="shared" si="21"/>
        <v>0</v>
      </c>
      <c r="T91" s="133">
        <f t="shared" si="21"/>
        <v>0</v>
      </c>
      <c r="U91" s="133">
        <f t="shared" si="21"/>
        <v>0</v>
      </c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3:34" x14ac:dyDescent="0.2">
      <c r="C92" s="4" t="s">
        <v>86</v>
      </c>
      <c r="D92" s="151" t="s">
        <v>90</v>
      </c>
      <c r="E92" s="151" t="s">
        <v>67</v>
      </c>
      <c r="F92" s="152" t="str">
        <f t="shared" si="19"/>
        <v>Contracts OpexVPN OpexCurrency maintenance</v>
      </c>
      <c r="G92" s="134"/>
      <c r="H92" s="151"/>
      <c r="I92" s="153"/>
      <c r="J92" s="134"/>
      <c r="K92" s="151"/>
      <c r="L92" s="151"/>
      <c r="M92" s="151"/>
      <c r="N92" s="151"/>
      <c r="O92" s="151"/>
      <c r="P92" s="2"/>
      <c r="Q92" s="133">
        <f t="shared" ref="Q92:U92" si="22">Q54</f>
        <v>0</v>
      </c>
      <c r="R92" s="133">
        <f t="shared" si="22"/>
        <v>0</v>
      </c>
      <c r="S92" s="133">
        <f t="shared" si="22"/>
        <v>0</v>
      </c>
      <c r="T92" s="133">
        <f t="shared" si="22"/>
        <v>0</v>
      </c>
      <c r="U92" s="133">
        <f t="shared" si="22"/>
        <v>0</v>
      </c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3:34" s="97" customFormat="1" x14ac:dyDescent="0.2">
      <c r="C93" s="4"/>
      <c r="D93" s="151"/>
      <c r="E93" s="151"/>
      <c r="F93" s="152"/>
      <c r="G93" s="134"/>
      <c r="H93" s="151"/>
      <c r="I93" s="153"/>
      <c r="J93" s="134"/>
      <c r="K93" s="151"/>
      <c r="L93" s="151"/>
      <c r="M93" s="151"/>
      <c r="N93" s="151"/>
      <c r="O93" s="151"/>
      <c r="P93" s="2"/>
      <c r="Q93" s="133"/>
      <c r="R93" s="133"/>
      <c r="S93" s="133"/>
      <c r="T93" s="133"/>
      <c r="U93" s="133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3:34" x14ac:dyDescent="0.2">
      <c r="C94" s="4" t="s">
        <v>2</v>
      </c>
      <c r="D94" s="151" t="s">
        <v>54</v>
      </c>
      <c r="E94" s="151" t="s">
        <v>67</v>
      </c>
      <c r="F94" s="152" t="str">
        <f t="shared" si="19"/>
        <v>LabourUECurrency maintenance</v>
      </c>
      <c r="G94" s="134"/>
      <c r="H94" s="151"/>
      <c r="I94" s="153"/>
      <c r="J94" s="134"/>
      <c r="K94" s="151"/>
      <c r="L94" s="151"/>
      <c r="M94" s="151"/>
      <c r="N94" s="151"/>
      <c r="O94" s="151"/>
      <c r="P94" s="2"/>
      <c r="Q94" s="133">
        <f>Q55+(Q61*Assumptions!$B$31)</f>
        <v>319246.63869804493</v>
      </c>
      <c r="R94" s="133">
        <f>R55+(R61*Assumptions!$B$31)</f>
        <v>446945.29417726287</v>
      </c>
      <c r="S94" s="133">
        <f>S55+(S61*Assumptions!$B$31)</f>
        <v>0</v>
      </c>
      <c r="T94" s="133">
        <f>T55+(T61*Assumptions!$B$31)</f>
        <v>0</v>
      </c>
      <c r="U94" s="133">
        <f>U55+(U61*Assumptions!$B$31)</f>
        <v>223472.64708863143</v>
      </c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3:34" x14ac:dyDescent="0.2">
      <c r="C95" s="4" t="s">
        <v>1</v>
      </c>
      <c r="D95" s="151" t="s">
        <v>54</v>
      </c>
      <c r="E95" s="151" t="s">
        <v>67</v>
      </c>
      <c r="F95" s="152" t="str">
        <f t="shared" si="19"/>
        <v>MaterialsUECurrency maintenance</v>
      </c>
      <c r="G95" s="134"/>
      <c r="H95" s="151"/>
      <c r="I95" s="153"/>
      <c r="J95" s="134"/>
      <c r="K95" s="151"/>
      <c r="L95" s="151"/>
      <c r="M95" s="151"/>
      <c r="N95" s="151"/>
      <c r="O95" s="151"/>
      <c r="P95" s="2"/>
      <c r="Q95" s="133">
        <f>Q56+(Q62*Assumptions!$B$31)</f>
        <v>182426.65068459709</v>
      </c>
      <c r="R95" s="133">
        <f>R56+(R62*Assumptions!$B$31)</f>
        <v>338792.35127139458</v>
      </c>
      <c r="S95" s="133">
        <f>S56+(S62*Assumptions!$B$31)</f>
        <v>0</v>
      </c>
      <c r="T95" s="133">
        <f>T56+(T62*Assumptions!$B$31)</f>
        <v>0</v>
      </c>
      <c r="U95" s="133">
        <f>U56+(U62*Assumptions!$B$31)</f>
        <v>168093.12813080731</v>
      </c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3:34" x14ac:dyDescent="0.2">
      <c r="C96" s="4" t="s">
        <v>4</v>
      </c>
      <c r="D96" s="151" t="s">
        <v>54</v>
      </c>
      <c r="E96" s="151" t="s">
        <v>67</v>
      </c>
      <c r="F96" s="152" t="str">
        <f t="shared" si="19"/>
        <v>ContractsUECurrency maintenance</v>
      </c>
      <c r="G96" s="134"/>
      <c r="H96" s="154"/>
      <c r="I96" s="155"/>
      <c r="J96" s="134"/>
      <c r="K96" s="154"/>
      <c r="L96" s="154"/>
      <c r="M96" s="154"/>
      <c r="N96" s="154"/>
      <c r="O96" s="154"/>
      <c r="P96" s="2"/>
      <c r="Q96" s="133">
        <f>Q57+(Q63*Assumptions!$B$31)</f>
        <v>390914.25146699377</v>
      </c>
      <c r="R96" s="133">
        <f>R57+(R63*Assumptions!$B$31)</f>
        <v>703645.65264058881</v>
      </c>
      <c r="S96" s="133">
        <f>S57+(S63*Assumptions!$B$31)</f>
        <v>0</v>
      </c>
      <c r="T96" s="133">
        <f>T57+(T63*Assumptions!$B$31)</f>
        <v>0</v>
      </c>
      <c r="U96" s="133">
        <f>U57+(U63*Assumptions!$B$31)</f>
        <v>351822.82632029441</v>
      </c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3:34" s="97" customFormat="1" x14ac:dyDescent="0.2">
      <c r="C97" s="4"/>
      <c r="D97" s="151"/>
      <c r="E97" s="151"/>
      <c r="F97" s="152"/>
      <c r="G97" s="134"/>
      <c r="H97" s="154"/>
      <c r="I97" s="155"/>
      <c r="J97" s="134"/>
      <c r="K97" s="154"/>
      <c r="L97" s="154"/>
      <c r="M97" s="154"/>
      <c r="N97" s="154"/>
      <c r="O97" s="154"/>
      <c r="P97" s="2"/>
      <c r="Q97" s="133"/>
      <c r="R97" s="133"/>
      <c r="S97" s="133"/>
      <c r="T97" s="133"/>
      <c r="U97" s="133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3:34" x14ac:dyDescent="0.2">
      <c r="C98" s="4" t="s">
        <v>87</v>
      </c>
      <c r="D98" s="151" t="s">
        <v>91</v>
      </c>
      <c r="E98" s="151" t="s">
        <v>67</v>
      </c>
      <c r="F98" s="152" t="str">
        <f t="shared" si="19"/>
        <v>Labour OpexUE OpexCurrency maintenance</v>
      </c>
      <c r="G98" s="134"/>
      <c r="H98" s="154"/>
      <c r="I98" s="155"/>
      <c r="J98" s="134"/>
      <c r="K98" s="154"/>
      <c r="L98" s="154"/>
      <c r="M98" s="154"/>
      <c r="N98" s="154"/>
      <c r="O98" s="154"/>
      <c r="P98" s="2"/>
      <c r="Q98" s="133">
        <f>Q58</f>
        <v>0</v>
      </c>
      <c r="R98" s="133">
        <f t="shared" ref="R98:U98" si="23">R58</f>
        <v>0</v>
      </c>
      <c r="S98" s="133">
        <f t="shared" si="23"/>
        <v>0</v>
      </c>
      <c r="T98" s="133">
        <f t="shared" si="23"/>
        <v>0</v>
      </c>
      <c r="U98" s="133">
        <f t="shared" si="23"/>
        <v>0</v>
      </c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3:34" x14ac:dyDescent="0.2">
      <c r="C99" s="4" t="s">
        <v>89</v>
      </c>
      <c r="D99" s="151" t="s">
        <v>91</v>
      </c>
      <c r="E99" s="151" t="s">
        <v>67</v>
      </c>
      <c r="F99" s="152" t="str">
        <f t="shared" si="19"/>
        <v>Materials opexUE OpexCurrency maintenance</v>
      </c>
      <c r="G99" s="134"/>
      <c r="H99" s="154"/>
      <c r="I99" s="155"/>
      <c r="J99" s="134"/>
      <c r="K99" s="154"/>
      <c r="L99" s="154"/>
      <c r="M99" s="154"/>
      <c r="N99" s="154"/>
      <c r="O99" s="154"/>
      <c r="P99" s="2"/>
      <c r="Q99" s="133">
        <f t="shared" ref="Q99:U99" si="24">Q59</f>
        <v>0</v>
      </c>
      <c r="R99" s="133">
        <f t="shared" si="24"/>
        <v>0</v>
      </c>
      <c r="S99" s="133">
        <f t="shared" si="24"/>
        <v>0</v>
      </c>
      <c r="T99" s="133">
        <f t="shared" si="24"/>
        <v>0</v>
      </c>
      <c r="U99" s="133">
        <f t="shared" si="24"/>
        <v>0</v>
      </c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3:34" x14ac:dyDescent="0.2">
      <c r="C100" s="4" t="s">
        <v>86</v>
      </c>
      <c r="D100" s="151" t="s">
        <v>91</v>
      </c>
      <c r="E100" s="151" t="s">
        <v>67</v>
      </c>
      <c r="F100" s="152" t="str">
        <f t="shared" si="19"/>
        <v>Contracts OpexUE OpexCurrency maintenance</v>
      </c>
      <c r="G100" s="134"/>
      <c r="H100" s="154"/>
      <c r="I100" s="155"/>
      <c r="J100" s="134"/>
      <c r="K100" s="154"/>
      <c r="L100" s="154"/>
      <c r="M100" s="154"/>
      <c r="N100" s="154"/>
      <c r="O100" s="154"/>
      <c r="P100" s="2"/>
      <c r="Q100" s="133">
        <f t="shared" ref="Q100:U100" si="25">Q60</f>
        <v>0</v>
      </c>
      <c r="R100" s="133">
        <f t="shared" si="25"/>
        <v>0</v>
      </c>
      <c r="S100" s="133">
        <f t="shared" si="25"/>
        <v>0</v>
      </c>
      <c r="T100" s="133">
        <f t="shared" si="25"/>
        <v>0</v>
      </c>
      <c r="U100" s="133">
        <f t="shared" si="25"/>
        <v>0</v>
      </c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3:34" x14ac:dyDescent="0.2">
      <c r="C101" s="4"/>
      <c r="D101" s="151"/>
      <c r="E101" s="151"/>
      <c r="F101" s="156"/>
      <c r="G101" s="134"/>
      <c r="H101" s="154"/>
      <c r="I101" s="155"/>
      <c r="J101" s="134"/>
      <c r="K101" s="154"/>
      <c r="L101" s="154"/>
      <c r="M101" s="154"/>
      <c r="N101" s="154"/>
      <c r="O101" s="154"/>
      <c r="P101" s="2"/>
      <c r="Q101" s="133"/>
      <c r="R101" s="133"/>
      <c r="S101" s="133"/>
      <c r="T101" s="133"/>
      <c r="U101" s="133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3:34" x14ac:dyDescent="0.2">
      <c r="C102" s="4" t="s">
        <v>2</v>
      </c>
      <c r="D102" s="151" t="s">
        <v>0</v>
      </c>
      <c r="E102" s="151" t="s">
        <v>93</v>
      </c>
      <c r="F102" s="156" t="str">
        <f t="shared" ref="F102:F116" si="26">C102&amp;D102&amp;E102</f>
        <v>LabourVPNS4 upgrade</v>
      </c>
      <c r="G102" s="134"/>
      <c r="H102" s="154"/>
      <c r="I102" s="155"/>
      <c r="J102" s="134"/>
      <c r="K102" s="154"/>
      <c r="L102" s="154"/>
      <c r="M102" s="154"/>
      <c r="N102" s="154"/>
      <c r="O102" s="154"/>
      <c r="P102" s="2"/>
      <c r="Q102" s="133">
        <f>Q65+(Q77*Assumptions!$B$30)</f>
        <v>0</v>
      </c>
      <c r="R102" s="133">
        <f>R65+(R77*Assumptions!$B$30)</f>
        <v>2234726.4708863143</v>
      </c>
      <c r="S102" s="133">
        <f>S65+(S77*Assumptions!$B$30)</f>
        <v>4150206.3030745839</v>
      </c>
      <c r="T102" s="133">
        <f>T65+(T77*Assumptions!$B$30)</f>
        <v>3703261.0088973208</v>
      </c>
      <c r="U102" s="133">
        <f>U65+(U77*Assumptions!$B$30)</f>
        <v>0</v>
      </c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3:34" x14ac:dyDescent="0.2">
      <c r="C103" s="4" t="s">
        <v>1</v>
      </c>
      <c r="D103" s="151" t="s">
        <v>0</v>
      </c>
      <c r="E103" s="151" t="s">
        <v>93</v>
      </c>
      <c r="F103" s="156" t="str">
        <f t="shared" si="26"/>
        <v>MaterialsVPNS4 upgrade</v>
      </c>
      <c r="G103" s="134"/>
      <c r="H103" s="154"/>
      <c r="I103" s="155"/>
      <c r="J103" s="134"/>
      <c r="K103" s="154"/>
      <c r="L103" s="154"/>
      <c r="M103" s="154"/>
      <c r="N103" s="154"/>
      <c r="O103" s="154"/>
      <c r="P103" s="2"/>
      <c r="Q103" s="133">
        <f>Q66+(Q78*Assumptions!$B$30)</f>
        <v>0</v>
      </c>
      <c r="R103" s="133">
        <f>R66+(R78*Assumptions!$B$30)</f>
        <v>0</v>
      </c>
      <c r="S103" s="133">
        <f>S66+(S78*Assumptions!$B$30)</f>
        <v>1563657.0058679751</v>
      </c>
      <c r="T103" s="133">
        <f>T66+(T78*Assumptions!$B$30)</f>
        <v>0</v>
      </c>
      <c r="U103" s="133">
        <f>U66+(U78*Assumptions!$B$30)</f>
        <v>0</v>
      </c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3:34" x14ac:dyDescent="0.2">
      <c r="C104" s="4" t="s">
        <v>4</v>
      </c>
      <c r="D104" s="151" t="s">
        <v>0</v>
      </c>
      <c r="E104" s="151" t="s">
        <v>93</v>
      </c>
      <c r="F104" s="156" t="str">
        <f t="shared" si="26"/>
        <v>ContractsVPNS4 upgrade</v>
      </c>
      <c r="G104" s="134"/>
      <c r="H104" s="154"/>
      <c r="I104" s="155"/>
      <c r="J104" s="134"/>
      <c r="K104" s="154"/>
      <c r="L104" s="154"/>
      <c r="M104" s="154"/>
      <c r="N104" s="154"/>
      <c r="O104" s="154"/>
      <c r="P104" s="2"/>
      <c r="Q104" s="133">
        <f>Q67+(Q79*Assumptions!$B$30)</f>
        <v>0</v>
      </c>
      <c r="R104" s="133">
        <f>R67+(R79*Assumptions!$B$30)</f>
        <v>1303047.5048899793</v>
      </c>
      <c r="S104" s="133">
        <f>S67+(S79*Assumptions!$B$30)</f>
        <v>5186129.0694621177</v>
      </c>
      <c r="T104" s="133">
        <f>T67+(T79*Assumptions!$B$30)</f>
        <v>4482483.4168215282</v>
      </c>
      <c r="U104" s="133">
        <f>U67+(U79*Assumptions!$B$30)</f>
        <v>0</v>
      </c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3:34" s="97" customFormat="1" x14ac:dyDescent="0.2">
      <c r="C105" s="4"/>
      <c r="D105" s="151"/>
      <c r="E105" s="151"/>
      <c r="F105" s="156"/>
      <c r="G105" s="134"/>
      <c r="H105" s="154"/>
      <c r="I105" s="155"/>
      <c r="J105" s="134"/>
      <c r="K105" s="154"/>
      <c r="L105" s="154"/>
      <c r="M105" s="154"/>
      <c r="N105" s="154"/>
      <c r="O105" s="154"/>
      <c r="P105" s="2"/>
      <c r="Q105" s="133"/>
      <c r="R105" s="133"/>
      <c r="S105" s="133"/>
      <c r="T105" s="133"/>
      <c r="U105" s="133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3:34" x14ac:dyDescent="0.2">
      <c r="C106" s="4" t="s">
        <v>87</v>
      </c>
      <c r="D106" s="151" t="s">
        <v>92</v>
      </c>
      <c r="E106" s="151" t="s">
        <v>93</v>
      </c>
      <c r="F106" s="156" t="str">
        <f t="shared" si="26"/>
        <v>Labour OpexVPN opexS4 upgrade</v>
      </c>
      <c r="G106" s="134"/>
      <c r="H106" s="154"/>
      <c r="I106" s="155"/>
      <c r="J106" s="134"/>
      <c r="K106" s="154"/>
      <c r="L106" s="154"/>
      <c r="M106" s="154"/>
      <c r="N106" s="154"/>
      <c r="O106" s="154"/>
      <c r="P106" s="2"/>
      <c r="Q106" s="133">
        <f>Q68</f>
        <v>0</v>
      </c>
      <c r="R106" s="133">
        <f t="shared" ref="R106:U106" si="27">R68</f>
        <v>0</v>
      </c>
      <c r="S106" s="133">
        <f t="shared" si="27"/>
        <v>0</v>
      </c>
      <c r="T106" s="133">
        <f t="shared" si="27"/>
        <v>0</v>
      </c>
      <c r="U106" s="133">
        <f t="shared" si="27"/>
        <v>0</v>
      </c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3:34" x14ac:dyDescent="0.2">
      <c r="C107" s="4" t="s">
        <v>88</v>
      </c>
      <c r="D107" s="151" t="s">
        <v>90</v>
      </c>
      <c r="E107" s="151" t="s">
        <v>93</v>
      </c>
      <c r="F107" s="156" t="str">
        <f t="shared" si="26"/>
        <v>Materials OpexVPN OpexS4 upgrade</v>
      </c>
      <c r="G107" s="134"/>
      <c r="H107" s="154"/>
      <c r="I107" s="155"/>
      <c r="J107" s="134"/>
      <c r="K107" s="154"/>
      <c r="L107" s="154"/>
      <c r="M107" s="154"/>
      <c r="N107" s="154"/>
      <c r="O107" s="154"/>
      <c r="P107" s="2"/>
      <c r="Q107" s="133">
        <f t="shared" ref="Q107:U107" si="28">Q69</f>
        <v>0</v>
      </c>
      <c r="R107" s="133">
        <f t="shared" si="28"/>
        <v>0</v>
      </c>
      <c r="S107" s="133">
        <f t="shared" si="28"/>
        <v>0</v>
      </c>
      <c r="T107" s="133">
        <f t="shared" si="28"/>
        <v>0</v>
      </c>
      <c r="U107" s="133">
        <f t="shared" si="28"/>
        <v>0</v>
      </c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3:34" x14ac:dyDescent="0.2">
      <c r="C108" s="4" t="s">
        <v>86</v>
      </c>
      <c r="D108" s="151" t="s">
        <v>90</v>
      </c>
      <c r="E108" s="151" t="s">
        <v>93</v>
      </c>
      <c r="F108" s="156" t="str">
        <f t="shared" si="26"/>
        <v>Contracts OpexVPN OpexS4 upgrade</v>
      </c>
      <c r="G108" s="134"/>
      <c r="H108" s="154"/>
      <c r="I108" s="155"/>
      <c r="J108" s="134"/>
      <c r="K108" s="154"/>
      <c r="L108" s="154"/>
      <c r="M108" s="154"/>
      <c r="N108" s="154"/>
      <c r="O108" s="154"/>
      <c r="P108" s="2"/>
      <c r="Q108" s="133">
        <f t="shared" ref="Q108:U108" si="29">Q70</f>
        <v>0</v>
      </c>
      <c r="R108" s="133">
        <f t="shared" si="29"/>
        <v>0</v>
      </c>
      <c r="S108" s="133">
        <f t="shared" si="29"/>
        <v>0</v>
      </c>
      <c r="T108" s="133">
        <f t="shared" si="29"/>
        <v>0</v>
      </c>
      <c r="U108" s="133">
        <f t="shared" si="29"/>
        <v>0</v>
      </c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3:34" s="97" customFormat="1" x14ac:dyDescent="0.2">
      <c r="C109" s="4"/>
      <c r="D109" s="151"/>
      <c r="E109" s="151"/>
      <c r="F109" s="156"/>
      <c r="G109" s="134"/>
      <c r="H109" s="154"/>
      <c r="I109" s="155"/>
      <c r="J109" s="134"/>
      <c r="K109" s="154"/>
      <c r="L109" s="154"/>
      <c r="M109" s="154"/>
      <c r="N109" s="154"/>
      <c r="O109" s="154"/>
      <c r="P109" s="2"/>
      <c r="Q109" s="133"/>
      <c r="R109" s="133"/>
      <c r="S109" s="133"/>
      <c r="T109" s="133"/>
      <c r="U109" s="133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3:34" x14ac:dyDescent="0.2">
      <c r="C110" s="4" t="s">
        <v>2</v>
      </c>
      <c r="D110" s="151" t="s">
        <v>54</v>
      </c>
      <c r="E110" s="151" t="s">
        <v>93</v>
      </c>
      <c r="F110" s="156" t="str">
        <f t="shared" si="26"/>
        <v>LabourUES4 upgrade</v>
      </c>
      <c r="G110" s="134"/>
      <c r="H110" s="154"/>
      <c r="I110" s="155"/>
      <c r="J110" s="134"/>
      <c r="K110" s="154"/>
      <c r="L110" s="154"/>
      <c r="M110" s="154"/>
      <c r="N110" s="154"/>
      <c r="O110" s="154"/>
      <c r="P110" s="2"/>
      <c r="Q110" s="133">
        <f>Q71+(Q77*Assumptions!$B$31)</f>
        <v>0</v>
      </c>
      <c r="R110" s="133">
        <f>R71+(R77*Assumptions!$B$31)</f>
        <v>2234726.4708863143</v>
      </c>
      <c r="S110" s="133">
        <f>S71+(S77*Assumptions!$B$31)</f>
        <v>4150206.3030745839</v>
      </c>
      <c r="T110" s="133">
        <f>T71+(T77*Assumptions!$B$31)</f>
        <v>3703261.0088973208</v>
      </c>
      <c r="U110" s="133">
        <f>U71+(U77*Assumptions!$B$31)</f>
        <v>0</v>
      </c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3:34" x14ac:dyDescent="0.2">
      <c r="C111" s="4" t="s">
        <v>1</v>
      </c>
      <c r="D111" s="151" t="s">
        <v>54</v>
      </c>
      <c r="E111" s="151" t="s">
        <v>93</v>
      </c>
      <c r="F111" s="156" t="str">
        <f t="shared" si="26"/>
        <v>MaterialsUES4 upgrade</v>
      </c>
      <c r="G111" s="134"/>
      <c r="H111" s="154"/>
      <c r="I111" s="155"/>
      <c r="J111" s="134"/>
      <c r="K111" s="154"/>
      <c r="L111" s="154"/>
      <c r="M111" s="154"/>
      <c r="N111" s="154"/>
      <c r="O111" s="154"/>
      <c r="P111" s="2"/>
      <c r="Q111" s="133">
        <f>Q72+(Q78*Assumptions!$B$31)</f>
        <v>0</v>
      </c>
      <c r="R111" s="133">
        <f>R72+(R78*Assumptions!$B$31)</f>
        <v>0</v>
      </c>
      <c r="S111" s="133">
        <f>S72+(S78*Assumptions!$B$31)</f>
        <v>1563657.0058679751</v>
      </c>
      <c r="T111" s="133">
        <f>T72+(T78*Assumptions!$B$31)</f>
        <v>0</v>
      </c>
      <c r="U111" s="133">
        <f>U72+(U78*Assumptions!$B$31)</f>
        <v>0</v>
      </c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3:34" x14ac:dyDescent="0.2">
      <c r="C112" s="4" t="s">
        <v>4</v>
      </c>
      <c r="D112" s="151" t="s">
        <v>54</v>
      </c>
      <c r="E112" s="151" t="s">
        <v>93</v>
      </c>
      <c r="F112" s="156" t="str">
        <f t="shared" si="26"/>
        <v>ContractsUES4 upgrade</v>
      </c>
      <c r="G112" s="134"/>
      <c r="H112" s="154"/>
      <c r="I112" s="155"/>
      <c r="J112" s="134"/>
      <c r="K112" s="154"/>
      <c r="L112" s="154"/>
      <c r="M112" s="154"/>
      <c r="N112" s="154"/>
      <c r="O112" s="154"/>
      <c r="P112" s="2"/>
      <c r="Q112" s="133">
        <f>Q73+(Q79*Assumptions!$B$31)</f>
        <v>0</v>
      </c>
      <c r="R112" s="133">
        <f>R73+(R79*Assumptions!$B$31)</f>
        <v>1303047.5048899793</v>
      </c>
      <c r="S112" s="133">
        <f>S73+(S79*Assumptions!$B$31)</f>
        <v>5186129.0694621177</v>
      </c>
      <c r="T112" s="133">
        <f>T73+(T79*Assumptions!$B$31)</f>
        <v>4482483.4168215282</v>
      </c>
      <c r="U112" s="133">
        <f>U73+(U79*Assumptions!$B$31)</f>
        <v>0</v>
      </c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3:34" s="97" customFormat="1" x14ac:dyDescent="0.2">
      <c r="C113" s="4"/>
      <c r="D113" s="151"/>
      <c r="E113" s="151"/>
      <c r="F113" s="156"/>
      <c r="G113" s="134"/>
      <c r="H113" s="154"/>
      <c r="I113" s="155"/>
      <c r="J113" s="134"/>
      <c r="K113" s="154"/>
      <c r="L113" s="154"/>
      <c r="M113" s="154"/>
      <c r="N113" s="154"/>
      <c r="O113" s="154"/>
      <c r="P113" s="2"/>
      <c r="Q113" s="133"/>
      <c r="R113" s="133"/>
      <c r="S113" s="133"/>
      <c r="T113" s="133"/>
      <c r="U113" s="133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3:34" x14ac:dyDescent="0.2">
      <c r="C114" s="4" t="s">
        <v>87</v>
      </c>
      <c r="D114" s="151" t="s">
        <v>91</v>
      </c>
      <c r="E114" s="151" t="s">
        <v>93</v>
      </c>
      <c r="F114" s="156" t="str">
        <f t="shared" si="26"/>
        <v>Labour OpexUE OpexS4 upgrade</v>
      </c>
      <c r="G114" s="134"/>
      <c r="H114" s="154"/>
      <c r="I114" s="155"/>
      <c r="J114" s="134"/>
      <c r="K114" s="154"/>
      <c r="L114" s="154"/>
      <c r="M114" s="154"/>
      <c r="N114" s="154"/>
      <c r="O114" s="154"/>
      <c r="P114" s="2"/>
      <c r="Q114" s="133">
        <f>Q74</f>
        <v>0</v>
      </c>
      <c r="R114" s="133">
        <f t="shared" ref="R114:U114" si="30">R74</f>
        <v>0</v>
      </c>
      <c r="S114" s="133">
        <f t="shared" si="30"/>
        <v>0</v>
      </c>
      <c r="T114" s="133">
        <f t="shared" si="30"/>
        <v>0</v>
      </c>
      <c r="U114" s="133">
        <f t="shared" si="30"/>
        <v>0</v>
      </c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3:34" x14ac:dyDescent="0.2">
      <c r="C115" s="4" t="s">
        <v>89</v>
      </c>
      <c r="D115" s="151" t="s">
        <v>91</v>
      </c>
      <c r="E115" s="151" t="s">
        <v>93</v>
      </c>
      <c r="F115" s="156" t="str">
        <f t="shared" si="26"/>
        <v>Materials opexUE OpexS4 upgrade</v>
      </c>
      <c r="G115" s="134"/>
      <c r="H115" s="154"/>
      <c r="I115" s="155"/>
      <c r="J115" s="134"/>
      <c r="K115" s="154"/>
      <c r="L115" s="154"/>
      <c r="M115" s="154"/>
      <c r="N115" s="154"/>
      <c r="O115" s="154"/>
      <c r="P115" s="2"/>
      <c r="Q115" s="133">
        <f t="shared" ref="Q115:U115" si="31">Q75</f>
        <v>0</v>
      </c>
      <c r="R115" s="133">
        <f t="shared" si="31"/>
        <v>0</v>
      </c>
      <c r="S115" s="133">
        <f t="shared" si="31"/>
        <v>0</v>
      </c>
      <c r="T115" s="133">
        <f t="shared" si="31"/>
        <v>0</v>
      </c>
      <c r="U115" s="133">
        <f t="shared" si="31"/>
        <v>0</v>
      </c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3:34" x14ac:dyDescent="0.2">
      <c r="C116" s="4" t="s">
        <v>86</v>
      </c>
      <c r="D116" s="151" t="s">
        <v>91</v>
      </c>
      <c r="E116" s="151" t="s">
        <v>93</v>
      </c>
      <c r="F116" s="156" t="str">
        <f t="shared" si="26"/>
        <v>Contracts OpexUE OpexS4 upgrade</v>
      </c>
      <c r="G116" s="134"/>
      <c r="H116" s="154"/>
      <c r="I116" s="155"/>
      <c r="J116" s="134"/>
      <c r="K116" s="154"/>
      <c r="L116" s="154"/>
      <c r="M116" s="154"/>
      <c r="N116" s="154"/>
      <c r="O116" s="154"/>
      <c r="P116" s="2"/>
      <c r="Q116" s="133">
        <f t="shared" ref="Q116:U116" si="32">Q76</f>
        <v>0</v>
      </c>
      <c r="R116" s="133">
        <f t="shared" si="32"/>
        <v>0</v>
      </c>
      <c r="S116" s="133">
        <f t="shared" si="32"/>
        <v>0</v>
      </c>
      <c r="T116" s="133">
        <f t="shared" si="32"/>
        <v>0</v>
      </c>
      <c r="U116" s="133">
        <f t="shared" si="32"/>
        <v>0</v>
      </c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3:34" x14ac:dyDescent="0.2">
      <c r="C117" s="10" t="s">
        <v>82</v>
      </c>
      <c r="D117" s="10"/>
      <c r="E117" s="10"/>
      <c r="F117" s="10"/>
      <c r="G117" s="3"/>
      <c r="H117" s="10"/>
      <c r="I117" s="14"/>
      <c r="J117" s="3"/>
      <c r="K117" s="10"/>
      <c r="L117" s="10"/>
      <c r="M117" s="10"/>
      <c r="N117" s="10"/>
      <c r="O117" s="10"/>
      <c r="P117" s="97"/>
      <c r="Q117" s="11">
        <f>SUM(Q86:Q116)</f>
        <v>1785175.0816992717</v>
      </c>
      <c r="R117" s="11">
        <f>SUM(R86:R116)</f>
        <v>10054314.547731079</v>
      </c>
      <c r="S117" s="11">
        <f>SUM(S86:S116)</f>
        <v>21799984.756809354</v>
      </c>
      <c r="T117" s="11">
        <f>SUM(T86:T116)</f>
        <v>16371488.851437699</v>
      </c>
      <c r="U117" s="11">
        <f>SUM(U86:U116)</f>
        <v>1486777.2030794662</v>
      </c>
      <c r="V117" s="42"/>
      <c r="W117" s="97"/>
    </row>
    <row r="118" spans="3:34" x14ac:dyDescent="0.2">
      <c r="C118" s="28"/>
      <c r="D118" s="28"/>
      <c r="E118" s="28"/>
      <c r="F118" s="28"/>
      <c r="G118" s="3"/>
      <c r="H118" s="28"/>
      <c r="I118" s="29"/>
      <c r="J118" s="3"/>
      <c r="K118" s="28"/>
      <c r="L118" s="28"/>
      <c r="M118" s="28"/>
      <c r="N118" s="28"/>
      <c r="O118" s="28"/>
      <c r="P118" s="97"/>
      <c r="Q118" s="43"/>
      <c r="R118" s="43"/>
      <c r="S118" s="43"/>
      <c r="T118" s="43"/>
      <c r="U118" s="43"/>
      <c r="V118" s="42"/>
      <c r="W118" s="97"/>
    </row>
    <row r="119" spans="3:34" x14ac:dyDescent="0.2">
      <c r="C119" s="98" t="s">
        <v>12</v>
      </c>
      <c r="D119" s="98"/>
      <c r="E119" s="98"/>
      <c r="F119" s="98"/>
      <c r="G119" s="3"/>
      <c r="H119" s="98"/>
      <c r="I119" s="98"/>
      <c r="J119" s="3"/>
      <c r="K119" s="98"/>
      <c r="L119" s="98"/>
      <c r="M119" s="98"/>
      <c r="N119" s="98"/>
      <c r="O119" s="98"/>
      <c r="P119" s="97"/>
      <c r="Q119" s="99">
        <f>Q80-Q117</f>
        <v>0</v>
      </c>
      <c r="R119" s="99">
        <f>R80-R117</f>
        <v>0</v>
      </c>
      <c r="S119" s="99">
        <f>S80-S117</f>
        <v>0</v>
      </c>
      <c r="T119" s="99">
        <f>T80-T117</f>
        <v>0</v>
      </c>
      <c r="U119" s="99">
        <f>U80-U117</f>
        <v>0</v>
      </c>
      <c r="V119" s="97"/>
      <c r="W119" s="99">
        <f>SUM(Q119:U119)</f>
        <v>0</v>
      </c>
    </row>
    <row r="121" spans="3:34" ht="12.75" customHeight="1" x14ac:dyDescent="0.2">
      <c r="C121" s="137" t="str">
        <f>"NPV ($ "&amp;Assumptions!$B$17&amp;")"</f>
        <v>NPV ($ 2020/21)</v>
      </c>
      <c r="D121" s="137"/>
      <c r="E121" s="159">
        <f>NPV(Assumptions!$B$6,$Q$117:$U$117)</f>
        <v>47342900.152907073</v>
      </c>
      <c r="F121" s="39"/>
      <c r="G121" s="97"/>
      <c r="H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</row>
  </sheetData>
  <conditionalFormatting sqref="Q43:U43">
    <cfRule type="expression" dxfId="13" priority="12">
      <formula>ABS(Q43)&gt;0.001</formula>
    </cfRule>
  </conditionalFormatting>
  <conditionalFormatting sqref="W43">
    <cfRule type="expression" dxfId="12" priority="13">
      <formula>ABS(W43)&gt;0.001</formula>
    </cfRule>
  </conditionalFormatting>
  <conditionalFormatting sqref="Q82:U82">
    <cfRule type="expression" dxfId="11" priority="4">
      <formula>ABS(Q82)&gt;0.001</formula>
    </cfRule>
  </conditionalFormatting>
  <conditionalFormatting sqref="W82">
    <cfRule type="expression" dxfId="10" priority="3">
      <formula>ABS(W82)&gt;0.001</formula>
    </cfRule>
  </conditionalFormatting>
  <conditionalFormatting sqref="Q119:U119">
    <cfRule type="expression" dxfId="9" priority="2">
      <formula>ABS(Q119)&gt;0.001</formula>
    </cfRule>
  </conditionalFormatting>
  <conditionalFormatting sqref="W119">
    <cfRule type="expression" dxfId="8" priority="1">
      <formula>ABS(W119)&gt;0.001</formula>
    </cfRule>
  </conditionalFormatting>
  <dataValidations disablePrompts="1" count="3">
    <dataValidation type="list" allowBlank="1" showInputMessage="1" showErrorMessage="1" sqref="F10:F16 F25:F31 F19:F22">
      <formula1>"Labour, Materials, Contracts"</formula1>
    </dataValidation>
    <dataValidation type="list" allowBlank="1" showInputMessage="1" showErrorMessage="1" sqref="E10:E16 E25:E31 E19:E22">
      <formula1>"CapEx, OpEx"</formula1>
    </dataValidation>
    <dataValidation type="list" allowBlank="1" showInputMessage="1" showErrorMessage="1" sqref="D25:D31 D10:D16 D19:D22">
      <formula1>"VPN, UE, All"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</vt:i4>
      </vt:variant>
    </vt:vector>
  </HeadingPairs>
  <TitlesOfParts>
    <vt:vector size="22" baseType="lpstr">
      <vt:lpstr>Output_UE_R</vt:lpstr>
      <vt:lpstr>Output_UE_NR</vt:lpstr>
      <vt:lpstr>Output_VPN_R</vt:lpstr>
      <vt:lpstr>Output_VPN_NR</vt:lpstr>
      <vt:lpstr>Summary</vt:lpstr>
      <vt:lpstr>Assumptions</vt:lpstr>
      <vt:lpstr>Option 1</vt:lpstr>
      <vt:lpstr>Option 2</vt:lpstr>
      <vt:lpstr>Option 3</vt:lpstr>
      <vt:lpstr>Option 4</vt:lpstr>
      <vt:lpstr>Conv_2021</vt:lpstr>
      <vt:lpstr>Option1_categories</vt:lpstr>
      <vt:lpstr>Option1_costs</vt:lpstr>
      <vt:lpstr>Option2_categories</vt:lpstr>
      <vt:lpstr>Option2_costs</vt:lpstr>
      <vt:lpstr>Option3_categories</vt:lpstr>
      <vt:lpstr>Option3_costs</vt:lpstr>
      <vt:lpstr>Option4_categories</vt:lpstr>
      <vt:lpstr>Option4_costs</vt:lpstr>
      <vt:lpstr>Summary!Print_Area</vt:lpstr>
      <vt:lpstr>'Option 4'!years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2019-11-20T04:07:08Z</dcterms:created>
  <dcterms:modified xsi:type="dcterms:W3CDTF">2020-01-28T07:09:48Z</dcterms:modified>
</cp:coreProperties>
</file>