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33750" windowHeight="16440" activeTab="6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45621"/>
</workbook>
</file>

<file path=xl/calcChain.xml><?xml version="1.0" encoding="utf-8"?>
<calcChain xmlns="http://schemas.openxmlformats.org/spreadsheetml/2006/main">
  <c r="K46" i="11" l="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Q44" i="11" l="1"/>
  <c r="Q44" i="10"/>
  <c r="Q44" i="9"/>
  <c r="Q44" i="8"/>
  <c r="Q44" i="2"/>
  <c r="L175" i="1"/>
  <c r="L174" i="1"/>
  <c r="L173" i="1"/>
  <c r="T27" i="2" l="1"/>
  <c r="T27" i="10" s="1"/>
  <c r="K10" i="1"/>
  <c r="T28" i="2"/>
  <c r="T28" i="8" s="1"/>
  <c r="T34" i="11"/>
  <c r="T46" i="11"/>
  <c r="T45" i="11"/>
  <c r="T43" i="11"/>
  <c r="T42" i="11"/>
  <c r="T41" i="11"/>
  <c r="T40" i="11"/>
  <c r="T39" i="11"/>
  <c r="T38" i="11"/>
  <c r="T36" i="11"/>
  <c r="T35" i="11"/>
  <c r="T33" i="11"/>
  <c r="T32" i="11"/>
  <c r="T31" i="11"/>
  <c r="T30" i="11"/>
  <c r="T29" i="11"/>
  <c r="T28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3" i="10"/>
  <c r="T42" i="10"/>
  <c r="T41" i="10"/>
  <c r="T40" i="10"/>
  <c r="T39" i="10"/>
  <c r="T38" i="10"/>
  <c r="T36" i="10"/>
  <c r="T35" i="10"/>
  <c r="T33" i="10"/>
  <c r="T32" i="10"/>
  <c r="T31" i="10"/>
  <c r="T30" i="10"/>
  <c r="T29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3" i="9"/>
  <c r="T42" i="9"/>
  <c r="T41" i="9"/>
  <c r="T40" i="9"/>
  <c r="T39" i="9"/>
  <c r="T38" i="9"/>
  <c r="T36" i="9"/>
  <c r="T35" i="9"/>
  <c r="T34" i="9"/>
  <c r="T33" i="9"/>
  <c r="T32" i="9"/>
  <c r="T31" i="9"/>
  <c r="T30" i="9"/>
  <c r="T29" i="9"/>
  <c r="T26" i="9"/>
  <c r="T25" i="9"/>
  <c r="T24" i="9"/>
  <c r="T23" i="9"/>
  <c r="T22" i="9"/>
  <c r="T21" i="9"/>
  <c r="T20" i="9"/>
  <c r="T19" i="9"/>
  <c r="T18" i="9"/>
  <c r="T17" i="9"/>
  <c r="T46" i="8"/>
  <c r="T45" i="8"/>
  <c r="T43" i="8"/>
  <c r="T42" i="8"/>
  <c r="T41" i="8"/>
  <c r="T40" i="8"/>
  <c r="T39" i="8"/>
  <c r="T38" i="8"/>
  <c r="T36" i="8"/>
  <c r="T35" i="8"/>
  <c r="T33" i="8"/>
  <c r="T32" i="8"/>
  <c r="T31" i="8"/>
  <c r="T30" i="8"/>
  <c r="T29" i="8"/>
  <c r="T26" i="8"/>
  <c r="T25" i="8"/>
  <c r="T24" i="8"/>
  <c r="T23" i="8"/>
  <c r="T22" i="8"/>
  <c r="T21" i="8"/>
  <c r="T20" i="8"/>
  <c r="T19" i="8"/>
  <c r="T18" i="8"/>
  <c r="T17" i="8"/>
  <c r="U187" i="1"/>
  <c r="T187" i="1"/>
  <c r="S187" i="1"/>
  <c r="R187" i="1"/>
  <c r="Q187" i="1"/>
  <c r="P187" i="1"/>
  <c r="O187" i="1"/>
  <c r="T28" i="10" l="1"/>
  <c r="T28" i="9"/>
  <c r="T27" i="11"/>
  <c r="T27" i="8"/>
  <c r="T27" i="9"/>
  <c r="P193" i="1"/>
  <c r="P194" i="1"/>
  <c r="P195" i="1"/>
  <c r="P196" i="1"/>
  <c r="P192" i="1"/>
  <c r="T193" i="1"/>
  <c r="T194" i="1"/>
  <c r="T195" i="1"/>
  <c r="T196" i="1"/>
  <c r="T192" i="1"/>
  <c r="R195" i="1"/>
  <c r="R196" i="1"/>
  <c r="R192" i="1"/>
  <c r="R193" i="1"/>
  <c r="R194" i="1"/>
  <c r="Q194" i="1"/>
  <c r="Q195" i="1"/>
  <c r="Q196" i="1"/>
  <c r="Q192" i="1"/>
  <c r="Q193" i="1"/>
  <c r="U194" i="1"/>
  <c r="U195" i="1"/>
  <c r="U196" i="1"/>
  <c r="U192" i="1"/>
  <c r="U193" i="1"/>
  <c r="O196" i="1"/>
  <c r="O192" i="1"/>
  <c r="O195" i="1"/>
  <c r="O194" i="1"/>
  <c r="O193" i="1"/>
  <c r="S196" i="1"/>
  <c r="S192" i="1"/>
  <c r="S193" i="1"/>
  <c r="S194" i="1"/>
  <c r="S195" i="1"/>
  <c r="T44" i="2"/>
  <c r="T37" i="2" s="1"/>
  <c r="T37" i="9" s="1"/>
  <c r="T34" i="10"/>
  <c r="T34" i="8"/>
  <c r="T37" i="11" l="1"/>
  <c r="T37" i="10"/>
  <c r="T37" i="8"/>
  <c r="T44" i="8"/>
  <c r="T44" i="11"/>
  <c r="T44" i="10"/>
  <c r="T44" i="9"/>
  <c r="E88" i="8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J122" i="11"/>
  <c r="J124" i="11"/>
  <c r="J125" i="11"/>
  <c r="J123" i="11"/>
  <c r="D104" i="10"/>
  <c r="D103" i="10"/>
  <c r="J125" i="10"/>
  <c r="J123" i="10"/>
  <c r="J122" i="10"/>
  <c r="J124" i="10"/>
  <c r="D104" i="9"/>
  <c r="D103" i="9"/>
  <c r="J122" i="9"/>
  <c r="J124" i="9"/>
  <c r="J125" i="9"/>
  <c r="J123" i="9"/>
  <c r="D104" i="8"/>
  <c r="D103" i="8"/>
  <c r="J122" i="8"/>
  <c r="J124" i="8"/>
  <c r="J125" i="8"/>
  <c r="J123" i="8"/>
  <c r="L148" i="1"/>
  <c r="D123" i="2"/>
  <c r="I18" i="7" l="1"/>
  <c r="I16" i="7"/>
  <c r="I14" i="7"/>
  <c r="I12" i="7"/>
  <c r="I9" i="7"/>
  <c r="D135" i="2"/>
  <c r="D116" i="2"/>
  <c r="D115" i="2"/>
  <c r="D114" i="2"/>
  <c r="C113" i="2"/>
  <c r="J107" i="2"/>
  <c r="J106" i="2"/>
  <c r="J105" i="2"/>
  <c r="J121" i="2" s="1"/>
  <c r="J126" i="2" s="1"/>
  <c r="J104" i="2"/>
  <c r="J103" i="2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I10" i="7"/>
  <c r="A2" i="7"/>
  <c r="D121" i="2"/>
  <c r="D120" i="2"/>
  <c r="D119" i="2"/>
  <c r="J120" i="2"/>
  <c r="J119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D185" i="1"/>
  <c r="D69" i="2" s="1"/>
  <c r="D175" i="1"/>
  <c r="D174" i="1"/>
  <c r="D173" i="1"/>
  <c r="J128" i="1"/>
  <c r="J117" i="1"/>
  <c r="L103" i="1"/>
  <c r="L100" i="1"/>
  <c r="L99" i="1"/>
  <c r="M125" i="1" s="1"/>
  <c r="M148" i="1" s="1"/>
  <c r="L172" i="1" s="1"/>
  <c r="K99" i="1"/>
  <c r="K125" i="1" s="1"/>
  <c r="K148" i="1" s="1"/>
  <c r="K172" i="1" s="1"/>
  <c r="J99" i="1"/>
  <c r="J125" i="1" s="1"/>
  <c r="J148" i="1" s="1"/>
  <c r="J172" i="1" s="1"/>
  <c r="J75" i="1"/>
  <c r="K75" i="1" s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N43" i="1"/>
  <c r="N52" i="1" s="1"/>
  <c r="D13" i="2" s="1"/>
  <c r="M43" i="1"/>
  <c r="M52" i="1" s="1"/>
  <c r="D12" i="2" s="1"/>
  <c r="L43" i="1"/>
  <c r="L52" i="1" s="1"/>
  <c r="K43" i="1"/>
  <c r="K52" i="1" s="1"/>
  <c r="J43" i="1"/>
  <c r="J52" i="1" s="1"/>
  <c r="D9" i="2" s="1"/>
  <c r="I9" i="2" s="1"/>
  <c r="C26" i="1"/>
  <c r="J21" i="1"/>
  <c r="C21" i="1"/>
  <c r="P16" i="1"/>
  <c r="O2" i="1"/>
  <c r="O2" i="2" s="1"/>
  <c r="O146" i="2" s="1"/>
  <c r="A2" i="1"/>
  <c r="A1" i="1"/>
  <c r="I12" i="2" l="1"/>
  <c r="I13" i="2"/>
  <c r="R71" i="2"/>
  <c r="U71" i="2"/>
  <c r="U78" i="2" s="1"/>
  <c r="S71" i="2"/>
  <c r="S78" i="2" s="1"/>
  <c r="P71" i="2"/>
  <c r="T71" i="2"/>
  <c r="Q71" i="2"/>
  <c r="Q78" i="2" s="1"/>
  <c r="O71" i="2"/>
  <c r="D11" i="11"/>
  <c r="D11" i="10"/>
  <c r="D11" i="9"/>
  <c r="D11" i="8"/>
  <c r="V187" i="1"/>
  <c r="A1" i="2"/>
  <c r="A1" i="11"/>
  <c r="A1" i="10"/>
  <c r="A1" i="9"/>
  <c r="A1" i="8"/>
  <c r="D10" i="11"/>
  <c r="D10" i="10"/>
  <c r="D10" i="9"/>
  <c r="D10" i="8"/>
  <c r="D14" i="10"/>
  <c r="D14" i="11"/>
  <c r="D14" i="9"/>
  <c r="D14" i="8"/>
  <c r="P2" i="1"/>
  <c r="O2" i="8"/>
  <c r="O146" i="8" s="1"/>
  <c r="O2" i="11"/>
  <c r="O146" i="11" s="1"/>
  <c r="O2" i="10"/>
  <c r="O146" i="10" s="1"/>
  <c r="O2" i="9"/>
  <c r="O146" i="9" s="1"/>
  <c r="D12" i="8"/>
  <c r="D12" i="11"/>
  <c r="D12" i="10"/>
  <c r="D12" i="9"/>
  <c r="D70" i="11"/>
  <c r="D70" i="9"/>
  <c r="D70" i="10"/>
  <c r="D70" i="8"/>
  <c r="D9" i="11"/>
  <c r="D9" i="10"/>
  <c r="D9" i="9"/>
  <c r="D9" i="8"/>
  <c r="D13" i="11"/>
  <c r="D13" i="10"/>
  <c r="D13" i="9"/>
  <c r="D13" i="8"/>
  <c r="D10" i="2"/>
  <c r="I10" i="2" s="1"/>
  <c r="D14" i="2"/>
  <c r="I14" i="2" s="1"/>
  <c r="D69" i="11"/>
  <c r="D69" i="9"/>
  <c r="D69" i="10"/>
  <c r="D69" i="8"/>
  <c r="D11" i="2"/>
  <c r="I11" i="2" s="1"/>
  <c r="D70" i="2"/>
  <c r="O2" i="7"/>
  <c r="O8" i="7" s="1"/>
  <c r="T78" i="2"/>
  <c r="P78" i="2"/>
  <c r="O78" i="2"/>
  <c r="R78" i="2"/>
  <c r="L168" i="1"/>
  <c r="M75" i="1"/>
  <c r="J124" i="2"/>
  <c r="J122" i="2"/>
  <c r="J125" i="2"/>
  <c r="J123" i="2"/>
  <c r="A1" i="7"/>
  <c r="M74" i="1"/>
  <c r="M73" i="1"/>
  <c r="Z116" i="2"/>
  <c r="V116" i="2"/>
  <c r="R116" i="2"/>
  <c r="W115" i="2"/>
  <c r="S115" i="2"/>
  <c r="O115" i="2"/>
  <c r="X114" i="2"/>
  <c r="T114" i="2"/>
  <c r="P114" i="2"/>
  <c r="Y116" i="2"/>
  <c r="U116" i="2"/>
  <c r="Q116" i="2"/>
  <c r="Z115" i="2"/>
  <c r="V115" i="2"/>
  <c r="R115" i="2"/>
  <c r="W114" i="2"/>
  <c r="S114" i="2"/>
  <c r="O114" i="2"/>
  <c r="T116" i="2"/>
  <c r="T115" i="2"/>
  <c r="Z114" i="2"/>
  <c r="R114" i="2"/>
  <c r="S116" i="2"/>
  <c r="Y115" i="2"/>
  <c r="Q115" i="2"/>
  <c r="Y114" i="2"/>
  <c r="Q114" i="2"/>
  <c r="X116" i="2"/>
  <c r="P116" i="2"/>
  <c r="X115" i="2"/>
  <c r="P115" i="2"/>
  <c r="V114" i="2"/>
  <c r="W116" i="2"/>
  <c r="O116" i="2"/>
  <c r="U115" i="2"/>
  <c r="U114" i="2"/>
  <c r="P69" i="2"/>
  <c r="T69" i="2"/>
  <c r="R70" i="2"/>
  <c r="V70" i="2"/>
  <c r="Q69" i="2"/>
  <c r="U69" i="2"/>
  <c r="O70" i="2"/>
  <c r="S70" i="2"/>
  <c r="R69" i="2"/>
  <c r="V69" i="2"/>
  <c r="P70" i="2"/>
  <c r="T70" i="2"/>
  <c r="O69" i="2"/>
  <c r="S69" i="2"/>
  <c r="W69" i="2"/>
  <c r="Q70" i="2"/>
  <c r="U70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M71" i="1"/>
  <c r="Q16" i="1"/>
  <c r="M72" i="1"/>
  <c r="L170" i="1"/>
  <c r="L177" i="1" s="1"/>
  <c r="L178" i="1" s="1"/>
  <c r="W187" i="1" l="1"/>
  <c r="P18" i="10"/>
  <c r="P18" i="11"/>
  <c r="P18" i="2"/>
  <c r="P51" i="2" s="1"/>
  <c r="P18" i="8"/>
  <c r="P18" i="9"/>
  <c r="P51" i="9" s="1"/>
  <c r="I13" i="10"/>
  <c r="I9" i="10"/>
  <c r="I12" i="11"/>
  <c r="I14" i="9"/>
  <c r="I10" i="9"/>
  <c r="V195" i="1"/>
  <c r="V71" i="11"/>
  <c r="V196" i="1"/>
  <c r="V192" i="1"/>
  <c r="V193" i="1"/>
  <c r="V194" i="1"/>
  <c r="V71" i="2"/>
  <c r="I11" i="11"/>
  <c r="P80" i="2"/>
  <c r="P76" i="2"/>
  <c r="P77" i="2"/>
  <c r="P79" i="2"/>
  <c r="I13" i="11"/>
  <c r="I9" i="11"/>
  <c r="I12" i="8"/>
  <c r="X69" i="8" s="1"/>
  <c r="I14" i="11"/>
  <c r="I10" i="10"/>
  <c r="I11" i="8"/>
  <c r="O76" i="2"/>
  <c r="O80" i="2"/>
  <c r="O79" i="2"/>
  <c r="O77" i="2"/>
  <c r="S80" i="2"/>
  <c r="S97" i="2" s="1"/>
  <c r="S79" i="2"/>
  <c r="S77" i="2"/>
  <c r="S88" i="2" s="1"/>
  <c r="S76" i="2"/>
  <c r="I13" i="8"/>
  <c r="I9" i="8"/>
  <c r="I12" i="9"/>
  <c r="W70" i="9" s="1"/>
  <c r="Q2" i="1"/>
  <c r="P2" i="11"/>
  <c r="P146" i="11" s="1"/>
  <c r="P2" i="10"/>
  <c r="P146" i="10" s="1"/>
  <c r="P2" i="9"/>
  <c r="P146" i="9" s="1"/>
  <c r="P2" i="8"/>
  <c r="P146" i="8" s="1"/>
  <c r="P2" i="2"/>
  <c r="P146" i="2" s="1"/>
  <c r="P2" i="7"/>
  <c r="P8" i="7" s="1"/>
  <c r="I14" i="10"/>
  <c r="I10" i="11"/>
  <c r="I11" i="9"/>
  <c r="Q80" i="2"/>
  <c r="Q77" i="2"/>
  <c r="Q79" i="2"/>
  <c r="Q76" i="2"/>
  <c r="U80" i="2"/>
  <c r="U77" i="2"/>
  <c r="U79" i="2"/>
  <c r="U76" i="2"/>
  <c r="I13" i="9"/>
  <c r="I9" i="9"/>
  <c r="I12" i="10"/>
  <c r="V71" i="10" s="1"/>
  <c r="I14" i="8"/>
  <c r="I10" i="8"/>
  <c r="I11" i="10"/>
  <c r="T80" i="2"/>
  <c r="T76" i="2"/>
  <c r="T77" i="2"/>
  <c r="T79" i="2"/>
  <c r="R80" i="2"/>
  <c r="R79" i="2"/>
  <c r="R76" i="2"/>
  <c r="R77" i="2"/>
  <c r="J177" i="1"/>
  <c r="J178" i="1" s="1"/>
  <c r="P38" i="11" s="1"/>
  <c r="P49" i="11" s="1"/>
  <c r="V18" i="10"/>
  <c r="P51" i="8"/>
  <c r="P51" i="11"/>
  <c r="X187" i="1"/>
  <c r="W70" i="8"/>
  <c r="W70" i="10"/>
  <c r="W70" i="11"/>
  <c r="X69" i="11"/>
  <c r="X69" i="10"/>
  <c r="W69" i="11"/>
  <c r="W69" i="10"/>
  <c r="W69" i="8"/>
  <c r="W70" i="2"/>
  <c r="X69" i="2"/>
  <c r="S91" i="2"/>
  <c r="L75" i="1"/>
  <c r="K177" i="1"/>
  <c r="K178" i="1" s="1"/>
  <c r="P28" i="2" s="1"/>
  <c r="R16" i="1"/>
  <c r="W69" i="9" l="1"/>
  <c r="X69" i="9"/>
  <c r="V71" i="8"/>
  <c r="X193" i="1"/>
  <c r="X194" i="1"/>
  <c r="X195" i="1"/>
  <c r="X71" i="11"/>
  <c r="X71" i="10"/>
  <c r="X71" i="9"/>
  <c r="X71" i="8"/>
  <c r="X196" i="1"/>
  <c r="X192" i="1"/>
  <c r="X71" i="2"/>
  <c r="V80" i="10"/>
  <c r="V79" i="10"/>
  <c r="V77" i="10"/>
  <c r="V76" i="10"/>
  <c r="V78" i="10"/>
  <c r="Q69" i="8"/>
  <c r="R71" i="8"/>
  <c r="O71" i="8"/>
  <c r="P71" i="8"/>
  <c r="Q71" i="8"/>
  <c r="S71" i="8"/>
  <c r="T71" i="8"/>
  <c r="U71" i="8"/>
  <c r="U70" i="8"/>
  <c r="T70" i="8"/>
  <c r="T69" i="8"/>
  <c r="S70" i="8"/>
  <c r="Q70" i="8"/>
  <c r="R69" i="8"/>
  <c r="O69" i="8"/>
  <c r="R70" i="8"/>
  <c r="O70" i="8"/>
  <c r="P70" i="8"/>
  <c r="P69" i="8"/>
  <c r="S69" i="8"/>
  <c r="U69" i="8"/>
  <c r="V70" i="8"/>
  <c r="V69" i="8"/>
  <c r="P38" i="2"/>
  <c r="P49" i="2" s="1"/>
  <c r="P28" i="8"/>
  <c r="P50" i="8" s="1"/>
  <c r="P38" i="8"/>
  <c r="P49" i="8" s="1"/>
  <c r="P71" i="10"/>
  <c r="Q71" i="10"/>
  <c r="R71" i="10"/>
  <c r="O71" i="10"/>
  <c r="U71" i="10"/>
  <c r="S71" i="10"/>
  <c r="T71" i="10"/>
  <c r="O70" i="10"/>
  <c r="Q70" i="10"/>
  <c r="T69" i="10"/>
  <c r="T70" i="10"/>
  <c r="R69" i="10"/>
  <c r="S69" i="10"/>
  <c r="P69" i="10"/>
  <c r="P70" i="10"/>
  <c r="O69" i="10"/>
  <c r="U69" i="10"/>
  <c r="Q69" i="10"/>
  <c r="U70" i="10"/>
  <c r="R70" i="10"/>
  <c r="S70" i="10"/>
  <c r="V70" i="10"/>
  <c r="V69" i="10"/>
  <c r="R2" i="1"/>
  <c r="Q2" i="11"/>
  <c r="Q146" i="11" s="1"/>
  <c r="Q2" i="10"/>
  <c r="Q146" i="10" s="1"/>
  <c r="Q2" i="9"/>
  <c r="Q146" i="9" s="1"/>
  <c r="Q2" i="8"/>
  <c r="Q146" i="8" s="1"/>
  <c r="Q2" i="2"/>
  <c r="Q146" i="2" s="1"/>
  <c r="Q2" i="7"/>
  <c r="Q8" i="7" s="1"/>
  <c r="R116" i="11"/>
  <c r="X114" i="11"/>
  <c r="X116" i="11"/>
  <c r="O116" i="11"/>
  <c r="Y114" i="11"/>
  <c r="Z114" i="11"/>
  <c r="R115" i="11"/>
  <c r="Y115" i="11"/>
  <c r="V115" i="11"/>
  <c r="W115" i="11"/>
  <c r="T114" i="11"/>
  <c r="T116" i="11"/>
  <c r="X115" i="11"/>
  <c r="U114" i="11"/>
  <c r="R114" i="11"/>
  <c r="W114" i="11"/>
  <c r="Q115" i="11"/>
  <c r="S114" i="11"/>
  <c r="Z116" i="11"/>
  <c r="S115" i="11"/>
  <c r="P114" i="11"/>
  <c r="W116" i="11"/>
  <c r="T115" i="11"/>
  <c r="Q114" i="11"/>
  <c r="U116" i="11"/>
  <c r="O114" i="11"/>
  <c r="V114" i="11"/>
  <c r="V116" i="11"/>
  <c r="O115" i="11"/>
  <c r="Y116" i="11"/>
  <c r="S116" i="11"/>
  <c r="P115" i="11"/>
  <c r="U115" i="11"/>
  <c r="Z115" i="11"/>
  <c r="Q116" i="11"/>
  <c r="P116" i="11"/>
  <c r="V79" i="2"/>
  <c r="V80" i="2"/>
  <c r="V97" i="2" s="1"/>
  <c r="V76" i="2"/>
  <c r="V77" i="2"/>
  <c r="V88" i="2" s="1"/>
  <c r="V78" i="2"/>
  <c r="V80" i="11"/>
  <c r="V97" i="11" s="1"/>
  <c r="V98" i="11" s="1"/>
  <c r="V99" i="11" s="1"/>
  <c r="V79" i="11"/>
  <c r="V77" i="11"/>
  <c r="V76" i="11"/>
  <c r="V78" i="11"/>
  <c r="V91" i="11" s="1"/>
  <c r="V92" i="11" s="1"/>
  <c r="V93" i="11" s="1"/>
  <c r="T71" i="11"/>
  <c r="U71" i="11"/>
  <c r="S71" i="11"/>
  <c r="R71" i="11"/>
  <c r="P71" i="11"/>
  <c r="Q71" i="11"/>
  <c r="O71" i="11"/>
  <c r="O70" i="11"/>
  <c r="P70" i="11"/>
  <c r="Q70" i="11"/>
  <c r="R70" i="11"/>
  <c r="S70" i="11"/>
  <c r="T70" i="11"/>
  <c r="U70" i="11"/>
  <c r="Q69" i="11"/>
  <c r="O69" i="11"/>
  <c r="P69" i="11"/>
  <c r="U69" i="11"/>
  <c r="R69" i="11"/>
  <c r="S69" i="11"/>
  <c r="T69" i="11"/>
  <c r="V70" i="11"/>
  <c r="V69" i="11"/>
  <c r="P28" i="9"/>
  <c r="P50" i="9" s="1"/>
  <c r="P38" i="9"/>
  <c r="P49" i="9" s="1"/>
  <c r="R116" i="9"/>
  <c r="X114" i="9"/>
  <c r="X115" i="9"/>
  <c r="U114" i="9"/>
  <c r="V115" i="9"/>
  <c r="U115" i="9"/>
  <c r="Z115" i="9"/>
  <c r="Y116" i="9"/>
  <c r="V114" i="9"/>
  <c r="W116" i="9"/>
  <c r="Q114" i="9"/>
  <c r="R115" i="9"/>
  <c r="P114" i="9"/>
  <c r="Z116" i="9"/>
  <c r="P115" i="9"/>
  <c r="S114" i="9"/>
  <c r="Y115" i="9"/>
  <c r="W115" i="9"/>
  <c r="T115" i="9"/>
  <c r="Z114" i="9"/>
  <c r="Q116" i="9"/>
  <c r="S115" i="9"/>
  <c r="W114" i="9"/>
  <c r="S116" i="9"/>
  <c r="O114" i="9"/>
  <c r="V116" i="9"/>
  <c r="O115" i="9"/>
  <c r="O116" i="9"/>
  <c r="Y114" i="9"/>
  <c r="P116" i="9"/>
  <c r="U116" i="9"/>
  <c r="T116" i="9"/>
  <c r="R114" i="9"/>
  <c r="Q115" i="9"/>
  <c r="T114" i="9"/>
  <c r="X116" i="9"/>
  <c r="S71" i="9"/>
  <c r="Q71" i="9"/>
  <c r="T71" i="9"/>
  <c r="U71" i="9"/>
  <c r="R71" i="9"/>
  <c r="O71" i="9"/>
  <c r="P71" i="9"/>
  <c r="R70" i="9"/>
  <c r="U70" i="9"/>
  <c r="T70" i="9"/>
  <c r="S70" i="9"/>
  <c r="P70" i="9"/>
  <c r="O70" i="9"/>
  <c r="Q70" i="9"/>
  <c r="S69" i="9"/>
  <c r="Q69" i="9"/>
  <c r="P69" i="9"/>
  <c r="O69" i="9"/>
  <c r="T69" i="9"/>
  <c r="R69" i="9"/>
  <c r="U69" i="9"/>
  <c r="V70" i="9"/>
  <c r="V69" i="9"/>
  <c r="V80" i="8"/>
  <c r="V79" i="8"/>
  <c r="V94" i="8" s="1"/>
  <c r="V95" i="8" s="1"/>
  <c r="V96" i="8" s="1"/>
  <c r="V77" i="8"/>
  <c r="V76" i="8"/>
  <c r="V78" i="8"/>
  <c r="V116" i="10"/>
  <c r="O115" i="10"/>
  <c r="Y116" i="10"/>
  <c r="V115" i="10"/>
  <c r="O114" i="10"/>
  <c r="Y115" i="10"/>
  <c r="V114" i="10"/>
  <c r="O116" i="10"/>
  <c r="Y114" i="10"/>
  <c r="X115" i="10"/>
  <c r="R116" i="10"/>
  <c r="X114" i="10"/>
  <c r="U116" i="10"/>
  <c r="R115" i="10"/>
  <c r="X116" i="10"/>
  <c r="U115" i="10"/>
  <c r="R114" i="10"/>
  <c r="U114" i="10"/>
  <c r="W115" i="10"/>
  <c r="T114" i="10"/>
  <c r="Q116" i="10"/>
  <c r="W114" i="10"/>
  <c r="T116" i="10"/>
  <c r="Q115" i="10"/>
  <c r="W116" i="10"/>
  <c r="T115" i="10"/>
  <c r="Q114" i="10"/>
  <c r="Z116" i="10"/>
  <c r="S115" i="10"/>
  <c r="P114" i="10"/>
  <c r="Z115" i="10"/>
  <c r="S114" i="10"/>
  <c r="P116" i="10"/>
  <c r="Z114" i="10"/>
  <c r="S116" i="10"/>
  <c r="P115" i="10"/>
  <c r="P28" i="10"/>
  <c r="P50" i="10" s="1"/>
  <c r="P38" i="10"/>
  <c r="P49" i="10" s="1"/>
  <c r="P28" i="11"/>
  <c r="P50" i="11" s="1"/>
  <c r="W115" i="8"/>
  <c r="T114" i="8"/>
  <c r="O116" i="8"/>
  <c r="Y114" i="8"/>
  <c r="U115" i="8"/>
  <c r="Z115" i="8"/>
  <c r="Y116" i="8"/>
  <c r="V114" i="8"/>
  <c r="S114" i="8"/>
  <c r="Z116" i="8"/>
  <c r="X115" i="8"/>
  <c r="Z114" i="8"/>
  <c r="X116" i="8"/>
  <c r="P114" i="8"/>
  <c r="Q116" i="8"/>
  <c r="O115" i="8"/>
  <c r="Q114" i="8"/>
  <c r="W114" i="8"/>
  <c r="T115" i="8"/>
  <c r="P116" i="8"/>
  <c r="R116" i="8"/>
  <c r="X114" i="8"/>
  <c r="S116" i="8"/>
  <c r="P115" i="8"/>
  <c r="U116" i="8"/>
  <c r="T116" i="8"/>
  <c r="O114" i="8"/>
  <c r="Q115" i="8"/>
  <c r="V115" i="8"/>
  <c r="S115" i="8"/>
  <c r="U114" i="8"/>
  <c r="R115" i="8"/>
  <c r="V116" i="8"/>
  <c r="W116" i="8"/>
  <c r="R114" i="8"/>
  <c r="Y115" i="8"/>
  <c r="V71" i="9"/>
  <c r="W71" i="11"/>
  <c r="W71" i="10"/>
  <c r="W71" i="9"/>
  <c r="W71" i="8"/>
  <c r="W196" i="1"/>
  <c r="W192" i="1"/>
  <c r="W193" i="1"/>
  <c r="W194" i="1"/>
  <c r="W195" i="1"/>
  <c r="W71" i="2"/>
  <c r="S98" i="2"/>
  <c r="S99" i="2" s="1"/>
  <c r="S92" i="2"/>
  <c r="S93" i="2" s="1"/>
  <c r="S89" i="2"/>
  <c r="S90" i="2" s="1"/>
  <c r="V85" i="10"/>
  <c r="V86" i="10" s="1"/>
  <c r="V87" i="10" s="1"/>
  <c r="U18" i="10"/>
  <c r="P51" i="10"/>
  <c r="U38" i="11"/>
  <c r="V38" i="11"/>
  <c r="U18" i="8"/>
  <c r="V18" i="8"/>
  <c r="V18" i="9"/>
  <c r="U18" i="9"/>
  <c r="V38" i="9"/>
  <c r="U38" i="9"/>
  <c r="V18" i="11"/>
  <c r="U18" i="11"/>
  <c r="U38" i="10"/>
  <c r="V88" i="11"/>
  <c r="V89" i="11" s="1"/>
  <c r="V90" i="11" s="1"/>
  <c r="V94" i="11"/>
  <c r="V95" i="11" s="1"/>
  <c r="V96" i="11" s="1"/>
  <c r="V91" i="10"/>
  <c r="V92" i="10" s="1"/>
  <c r="V93" i="10" s="1"/>
  <c r="V97" i="8"/>
  <c r="V98" i="8" s="1"/>
  <c r="V99" i="8" s="1"/>
  <c r="S94" i="2"/>
  <c r="S95" i="2" s="1"/>
  <c r="S96" i="2" s="1"/>
  <c r="V88" i="10"/>
  <c r="V89" i="10" s="1"/>
  <c r="V90" i="10" s="1"/>
  <c r="X70" i="10"/>
  <c r="X70" i="11"/>
  <c r="X70" i="9"/>
  <c r="X70" i="8"/>
  <c r="X70" i="2"/>
  <c r="Y187" i="1"/>
  <c r="S85" i="2"/>
  <c r="V88" i="8"/>
  <c r="V89" i="8" s="1"/>
  <c r="V90" i="8" s="1"/>
  <c r="Y69" i="9"/>
  <c r="Y69" i="8"/>
  <c r="Y69" i="11"/>
  <c r="Y69" i="10"/>
  <c r="P88" i="2"/>
  <c r="V85" i="2"/>
  <c r="V94" i="2"/>
  <c r="O97" i="2"/>
  <c r="O98" i="2" s="1"/>
  <c r="O99" i="2" s="1"/>
  <c r="Y69" i="2"/>
  <c r="V18" i="2"/>
  <c r="U18" i="2"/>
  <c r="V38" i="2"/>
  <c r="R85" i="2"/>
  <c r="P94" i="2"/>
  <c r="U94" i="2"/>
  <c r="O85" i="2"/>
  <c r="O86" i="2" s="1"/>
  <c r="O87" i="2" s="1"/>
  <c r="T94" i="2"/>
  <c r="U85" i="2"/>
  <c r="T85" i="2"/>
  <c r="T86" i="2" s="1"/>
  <c r="T87" i="2" s="1"/>
  <c r="P97" i="2"/>
  <c r="U97" i="2"/>
  <c r="V91" i="2"/>
  <c r="T88" i="2"/>
  <c r="R88" i="2"/>
  <c r="U88" i="2"/>
  <c r="O88" i="2"/>
  <c r="T91" i="2"/>
  <c r="R94" i="2"/>
  <c r="P91" i="2"/>
  <c r="U91" i="2"/>
  <c r="Q91" i="2"/>
  <c r="O94" i="2"/>
  <c r="R97" i="2"/>
  <c r="R98" i="2" s="1"/>
  <c r="R99" i="2" s="1"/>
  <c r="Q94" i="2"/>
  <c r="T97" i="2"/>
  <c r="R91" i="2"/>
  <c r="P85" i="2"/>
  <c r="Q85" i="2"/>
  <c r="Q97" i="2"/>
  <c r="Q98" i="2" s="1"/>
  <c r="Q99" i="2" s="1"/>
  <c r="Q88" i="2"/>
  <c r="S16" i="1"/>
  <c r="V38" i="10" l="1"/>
  <c r="U38" i="8"/>
  <c r="U38" i="2"/>
  <c r="V38" i="8"/>
  <c r="Y194" i="1"/>
  <c r="Y195" i="1"/>
  <c r="Y71" i="11"/>
  <c r="Y71" i="10"/>
  <c r="Y71" i="9"/>
  <c r="Y71" i="8"/>
  <c r="Y196" i="1"/>
  <c r="Y192" i="1"/>
  <c r="Y193" i="1"/>
  <c r="Y71" i="2"/>
  <c r="W80" i="11"/>
  <c r="W97" i="11" s="1"/>
  <c r="W98" i="11" s="1"/>
  <c r="W99" i="11" s="1"/>
  <c r="W107" i="11" s="1"/>
  <c r="W121" i="11" s="1"/>
  <c r="W79" i="11"/>
  <c r="W77" i="11"/>
  <c r="W76" i="11"/>
  <c r="W78" i="11"/>
  <c r="U80" i="9"/>
  <c r="U79" i="9"/>
  <c r="U77" i="9"/>
  <c r="U88" i="9" s="1"/>
  <c r="U89" i="9" s="1"/>
  <c r="U90" i="9" s="1"/>
  <c r="U76" i="9"/>
  <c r="U78" i="9"/>
  <c r="U91" i="9" s="1"/>
  <c r="U92" i="9" s="1"/>
  <c r="U93" i="9" s="1"/>
  <c r="P80" i="11"/>
  <c r="P79" i="11"/>
  <c r="P77" i="11"/>
  <c r="P88" i="11" s="1"/>
  <c r="P89" i="11" s="1"/>
  <c r="P90" i="11" s="1"/>
  <c r="P76" i="11"/>
  <c r="P85" i="11" s="1"/>
  <c r="P86" i="11" s="1"/>
  <c r="P87" i="11" s="1"/>
  <c r="P78" i="11"/>
  <c r="T80" i="11"/>
  <c r="T79" i="11"/>
  <c r="T77" i="11"/>
  <c r="T88" i="11" s="1"/>
  <c r="T89" i="11" s="1"/>
  <c r="T90" i="11" s="1"/>
  <c r="T76" i="11"/>
  <c r="T85" i="11" s="1"/>
  <c r="T86" i="11" s="1"/>
  <c r="T87" i="11" s="1"/>
  <c r="T78" i="11"/>
  <c r="S80" i="10"/>
  <c r="S97" i="10" s="1"/>
  <c r="S98" i="10" s="1"/>
  <c r="S99" i="10" s="1"/>
  <c r="S79" i="10"/>
  <c r="S77" i="10"/>
  <c r="S76" i="10"/>
  <c r="S78" i="10"/>
  <c r="Q80" i="10"/>
  <c r="Q79" i="10"/>
  <c r="Q94" i="10" s="1"/>
  <c r="Q95" i="10" s="1"/>
  <c r="Q96" i="10" s="1"/>
  <c r="Q77" i="10"/>
  <c r="Q88" i="10" s="1"/>
  <c r="Q89" i="10" s="1"/>
  <c r="Q90" i="10" s="1"/>
  <c r="Q76" i="10"/>
  <c r="Q85" i="10" s="1"/>
  <c r="Q86" i="10" s="1"/>
  <c r="Q87" i="10" s="1"/>
  <c r="Q78" i="10"/>
  <c r="Q91" i="10" s="1"/>
  <c r="Q92" i="10" s="1"/>
  <c r="Q93" i="10" s="1"/>
  <c r="U80" i="8"/>
  <c r="U97" i="8" s="1"/>
  <c r="U98" i="8" s="1"/>
  <c r="U99" i="8" s="1"/>
  <c r="U79" i="8"/>
  <c r="U94" i="8" s="1"/>
  <c r="U95" i="8" s="1"/>
  <c r="U96" i="8" s="1"/>
  <c r="U77" i="8"/>
  <c r="U88" i="8" s="1"/>
  <c r="U89" i="8" s="1"/>
  <c r="U90" i="8" s="1"/>
  <c r="U76" i="8"/>
  <c r="U78" i="8"/>
  <c r="U91" i="8" s="1"/>
  <c r="U92" i="8" s="1"/>
  <c r="U93" i="8" s="1"/>
  <c r="P80" i="8"/>
  <c r="P97" i="8" s="1"/>
  <c r="P98" i="8" s="1"/>
  <c r="P99" i="8" s="1"/>
  <c r="P79" i="8"/>
  <c r="P94" i="8" s="1"/>
  <c r="P95" i="8" s="1"/>
  <c r="P96" i="8" s="1"/>
  <c r="P77" i="8"/>
  <c r="P88" i="8" s="1"/>
  <c r="P89" i="8" s="1"/>
  <c r="P90" i="8" s="1"/>
  <c r="P76" i="8"/>
  <c r="P78" i="8"/>
  <c r="P91" i="8" s="1"/>
  <c r="P92" i="8" s="1"/>
  <c r="P93" i="8" s="1"/>
  <c r="X80" i="11"/>
  <c r="X79" i="11"/>
  <c r="X77" i="11"/>
  <c r="X88" i="11" s="1"/>
  <c r="X89" i="11" s="1"/>
  <c r="X90" i="11" s="1"/>
  <c r="X76" i="11"/>
  <c r="X78" i="11"/>
  <c r="W80" i="8"/>
  <c r="W97" i="8" s="1"/>
  <c r="W98" i="8" s="1"/>
  <c r="W99" i="8" s="1"/>
  <c r="W107" i="8" s="1"/>
  <c r="W121" i="8" s="1"/>
  <c r="W79" i="8"/>
  <c r="W94" i="8" s="1"/>
  <c r="W77" i="8"/>
  <c r="W76" i="8"/>
  <c r="W78" i="8"/>
  <c r="V80" i="9"/>
  <c r="V97" i="9" s="1"/>
  <c r="V98" i="9" s="1"/>
  <c r="V99" i="9" s="1"/>
  <c r="V79" i="9"/>
  <c r="V94" i="9" s="1"/>
  <c r="V95" i="9" s="1"/>
  <c r="V96" i="9" s="1"/>
  <c r="V77" i="9"/>
  <c r="V88" i="9" s="1"/>
  <c r="V89" i="9" s="1"/>
  <c r="V90" i="9" s="1"/>
  <c r="V76" i="9"/>
  <c r="V85" i="9" s="1"/>
  <c r="V86" i="9" s="1"/>
  <c r="V87" i="9" s="1"/>
  <c r="V78" i="9"/>
  <c r="V91" i="9" s="1"/>
  <c r="V92" i="9" s="1"/>
  <c r="V93" i="9" s="1"/>
  <c r="V105" i="9" s="1"/>
  <c r="V123" i="9" s="1"/>
  <c r="P80" i="9"/>
  <c r="P79" i="9"/>
  <c r="P94" i="9" s="1"/>
  <c r="P95" i="9" s="1"/>
  <c r="P96" i="9" s="1"/>
  <c r="P77" i="9"/>
  <c r="P88" i="9" s="1"/>
  <c r="P89" i="9" s="1"/>
  <c r="P90" i="9" s="1"/>
  <c r="P76" i="9"/>
  <c r="P78" i="9"/>
  <c r="T80" i="9"/>
  <c r="T97" i="9" s="1"/>
  <c r="T98" i="9" s="1"/>
  <c r="T99" i="9" s="1"/>
  <c r="T79" i="9"/>
  <c r="T77" i="9"/>
  <c r="T88" i="9" s="1"/>
  <c r="T89" i="9" s="1"/>
  <c r="T90" i="9" s="1"/>
  <c r="T76" i="9"/>
  <c r="T78" i="9"/>
  <c r="T91" i="9" s="1"/>
  <c r="T92" i="9" s="1"/>
  <c r="T93" i="9" s="1"/>
  <c r="R80" i="11"/>
  <c r="R79" i="11"/>
  <c r="R77" i="11"/>
  <c r="R88" i="11" s="1"/>
  <c r="R89" i="11" s="1"/>
  <c r="R90" i="11" s="1"/>
  <c r="R76" i="11"/>
  <c r="R78" i="11"/>
  <c r="R91" i="11" s="1"/>
  <c r="R92" i="11" s="1"/>
  <c r="R93" i="11" s="1"/>
  <c r="U80" i="10"/>
  <c r="U79" i="10"/>
  <c r="U77" i="10"/>
  <c r="U88" i="10" s="1"/>
  <c r="U89" i="10" s="1"/>
  <c r="U90" i="10" s="1"/>
  <c r="U76" i="10"/>
  <c r="U78" i="10"/>
  <c r="U91" i="10" s="1"/>
  <c r="U92" i="10" s="1"/>
  <c r="U93" i="10" s="1"/>
  <c r="P80" i="10"/>
  <c r="P97" i="10" s="1"/>
  <c r="P98" i="10" s="1"/>
  <c r="P99" i="10" s="1"/>
  <c r="P79" i="10"/>
  <c r="P94" i="10" s="1"/>
  <c r="P95" i="10" s="1"/>
  <c r="P96" i="10" s="1"/>
  <c r="P77" i="10"/>
  <c r="P88" i="10" s="1"/>
  <c r="P89" i="10" s="1"/>
  <c r="P90" i="10" s="1"/>
  <c r="P76" i="10"/>
  <c r="P85" i="10" s="1"/>
  <c r="P86" i="10" s="1"/>
  <c r="P87" i="10" s="1"/>
  <c r="P78" i="10"/>
  <c r="V91" i="8"/>
  <c r="V92" i="8" s="1"/>
  <c r="V93" i="8" s="1"/>
  <c r="T94" i="8"/>
  <c r="T95" i="8" s="1"/>
  <c r="T96" i="8" s="1"/>
  <c r="T80" i="8"/>
  <c r="T79" i="8"/>
  <c r="T77" i="8"/>
  <c r="T88" i="8" s="1"/>
  <c r="T89" i="8" s="1"/>
  <c r="T90" i="8" s="1"/>
  <c r="T76" i="8"/>
  <c r="T78" i="8"/>
  <c r="O80" i="8"/>
  <c r="O97" i="8" s="1"/>
  <c r="O98" i="8" s="1"/>
  <c r="O99" i="8" s="1"/>
  <c r="O79" i="8"/>
  <c r="O77" i="8"/>
  <c r="O88" i="8" s="1"/>
  <c r="O89" i="8" s="1"/>
  <c r="O90" i="8" s="1"/>
  <c r="O76" i="8"/>
  <c r="O78" i="8"/>
  <c r="O91" i="8" s="1"/>
  <c r="O92" i="8" s="1"/>
  <c r="O93" i="8" s="1"/>
  <c r="X80" i="8"/>
  <c r="X79" i="8"/>
  <c r="X77" i="8"/>
  <c r="X88" i="8" s="1"/>
  <c r="X76" i="8"/>
  <c r="X78" i="8"/>
  <c r="W80" i="9"/>
  <c r="W97" i="9" s="1"/>
  <c r="W98" i="9" s="1"/>
  <c r="W99" i="9" s="1"/>
  <c r="W107" i="9" s="1"/>
  <c r="W121" i="9" s="1"/>
  <c r="W79" i="9"/>
  <c r="W94" i="9" s="1"/>
  <c r="W95" i="9" s="1"/>
  <c r="W96" i="9" s="1"/>
  <c r="W77" i="9"/>
  <c r="W88" i="9" s="1"/>
  <c r="W89" i="9" s="1"/>
  <c r="W90" i="9" s="1"/>
  <c r="W76" i="9"/>
  <c r="W85" i="9" s="1"/>
  <c r="W86" i="9" s="1"/>
  <c r="W87" i="9" s="1"/>
  <c r="W102" i="9" s="1"/>
  <c r="W78" i="9"/>
  <c r="O80" i="9"/>
  <c r="O79" i="9"/>
  <c r="O77" i="9"/>
  <c r="O76" i="9"/>
  <c r="O78" i="9"/>
  <c r="Q80" i="9"/>
  <c r="Q97" i="9" s="1"/>
  <c r="Q98" i="9" s="1"/>
  <c r="Q99" i="9" s="1"/>
  <c r="Q79" i="9"/>
  <c r="Q94" i="9" s="1"/>
  <c r="Q95" i="9" s="1"/>
  <c r="Q96" i="9" s="1"/>
  <c r="Q77" i="9"/>
  <c r="Q88" i="9" s="1"/>
  <c r="Q89" i="9" s="1"/>
  <c r="Q90" i="9" s="1"/>
  <c r="Q76" i="9"/>
  <c r="Q85" i="9" s="1"/>
  <c r="Q86" i="9" s="1"/>
  <c r="Q87" i="9" s="1"/>
  <c r="Q78" i="9"/>
  <c r="Q91" i="9" s="1"/>
  <c r="Q92" i="9" s="1"/>
  <c r="Q93" i="9" s="1"/>
  <c r="O80" i="11"/>
  <c r="O97" i="11" s="1"/>
  <c r="O98" i="11" s="1"/>
  <c r="O99" i="11" s="1"/>
  <c r="O79" i="11"/>
  <c r="O77" i="11"/>
  <c r="O88" i="11" s="1"/>
  <c r="O89" i="11" s="1"/>
  <c r="O90" i="11" s="1"/>
  <c r="O76" i="11"/>
  <c r="O78" i="11"/>
  <c r="O91" i="11" s="1"/>
  <c r="O92" i="11" s="1"/>
  <c r="O93" i="11" s="1"/>
  <c r="S80" i="11"/>
  <c r="S79" i="11"/>
  <c r="S94" i="11" s="1"/>
  <c r="S95" i="11" s="1"/>
  <c r="S96" i="11" s="1"/>
  <c r="S77" i="11"/>
  <c r="S76" i="11"/>
  <c r="S78" i="11"/>
  <c r="S91" i="11" s="1"/>
  <c r="S92" i="11" s="1"/>
  <c r="S93" i="11" s="1"/>
  <c r="S105" i="11" s="1"/>
  <c r="S122" i="11" s="1"/>
  <c r="S2" i="1"/>
  <c r="R2" i="11"/>
  <c r="R146" i="11" s="1"/>
  <c r="R2" i="10"/>
  <c r="R146" i="10" s="1"/>
  <c r="R2" i="9"/>
  <c r="R146" i="9" s="1"/>
  <c r="R2" i="8"/>
  <c r="R146" i="8" s="1"/>
  <c r="R2" i="7"/>
  <c r="R8" i="7" s="1"/>
  <c r="R2" i="2"/>
  <c r="R146" i="2" s="1"/>
  <c r="O80" i="10"/>
  <c r="O97" i="10" s="1"/>
  <c r="O98" i="10" s="1"/>
  <c r="O99" i="10" s="1"/>
  <c r="O79" i="10"/>
  <c r="O94" i="10" s="1"/>
  <c r="O95" i="10" s="1"/>
  <c r="O96" i="10" s="1"/>
  <c r="O77" i="10"/>
  <c r="O88" i="10" s="1"/>
  <c r="O76" i="10"/>
  <c r="O85" i="10" s="1"/>
  <c r="O86" i="10" s="1"/>
  <c r="O87" i="10" s="1"/>
  <c r="O78" i="10"/>
  <c r="O91" i="10" s="1"/>
  <c r="O92" i="10" s="1"/>
  <c r="O93" i="10" s="1"/>
  <c r="S80" i="8"/>
  <c r="S79" i="8"/>
  <c r="S77" i="8"/>
  <c r="S88" i="8" s="1"/>
  <c r="S89" i="8" s="1"/>
  <c r="S90" i="8" s="1"/>
  <c r="S76" i="8"/>
  <c r="S78" i="8"/>
  <c r="S91" i="8" s="1"/>
  <c r="S92" i="8" s="1"/>
  <c r="S93" i="8" s="1"/>
  <c r="R80" i="8"/>
  <c r="R79" i="8"/>
  <c r="R94" i="8" s="1"/>
  <c r="R95" i="8" s="1"/>
  <c r="R96" i="8" s="1"/>
  <c r="R77" i="8"/>
  <c r="R88" i="8" s="1"/>
  <c r="R89" i="8" s="1"/>
  <c r="R90" i="8" s="1"/>
  <c r="R103" i="8" s="1"/>
  <c r="R119" i="8" s="1"/>
  <c r="R76" i="8"/>
  <c r="R85" i="8" s="1"/>
  <c r="R86" i="8" s="1"/>
  <c r="R87" i="8" s="1"/>
  <c r="R78" i="8"/>
  <c r="R91" i="8" s="1"/>
  <c r="R92" i="8" s="1"/>
  <c r="R93" i="8" s="1"/>
  <c r="X79" i="2"/>
  <c r="X80" i="2"/>
  <c r="X76" i="2"/>
  <c r="X85" i="2" s="1"/>
  <c r="X86" i="2" s="1"/>
  <c r="X87" i="2" s="1"/>
  <c r="X77" i="2"/>
  <c r="X78" i="2"/>
  <c r="X80" i="9"/>
  <c r="X79" i="9"/>
  <c r="X94" i="9" s="1"/>
  <c r="X95" i="9" s="1"/>
  <c r="X96" i="9" s="1"/>
  <c r="X77" i="9"/>
  <c r="X76" i="9"/>
  <c r="X78" i="9"/>
  <c r="W88" i="11"/>
  <c r="W89" i="11" s="1"/>
  <c r="W90" i="11" s="1"/>
  <c r="W104" i="11" s="1"/>
  <c r="W120" i="11" s="1"/>
  <c r="W80" i="2"/>
  <c r="W97" i="2" s="1"/>
  <c r="W79" i="2"/>
  <c r="W94" i="2" s="1"/>
  <c r="W95" i="2" s="1"/>
  <c r="W96" i="2" s="1"/>
  <c r="W77" i="2"/>
  <c r="W88" i="2" s="1"/>
  <c r="W76" i="2"/>
  <c r="W85" i="2" s="1"/>
  <c r="W86" i="2" s="1"/>
  <c r="W87" i="2" s="1"/>
  <c r="W78" i="2"/>
  <c r="W91" i="2" s="1"/>
  <c r="W80" i="10"/>
  <c r="W79" i="10"/>
  <c r="W77" i="10"/>
  <c r="W76" i="10"/>
  <c r="W85" i="10" s="1"/>
  <c r="W86" i="10" s="1"/>
  <c r="W87" i="10" s="1"/>
  <c r="W78" i="10"/>
  <c r="U85" i="9"/>
  <c r="U86" i="9" s="1"/>
  <c r="U87" i="9" s="1"/>
  <c r="U97" i="9"/>
  <c r="U98" i="9" s="1"/>
  <c r="U99" i="9" s="1"/>
  <c r="R80" i="9"/>
  <c r="R97" i="9" s="1"/>
  <c r="R98" i="9" s="1"/>
  <c r="R99" i="9" s="1"/>
  <c r="R79" i="9"/>
  <c r="R94" i="9" s="1"/>
  <c r="R95" i="9" s="1"/>
  <c r="R96" i="9" s="1"/>
  <c r="R77" i="9"/>
  <c r="R88" i="9" s="1"/>
  <c r="R89" i="9" s="1"/>
  <c r="R90" i="9" s="1"/>
  <c r="R76" i="9"/>
  <c r="R78" i="9"/>
  <c r="R91" i="9" s="1"/>
  <c r="R92" i="9" s="1"/>
  <c r="R93" i="9" s="1"/>
  <c r="S80" i="9"/>
  <c r="S79" i="9"/>
  <c r="S77" i="9"/>
  <c r="S88" i="9" s="1"/>
  <c r="S89" i="9" s="1"/>
  <c r="S90" i="9" s="1"/>
  <c r="S76" i="9"/>
  <c r="S85" i="9" s="1"/>
  <c r="S86" i="9" s="1"/>
  <c r="S87" i="9" s="1"/>
  <c r="S78" i="9"/>
  <c r="S91" i="9" s="1"/>
  <c r="S92" i="9" s="1"/>
  <c r="S93" i="9" s="1"/>
  <c r="Q80" i="11"/>
  <c r="Q97" i="11" s="1"/>
  <c r="Q98" i="11" s="1"/>
  <c r="Q99" i="11" s="1"/>
  <c r="Q79" i="11"/>
  <c r="Q94" i="11" s="1"/>
  <c r="Q95" i="11" s="1"/>
  <c r="Q96" i="11" s="1"/>
  <c r="Q77" i="11"/>
  <c r="Q88" i="11" s="1"/>
  <c r="Q89" i="11" s="1"/>
  <c r="Q90" i="11" s="1"/>
  <c r="Q76" i="11"/>
  <c r="Q85" i="11" s="1"/>
  <c r="Q86" i="11" s="1"/>
  <c r="Q87" i="11" s="1"/>
  <c r="Q78" i="11"/>
  <c r="U80" i="11"/>
  <c r="U79" i="11"/>
  <c r="U77" i="11"/>
  <c r="U88" i="11" s="1"/>
  <c r="U89" i="11" s="1"/>
  <c r="U90" i="11" s="1"/>
  <c r="U76" i="11"/>
  <c r="U85" i="11" s="1"/>
  <c r="U86" i="11" s="1"/>
  <c r="U87" i="11" s="1"/>
  <c r="U78" i="11"/>
  <c r="U91" i="11" s="1"/>
  <c r="U92" i="11" s="1"/>
  <c r="U93" i="11" s="1"/>
  <c r="V97" i="10"/>
  <c r="V98" i="10" s="1"/>
  <c r="V99" i="10" s="1"/>
  <c r="V107" i="10" s="1"/>
  <c r="V121" i="10" s="1"/>
  <c r="V94" i="10"/>
  <c r="V95" i="10" s="1"/>
  <c r="V96" i="10" s="1"/>
  <c r="T80" i="10"/>
  <c r="T79" i="10"/>
  <c r="T77" i="10"/>
  <c r="T88" i="10" s="1"/>
  <c r="T89" i="10" s="1"/>
  <c r="T90" i="10" s="1"/>
  <c r="T76" i="10"/>
  <c r="T78" i="10"/>
  <c r="R80" i="10"/>
  <c r="R97" i="10" s="1"/>
  <c r="R98" i="10" s="1"/>
  <c r="R99" i="10" s="1"/>
  <c r="R79" i="10"/>
  <c r="R77" i="10"/>
  <c r="R88" i="10" s="1"/>
  <c r="R89" i="10" s="1"/>
  <c r="R90" i="10" s="1"/>
  <c r="R76" i="10"/>
  <c r="R85" i="10" s="1"/>
  <c r="R86" i="10" s="1"/>
  <c r="R87" i="10" s="1"/>
  <c r="R102" i="10" s="1"/>
  <c r="R78" i="10"/>
  <c r="R91" i="10" s="1"/>
  <c r="R92" i="10" s="1"/>
  <c r="R93" i="10" s="1"/>
  <c r="Q80" i="8"/>
  <c r="Q79" i="8"/>
  <c r="Q94" i="8" s="1"/>
  <c r="Q95" i="8" s="1"/>
  <c r="Q96" i="8" s="1"/>
  <c r="Q77" i="8"/>
  <c r="Q88" i="8" s="1"/>
  <c r="Q89" i="8" s="1"/>
  <c r="Q90" i="8" s="1"/>
  <c r="Q76" i="8"/>
  <c r="Q78" i="8"/>
  <c r="X80" i="10"/>
  <c r="X79" i="10"/>
  <c r="X94" i="10" s="1"/>
  <c r="X95" i="10" s="1"/>
  <c r="X96" i="10" s="1"/>
  <c r="X77" i="10"/>
  <c r="X88" i="10" s="1"/>
  <c r="X89" i="10" s="1"/>
  <c r="X90" i="10" s="1"/>
  <c r="X76" i="10"/>
  <c r="X78" i="10"/>
  <c r="U95" i="2"/>
  <c r="U96" i="2" s="1"/>
  <c r="V95" i="2"/>
  <c r="V96" i="2" s="1"/>
  <c r="V106" i="2" s="1"/>
  <c r="R95" i="2"/>
  <c r="R96" i="2" s="1"/>
  <c r="P95" i="2"/>
  <c r="P96" i="2" s="1"/>
  <c r="V98" i="2"/>
  <c r="V99" i="2" s="1"/>
  <c r="W98" i="2"/>
  <c r="W99" i="2" s="1"/>
  <c r="T98" i="2"/>
  <c r="T99" i="2" s="1"/>
  <c r="U98" i="2"/>
  <c r="U99" i="2" s="1"/>
  <c r="T95" i="2"/>
  <c r="T96" i="2" s="1"/>
  <c r="Q95" i="2"/>
  <c r="Q96" i="2" s="1"/>
  <c r="P98" i="2"/>
  <c r="P99" i="2" s="1"/>
  <c r="R92" i="2"/>
  <c r="R93" i="2" s="1"/>
  <c r="Q92" i="2"/>
  <c r="Q93" i="2" s="1"/>
  <c r="U92" i="2"/>
  <c r="U93" i="2" s="1"/>
  <c r="T92" i="2"/>
  <c r="T93" i="2" s="1"/>
  <c r="V92" i="2"/>
  <c r="V93" i="2" s="1"/>
  <c r="V105" i="2" s="1"/>
  <c r="P92" i="2"/>
  <c r="P93" i="2" s="1"/>
  <c r="W92" i="2"/>
  <c r="W93" i="2" s="1"/>
  <c r="T89" i="2"/>
  <c r="T90" i="2" s="1"/>
  <c r="T103" i="2" s="1"/>
  <c r="T119" i="2" s="1"/>
  <c r="Q89" i="2"/>
  <c r="Q90" i="2" s="1"/>
  <c r="V89" i="2"/>
  <c r="V90" i="2" s="1"/>
  <c r="P89" i="2"/>
  <c r="P90" i="2" s="1"/>
  <c r="U89" i="2"/>
  <c r="U90" i="2" s="1"/>
  <c r="U104" i="2" s="1"/>
  <c r="U120" i="2" s="1"/>
  <c r="W89" i="2"/>
  <c r="W90" i="2" s="1"/>
  <c r="R89" i="2"/>
  <c r="R90" i="2" s="1"/>
  <c r="R86" i="2"/>
  <c r="R87" i="2" s="1"/>
  <c r="R102" i="2" s="1"/>
  <c r="V86" i="2"/>
  <c r="V87" i="2" s="1"/>
  <c r="V102" i="2" s="1"/>
  <c r="V85" i="8"/>
  <c r="V86" i="8" s="1"/>
  <c r="V87" i="8" s="1"/>
  <c r="V102" i="8" s="1"/>
  <c r="V85" i="11"/>
  <c r="V86" i="11" s="1"/>
  <c r="V87" i="11" s="1"/>
  <c r="V102" i="11" s="1"/>
  <c r="Q86" i="2"/>
  <c r="Q87" i="2" s="1"/>
  <c r="P86" i="2"/>
  <c r="P87" i="2" s="1"/>
  <c r="U86" i="2"/>
  <c r="U87" i="2" s="1"/>
  <c r="S86" i="2"/>
  <c r="S87" i="2" s="1"/>
  <c r="S102" i="2" s="1"/>
  <c r="V28" i="9"/>
  <c r="U28" i="9"/>
  <c r="U28" i="8"/>
  <c r="V28" i="8"/>
  <c r="V28" i="10"/>
  <c r="U28" i="10"/>
  <c r="U28" i="11"/>
  <c r="V28" i="11"/>
  <c r="W91" i="9"/>
  <c r="W91" i="11"/>
  <c r="W92" i="11" s="1"/>
  <c r="W93" i="11" s="1"/>
  <c r="W105" i="11" s="1"/>
  <c r="W94" i="11"/>
  <c r="W94" i="10"/>
  <c r="V105" i="11"/>
  <c r="V102" i="9"/>
  <c r="V106" i="8"/>
  <c r="V107" i="8"/>
  <c r="V121" i="8" s="1"/>
  <c r="R106" i="8"/>
  <c r="V107" i="11"/>
  <c r="V121" i="11" s="1"/>
  <c r="W97" i="10"/>
  <c r="W98" i="10" s="1"/>
  <c r="W99" i="10" s="1"/>
  <c r="X91" i="8"/>
  <c r="X85" i="8"/>
  <c r="X86" i="8" s="1"/>
  <c r="X87" i="8" s="1"/>
  <c r="X94" i="8"/>
  <c r="X95" i="8" s="1"/>
  <c r="X96" i="8" s="1"/>
  <c r="Y70" i="2"/>
  <c r="Y70" i="10"/>
  <c r="Y70" i="11"/>
  <c r="Y70" i="8"/>
  <c r="Y70" i="9"/>
  <c r="Z187" i="1"/>
  <c r="X97" i="2"/>
  <c r="X88" i="2"/>
  <c r="X94" i="2"/>
  <c r="X91" i="2"/>
  <c r="X92" i="2" s="1"/>
  <c r="X93" i="2" s="1"/>
  <c r="X91" i="9"/>
  <c r="X92" i="9" s="1"/>
  <c r="X93" i="9" s="1"/>
  <c r="X97" i="9"/>
  <c r="X88" i="9"/>
  <c r="X89" i="9" s="1"/>
  <c r="X90" i="9" s="1"/>
  <c r="X85" i="9"/>
  <c r="X86" i="9" s="1"/>
  <c r="X87" i="9" s="1"/>
  <c r="X97" i="8"/>
  <c r="X98" i="8" s="1"/>
  <c r="X99" i="8" s="1"/>
  <c r="W85" i="8"/>
  <c r="W91" i="10"/>
  <c r="W92" i="10" s="1"/>
  <c r="W93" i="10" s="1"/>
  <c r="X94" i="11"/>
  <c r="X95" i="11" s="1"/>
  <c r="X96" i="11" s="1"/>
  <c r="X97" i="11"/>
  <c r="X98" i="11" s="1"/>
  <c r="X99" i="11" s="1"/>
  <c r="X91" i="11"/>
  <c r="X92" i="11" s="1"/>
  <c r="X93" i="11" s="1"/>
  <c r="X85" i="11"/>
  <c r="X86" i="11" s="1"/>
  <c r="X87" i="11" s="1"/>
  <c r="R107" i="9"/>
  <c r="R121" i="9" s="1"/>
  <c r="W88" i="10"/>
  <c r="W89" i="10" s="1"/>
  <c r="W90" i="10" s="1"/>
  <c r="X97" i="10"/>
  <c r="X98" i="10" s="1"/>
  <c r="X99" i="10" s="1"/>
  <c r="X85" i="10"/>
  <c r="X86" i="10" s="1"/>
  <c r="X87" i="10" s="1"/>
  <c r="X91" i="10"/>
  <c r="X92" i="10" s="1"/>
  <c r="X93" i="10" s="1"/>
  <c r="O91" i="2"/>
  <c r="T107" i="9"/>
  <c r="T121" i="9" s="1"/>
  <c r="R103" i="9"/>
  <c r="R119" i="9" s="1"/>
  <c r="Z69" i="9"/>
  <c r="Z69" i="10"/>
  <c r="Z69" i="8"/>
  <c r="Z69" i="11"/>
  <c r="O95" i="2"/>
  <c r="O96" i="2" s="1"/>
  <c r="O89" i="2"/>
  <c r="O90" i="2" s="1"/>
  <c r="R105" i="9"/>
  <c r="R122" i="9" s="1"/>
  <c r="P107" i="8"/>
  <c r="P121" i="8" s="1"/>
  <c r="V105" i="8"/>
  <c r="V122" i="8" s="1"/>
  <c r="U106" i="8"/>
  <c r="P107" i="10"/>
  <c r="P121" i="10" s="1"/>
  <c r="O107" i="10"/>
  <c r="Q107" i="9"/>
  <c r="Q121" i="9" s="1"/>
  <c r="Q105" i="9"/>
  <c r="Q122" i="9" s="1"/>
  <c r="Q103" i="9"/>
  <c r="Q119" i="9" s="1"/>
  <c r="S102" i="9"/>
  <c r="S105" i="9"/>
  <c r="S122" i="9" s="1"/>
  <c r="T103" i="8"/>
  <c r="T119" i="8" s="1"/>
  <c r="P106" i="8"/>
  <c r="R104" i="11"/>
  <c r="R120" i="11" s="1"/>
  <c r="R103" i="11"/>
  <c r="R119" i="11" s="1"/>
  <c r="Q102" i="11"/>
  <c r="V106" i="11"/>
  <c r="O105" i="11"/>
  <c r="P102" i="11"/>
  <c r="O107" i="11"/>
  <c r="O121" i="11" s="1"/>
  <c r="Q107" i="11"/>
  <c r="Q121" i="11" s="1"/>
  <c r="V103" i="11"/>
  <c r="V119" i="11" s="1"/>
  <c r="V104" i="11"/>
  <c r="V120" i="11" s="1"/>
  <c r="T104" i="11"/>
  <c r="T120" i="11" s="1"/>
  <c r="T103" i="11"/>
  <c r="T119" i="11" s="1"/>
  <c r="P104" i="11"/>
  <c r="P120" i="11" s="1"/>
  <c r="P103" i="11"/>
  <c r="P119" i="11" s="1"/>
  <c r="R105" i="11"/>
  <c r="U102" i="11"/>
  <c r="Q102" i="10"/>
  <c r="U104" i="10"/>
  <c r="U120" i="10" s="1"/>
  <c r="U103" i="10"/>
  <c r="U119" i="10" s="1"/>
  <c r="V106" i="10"/>
  <c r="O102" i="10"/>
  <c r="Q105" i="10"/>
  <c r="V104" i="10"/>
  <c r="V120" i="10" s="1"/>
  <c r="V103" i="10"/>
  <c r="V119" i="10" s="1"/>
  <c r="P106" i="10"/>
  <c r="V105" i="10"/>
  <c r="V102" i="10"/>
  <c r="O105" i="10"/>
  <c r="V106" i="9"/>
  <c r="R106" i="9"/>
  <c r="Q106" i="9"/>
  <c r="P106" i="9"/>
  <c r="T105" i="9"/>
  <c r="Q104" i="9"/>
  <c r="Q120" i="9" s="1"/>
  <c r="P103" i="9"/>
  <c r="P119" i="9" s="1"/>
  <c r="P104" i="9"/>
  <c r="P120" i="9" s="1"/>
  <c r="U105" i="9"/>
  <c r="S103" i="8"/>
  <c r="S119" i="8" s="1"/>
  <c r="S104" i="8"/>
  <c r="S120" i="8" s="1"/>
  <c r="R105" i="8"/>
  <c r="O103" i="8"/>
  <c r="O119" i="8" s="1"/>
  <c r="O104" i="8"/>
  <c r="O120" i="8" s="1"/>
  <c r="O107" i="8"/>
  <c r="O121" i="8" s="1"/>
  <c r="P105" i="8"/>
  <c r="P50" i="2"/>
  <c r="Z69" i="2"/>
  <c r="U28" i="2"/>
  <c r="V28" i="2"/>
  <c r="O107" i="2"/>
  <c r="O121" i="2" s="1"/>
  <c r="S106" i="2"/>
  <c r="O102" i="2"/>
  <c r="T16" i="1"/>
  <c r="W103" i="11" l="1"/>
  <c r="W119" i="11" s="1"/>
  <c r="U105" i="8"/>
  <c r="U122" i="8" s="1"/>
  <c r="R107" i="10"/>
  <c r="R121" i="10" s="1"/>
  <c r="U107" i="8"/>
  <c r="U121" i="8" s="1"/>
  <c r="R105" i="10"/>
  <c r="T104" i="9"/>
  <c r="T120" i="9" s="1"/>
  <c r="T102" i="11"/>
  <c r="S105" i="8"/>
  <c r="S122" i="8" s="1"/>
  <c r="S106" i="11"/>
  <c r="T103" i="9"/>
  <c r="T119" i="9" s="1"/>
  <c r="Q102" i="9"/>
  <c r="Q106" i="10"/>
  <c r="U105" i="10"/>
  <c r="O106" i="10"/>
  <c r="P102" i="10"/>
  <c r="U105" i="11"/>
  <c r="U123" i="11" s="1"/>
  <c r="V107" i="9"/>
  <c r="V121" i="9" s="1"/>
  <c r="Q106" i="11"/>
  <c r="W102" i="10"/>
  <c r="T104" i="10"/>
  <c r="T120" i="10" s="1"/>
  <c r="T103" i="10"/>
  <c r="T119" i="10" s="1"/>
  <c r="Q103" i="8"/>
  <c r="Q119" i="8" s="1"/>
  <c r="Q104" i="8"/>
  <c r="Q120" i="8" s="1"/>
  <c r="Z195" i="1"/>
  <c r="Z71" i="11"/>
  <c r="Z71" i="10"/>
  <c r="Z71" i="9"/>
  <c r="Z71" i="8"/>
  <c r="Z196" i="1"/>
  <c r="M129" i="1" s="1"/>
  <c r="Z192" i="1"/>
  <c r="Z193" i="1"/>
  <c r="Z194" i="1"/>
  <c r="L129" i="1" s="1"/>
  <c r="Z71" i="2"/>
  <c r="Q106" i="8"/>
  <c r="Q97" i="8"/>
  <c r="Q98" i="8" s="1"/>
  <c r="Q99" i="8" s="1"/>
  <c r="Q107" i="8" s="1"/>
  <c r="Q121" i="8" s="1"/>
  <c r="T85" i="10"/>
  <c r="T86" i="10" s="1"/>
  <c r="T87" i="10" s="1"/>
  <c r="T102" i="10" s="1"/>
  <c r="U97" i="11"/>
  <c r="U98" i="11" s="1"/>
  <c r="U99" i="11" s="1"/>
  <c r="U107" i="11" s="1"/>
  <c r="U121" i="11" s="1"/>
  <c r="R85" i="9"/>
  <c r="R86" i="9" s="1"/>
  <c r="R87" i="9" s="1"/>
  <c r="R102" i="9" s="1"/>
  <c r="R104" i="8"/>
  <c r="R120" i="8" s="1"/>
  <c r="S85" i="8"/>
  <c r="S86" i="8" s="1"/>
  <c r="S87" i="8" s="1"/>
  <c r="S102" i="8" s="1"/>
  <c r="S97" i="11"/>
  <c r="S98" i="11" s="1"/>
  <c r="S99" i="11" s="1"/>
  <c r="S107" i="11" s="1"/>
  <c r="S121" i="11" s="1"/>
  <c r="O94" i="11"/>
  <c r="O95" i="11" s="1"/>
  <c r="O96" i="11" s="1"/>
  <c r="O106" i="11" s="1"/>
  <c r="O85" i="9"/>
  <c r="O86" i="9" s="1"/>
  <c r="O87" i="9" s="1"/>
  <c r="O102" i="9" s="1"/>
  <c r="O105" i="8"/>
  <c r="T106" i="8"/>
  <c r="U85" i="10"/>
  <c r="U86" i="10" s="1"/>
  <c r="U87" i="10" s="1"/>
  <c r="U102" i="10" s="1"/>
  <c r="R97" i="11"/>
  <c r="R98" i="11" s="1"/>
  <c r="R99" i="11" s="1"/>
  <c r="R107" i="11" s="1"/>
  <c r="R121" i="11" s="1"/>
  <c r="T94" i="9"/>
  <c r="T95" i="9" s="1"/>
  <c r="T96" i="9" s="1"/>
  <c r="T106" i="9" s="1"/>
  <c r="S85" i="10"/>
  <c r="S86" i="10" s="1"/>
  <c r="S87" i="10" s="1"/>
  <c r="S102" i="10" s="1"/>
  <c r="T91" i="10"/>
  <c r="T92" i="10" s="1"/>
  <c r="T93" i="10" s="1"/>
  <c r="T105" i="10" s="1"/>
  <c r="T91" i="11"/>
  <c r="T92" i="11" s="1"/>
  <c r="T93" i="11" s="1"/>
  <c r="T105" i="11" s="1"/>
  <c r="P94" i="11"/>
  <c r="P95" i="11" s="1"/>
  <c r="P96" i="11" s="1"/>
  <c r="P106" i="11" s="1"/>
  <c r="Y80" i="10"/>
  <c r="Y79" i="10"/>
  <c r="Y77" i="10"/>
  <c r="Y76" i="10"/>
  <c r="Y78" i="10"/>
  <c r="Y91" i="10" s="1"/>
  <c r="Y92" i="10" s="1"/>
  <c r="Y93" i="10" s="1"/>
  <c r="R94" i="10"/>
  <c r="R95" i="10" s="1"/>
  <c r="R96" i="10" s="1"/>
  <c r="R106" i="10" s="1"/>
  <c r="Q91" i="11"/>
  <c r="Q92" i="11" s="1"/>
  <c r="Q93" i="11" s="1"/>
  <c r="Q105" i="11" s="1"/>
  <c r="S94" i="9"/>
  <c r="S95" i="9" s="1"/>
  <c r="S96" i="9" s="1"/>
  <c r="S106" i="9" s="1"/>
  <c r="S85" i="11"/>
  <c r="S86" i="11" s="1"/>
  <c r="S87" i="11" s="1"/>
  <c r="S102" i="11" s="1"/>
  <c r="O88" i="9"/>
  <c r="O89" i="9" s="1"/>
  <c r="O90" i="9" s="1"/>
  <c r="O103" i="9" s="1"/>
  <c r="O85" i="8"/>
  <c r="O86" i="8" s="1"/>
  <c r="O87" i="8" s="1"/>
  <c r="O102" i="8" s="1"/>
  <c r="T91" i="8"/>
  <c r="T92" i="8" s="1"/>
  <c r="T93" i="8" s="1"/>
  <c r="T105" i="8" s="1"/>
  <c r="T97" i="8"/>
  <c r="T98" i="8" s="1"/>
  <c r="T99" i="8" s="1"/>
  <c r="T107" i="8" s="1"/>
  <c r="T121" i="8" s="1"/>
  <c r="R85" i="11"/>
  <c r="R86" i="11" s="1"/>
  <c r="R87" i="11" s="1"/>
  <c r="R102" i="11" s="1"/>
  <c r="S88" i="10"/>
  <c r="S89" i="10" s="1"/>
  <c r="S90" i="10" s="1"/>
  <c r="S104" i="10" s="1"/>
  <c r="S120" i="10" s="1"/>
  <c r="T94" i="10"/>
  <c r="T95" i="10" s="1"/>
  <c r="T96" i="10" s="1"/>
  <c r="T106" i="10" s="1"/>
  <c r="P91" i="11"/>
  <c r="P92" i="11" s="1"/>
  <c r="P93" i="11" s="1"/>
  <c r="P105" i="11" s="1"/>
  <c r="P97" i="11"/>
  <c r="P98" i="11" s="1"/>
  <c r="P99" i="11" s="1"/>
  <c r="P107" i="11" s="1"/>
  <c r="P121" i="11" s="1"/>
  <c r="U94" i="9"/>
  <c r="U95" i="9" s="1"/>
  <c r="U96" i="9" s="1"/>
  <c r="U106" i="9" s="1"/>
  <c r="Y80" i="11"/>
  <c r="Y79" i="11"/>
  <c r="Y77" i="11"/>
  <c r="Y76" i="11"/>
  <c r="Y85" i="11" s="1"/>
  <c r="Y86" i="11" s="1"/>
  <c r="Y87" i="11" s="1"/>
  <c r="Y78" i="11"/>
  <c r="S97" i="9"/>
  <c r="S98" i="9" s="1"/>
  <c r="S99" i="9" s="1"/>
  <c r="S107" i="9" s="1"/>
  <c r="S121" i="9" s="1"/>
  <c r="R97" i="8"/>
  <c r="R98" i="8" s="1"/>
  <c r="R99" i="8" s="1"/>
  <c r="R107" i="8" s="1"/>
  <c r="R121" i="8" s="1"/>
  <c r="S94" i="8"/>
  <c r="S95" i="8" s="1"/>
  <c r="S96" i="8" s="1"/>
  <c r="S106" i="8" s="1"/>
  <c r="O89" i="10"/>
  <c r="O90" i="10" s="1"/>
  <c r="S88" i="11"/>
  <c r="S89" i="11" s="1"/>
  <c r="S90" i="11" s="1"/>
  <c r="S103" i="11" s="1"/>
  <c r="S119" i="11" s="1"/>
  <c r="O85" i="11"/>
  <c r="O86" i="11" s="1"/>
  <c r="O87" i="11" s="1"/>
  <c r="O102" i="11" s="1"/>
  <c r="O94" i="9"/>
  <c r="O95" i="9" s="1"/>
  <c r="O96" i="9" s="1"/>
  <c r="O106" i="9" s="1"/>
  <c r="T85" i="8"/>
  <c r="T86" i="8" s="1"/>
  <c r="T87" i="8" s="1"/>
  <c r="T102" i="8" s="1"/>
  <c r="P91" i="10"/>
  <c r="P92" i="10" s="1"/>
  <c r="P93" i="10" s="1"/>
  <c r="P105" i="10" s="1"/>
  <c r="U94" i="10"/>
  <c r="U95" i="10" s="1"/>
  <c r="U96" i="10" s="1"/>
  <c r="U106" i="10" s="1"/>
  <c r="T85" i="9"/>
  <c r="T86" i="9" s="1"/>
  <c r="T87" i="9" s="1"/>
  <c r="T102" i="9" s="1"/>
  <c r="P91" i="9"/>
  <c r="P92" i="9" s="1"/>
  <c r="P93" i="9" s="1"/>
  <c r="P105" i="9" s="1"/>
  <c r="P97" i="9"/>
  <c r="P98" i="9" s="1"/>
  <c r="P99" i="9" s="1"/>
  <c r="P107" i="9" s="1"/>
  <c r="P121" i="9" s="1"/>
  <c r="P85" i="8"/>
  <c r="P86" i="8" s="1"/>
  <c r="P87" i="8" s="1"/>
  <c r="P102" i="8" s="1"/>
  <c r="Q97" i="10"/>
  <c r="Q98" i="10" s="1"/>
  <c r="Q99" i="10" s="1"/>
  <c r="Q107" i="10" s="1"/>
  <c r="Q121" i="10" s="1"/>
  <c r="S94" i="10"/>
  <c r="S95" i="10" s="1"/>
  <c r="S96" i="10" s="1"/>
  <c r="S106" i="10" s="1"/>
  <c r="U107" i="9"/>
  <c r="U121" i="9" s="1"/>
  <c r="Y79" i="2"/>
  <c r="Y80" i="2"/>
  <c r="Y97" i="2" s="1"/>
  <c r="Y77" i="2"/>
  <c r="Y76" i="2"/>
  <c r="Y78" i="2"/>
  <c r="Y80" i="8"/>
  <c r="Y79" i="8"/>
  <c r="Y94" i="8" s="1"/>
  <c r="Y95" i="8" s="1"/>
  <c r="Y96" i="8" s="1"/>
  <c r="Y77" i="8"/>
  <c r="Y88" i="8" s="1"/>
  <c r="Y89" i="8" s="1"/>
  <c r="Y90" i="8" s="1"/>
  <c r="Y76" i="8"/>
  <c r="Y85" i="8" s="1"/>
  <c r="Y86" i="8" s="1"/>
  <c r="Y87" i="8" s="1"/>
  <c r="Y78" i="8"/>
  <c r="Q85" i="8"/>
  <c r="Q86" i="8" s="1"/>
  <c r="Q87" i="8" s="1"/>
  <c r="Q102" i="8" s="1"/>
  <c r="Q91" i="8"/>
  <c r="Q92" i="8" s="1"/>
  <c r="Q93" i="8" s="1"/>
  <c r="Q105" i="8" s="1"/>
  <c r="T97" i="10"/>
  <c r="T98" i="10" s="1"/>
  <c r="T99" i="10" s="1"/>
  <c r="T107" i="10" s="1"/>
  <c r="T121" i="10" s="1"/>
  <c r="U94" i="11"/>
  <c r="U95" i="11" s="1"/>
  <c r="U96" i="11" s="1"/>
  <c r="U106" i="11" s="1"/>
  <c r="R102" i="8"/>
  <c r="S97" i="8"/>
  <c r="S98" i="8" s="1"/>
  <c r="S99" i="8" s="1"/>
  <c r="S107" i="8" s="1"/>
  <c r="S121" i="8" s="1"/>
  <c r="T2" i="1"/>
  <c r="S2" i="8"/>
  <c r="S146" i="8" s="1"/>
  <c r="S2" i="11"/>
  <c r="S146" i="11" s="1"/>
  <c r="S2" i="10"/>
  <c r="S146" i="10" s="1"/>
  <c r="S2" i="9"/>
  <c r="S146" i="9" s="1"/>
  <c r="S2" i="7"/>
  <c r="S8" i="7" s="1"/>
  <c r="S2" i="2"/>
  <c r="S146" i="2" s="1"/>
  <c r="O91" i="9"/>
  <c r="O92" i="9" s="1"/>
  <c r="O93" i="9" s="1"/>
  <c r="O105" i="9" s="1"/>
  <c r="O97" i="9"/>
  <c r="O98" i="9" s="1"/>
  <c r="O99" i="9" s="1"/>
  <c r="O107" i="9" s="1"/>
  <c r="O94" i="8"/>
  <c r="O95" i="8" s="1"/>
  <c r="O96" i="8" s="1"/>
  <c r="O106" i="8" s="1"/>
  <c r="U97" i="10"/>
  <c r="U98" i="10" s="1"/>
  <c r="U99" i="10" s="1"/>
  <c r="U107" i="10" s="1"/>
  <c r="U121" i="10" s="1"/>
  <c r="R94" i="11"/>
  <c r="R95" i="11" s="1"/>
  <c r="R96" i="11" s="1"/>
  <c r="R106" i="11" s="1"/>
  <c r="P85" i="9"/>
  <c r="P86" i="9" s="1"/>
  <c r="P87" i="9" s="1"/>
  <c r="P102" i="9" s="1"/>
  <c r="U85" i="8"/>
  <c r="U86" i="8" s="1"/>
  <c r="U87" i="8" s="1"/>
  <c r="U102" i="8" s="1"/>
  <c r="S91" i="10"/>
  <c r="S92" i="10" s="1"/>
  <c r="S93" i="10" s="1"/>
  <c r="S105" i="10" s="1"/>
  <c r="S107" i="10"/>
  <c r="S121" i="10" s="1"/>
  <c r="T94" i="11"/>
  <c r="T95" i="11" s="1"/>
  <c r="T96" i="11" s="1"/>
  <c r="T106" i="11" s="1"/>
  <c r="T97" i="11"/>
  <c r="T98" i="11" s="1"/>
  <c r="T99" i="11" s="1"/>
  <c r="T107" i="11" s="1"/>
  <c r="T121" i="11" s="1"/>
  <c r="U102" i="9"/>
  <c r="Y80" i="9"/>
  <c r="Y79" i="9"/>
  <c r="Y77" i="9"/>
  <c r="Y88" i="9" s="1"/>
  <c r="Y89" i="9" s="1"/>
  <c r="Y90" i="9" s="1"/>
  <c r="Y76" i="9"/>
  <c r="Y78" i="9"/>
  <c r="W103" i="9"/>
  <c r="W119" i="9" s="1"/>
  <c r="W104" i="9"/>
  <c r="W120" i="9" s="1"/>
  <c r="O17" i="10"/>
  <c r="U17" i="10" s="1"/>
  <c r="O121" i="10"/>
  <c r="W95" i="11"/>
  <c r="W96" i="11" s="1"/>
  <c r="W106" i="11" s="1"/>
  <c r="O37" i="9"/>
  <c r="U37" i="9" s="1"/>
  <c r="O119" i="9"/>
  <c r="X98" i="2"/>
  <c r="X99" i="2" s="1"/>
  <c r="W95" i="8"/>
  <c r="W96" i="8" s="1"/>
  <c r="W106" i="8" s="1"/>
  <c r="X98" i="9"/>
  <c r="X99" i="9" s="1"/>
  <c r="X95" i="2"/>
  <c r="X96" i="2" s="1"/>
  <c r="W95" i="10"/>
  <c r="W96" i="10" s="1"/>
  <c r="W106" i="10" s="1"/>
  <c r="X92" i="8"/>
  <c r="X93" i="8" s="1"/>
  <c r="W92" i="9"/>
  <c r="W93" i="9" s="1"/>
  <c r="W105" i="9" s="1"/>
  <c r="W91" i="8"/>
  <c r="W92" i="8" s="1"/>
  <c r="W93" i="8" s="1"/>
  <c r="W105" i="8" s="1"/>
  <c r="X89" i="2"/>
  <c r="X90" i="2" s="1"/>
  <c r="W88" i="8"/>
  <c r="X89" i="8"/>
  <c r="X90" i="8" s="1"/>
  <c r="W86" i="8"/>
  <c r="W87" i="8" s="1"/>
  <c r="W102" i="8" s="1"/>
  <c r="W85" i="11"/>
  <c r="W86" i="11" s="1"/>
  <c r="W87" i="11" s="1"/>
  <c r="W102" i="11" s="1"/>
  <c r="S123" i="9"/>
  <c r="U123" i="8"/>
  <c r="V122" i="9"/>
  <c r="X106" i="11"/>
  <c r="S123" i="11"/>
  <c r="W105" i="10"/>
  <c r="X106" i="9"/>
  <c r="X105" i="10"/>
  <c r="X107" i="8"/>
  <c r="X121" i="8" s="1"/>
  <c r="V104" i="8"/>
  <c r="V120" i="8" s="1"/>
  <c r="V103" i="8"/>
  <c r="V119" i="8" s="1"/>
  <c r="V123" i="8"/>
  <c r="S123" i="8"/>
  <c r="X105" i="2"/>
  <c r="U122" i="11"/>
  <c r="X105" i="11"/>
  <c r="X122" i="11" s="1"/>
  <c r="X102" i="8"/>
  <c r="X102" i="10"/>
  <c r="R104" i="9"/>
  <c r="R120" i="9" s="1"/>
  <c r="Y94" i="9"/>
  <c r="Y91" i="9"/>
  <c r="Y92" i="9" s="1"/>
  <c r="Y93" i="9" s="1"/>
  <c r="Y88" i="2"/>
  <c r="Y94" i="2"/>
  <c r="Y97" i="8"/>
  <c r="Y98" i="8" s="1"/>
  <c r="Y99" i="8" s="1"/>
  <c r="Y91" i="8"/>
  <c r="Y92" i="8" s="1"/>
  <c r="Y93" i="8" s="1"/>
  <c r="Y97" i="9"/>
  <c r="Y98" i="9" s="1"/>
  <c r="Y99" i="9" s="1"/>
  <c r="Y97" i="11"/>
  <c r="Y98" i="11" s="1"/>
  <c r="Y99" i="11" s="1"/>
  <c r="Y94" i="11"/>
  <c r="Y95" i="11" s="1"/>
  <c r="Y96" i="11" s="1"/>
  <c r="Y88" i="11"/>
  <c r="Y89" i="11" s="1"/>
  <c r="Y90" i="11" s="1"/>
  <c r="Y91" i="11"/>
  <c r="Y92" i="11" s="1"/>
  <c r="Y93" i="11" s="1"/>
  <c r="R123" i="9"/>
  <c r="Q123" i="9"/>
  <c r="X107" i="11"/>
  <c r="X121" i="11" s="1"/>
  <c r="Z70" i="11"/>
  <c r="Z70" i="10"/>
  <c r="Z70" i="9"/>
  <c r="Z70" i="8"/>
  <c r="Z70" i="2"/>
  <c r="M130" i="1"/>
  <c r="Y88" i="10"/>
  <c r="Y89" i="10" s="1"/>
  <c r="Y90" i="10" s="1"/>
  <c r="Y97" i="10"/>
  <c r="Y98" i="10" s="1"/>
  <c r="Y99" i="10" s="1"/>
  <c r="Y85" i="10"/>
  <c r="Y86" i="10" s="1"/>
  <c r="Y87" i="10" s="1"/>
  <c r="Y94" i="10"/>
  <c r="Y95" i="10" s="1"/>
  <c r="Y96" i="10" s="1"/>
  <c r="O92" i="2"/>
  <c r="X107" i="10"/>
  <c r="X121" i="10" s="1"/>
  <c r="T104" i="8"/>
  <c r="T120" i="8" s="1"/>
  <c r="O17" i="11"/>
  <c r="U103" i="11"/>
  <c r="U119" i="11" s="1"/>
  <c r="U104" i="11"/>
  <c r="U120" i="11" s="1"/>
  <c r="W122" i="11"/>
  <c r="W123" i="11"/>
  <c r="O104" i="11"/>
  <c r="O120" i="11" s="1"/>
  <c r="O103" i="11"/>
  <c r="O119" i="11" s="1"/>
  <c r="O122" i="11"/>
  <c r="O123" i="11"/>
  <c r="O44" i="11"/>
  <c r="O34" i="11"/>
  <c r="R122" i="11"/>
  <c r="R123" i="11"/>
  <c r="Q104" i="11"/>
  <c r="Q120" i="11" s="1"/>
  <c r="Q103" i="11"/>
  <c r="Q119" i="11" s="1"/>
  <c r="V122" i="11"/>
  <c r="V123" i="11"/>
  <c r="O122" i="10"/>
  <c r="O123" i="10"/>
  <c r="O34" i="10"/>
  <c r="O44" i="10"/>
  <c r="Q104" i="10"/>
  <c r="Q120" i="10" s="1"/>
  <c r="Q103" i="10"/>
  <c r="Q119" i="10" s="1"/>
  <c r="V122" i="10"/>
  <c r="V123" i="10"/>
  <c r="P104" i="10"/>
  <c r="P120" i="10" s="1"/>
  <c r="P103" i="10"/>
  <c r="P119" i="10" s="1"/>
  <c r="U123" i="10"/>
  <c r="U122" i="10"/>
  <c r="R122" i="10"/>
  <c r="R123" i="10"/>
  <c r="Q123" i="10"/>
  <c r="Q122" i="10"/>
  <c r="R103" i="10"/>
  <c r="R119" i="10" s="1"/>
  <c r="R104" i="10"/>
  <c r="R120" i="10" s="1"/>
  <c r="S103" i="9"/>
  <c r="S119" i="9" s="1"/>
  <c r="S104" i="9"/>
  <c r="S120" i="9" s="1"/>
  <c r="V104" i="9"/>
  <c r="V120" i="9" s="1"/>
  <c r="V103" i="9"/>
  <c r="V119" i="9" s="1"/>
  <c r="U123" i="9"/>
  <c r="U122" i="9"/>
  <c r="U104" i="9"/>
  <c r="U120" i="9" s="1"/>
  <c r="U103" i="9"/>
  <c r="U119" i="9" s="1"/>
  <c r="T123" i="9"/>
  <c r="T122" i="9"/>
  <c r="P123" i="8"/>
  <c r="P122" i="8"/>
  <c r="O27" i="8"/>
  <c r="O37" i="8"/>
  <c r="U104" i="8"/>
  <c r="U120" i="8" s="1"/>
  <c r="U103" i="8"/>
  <c r="U119" i="8" s="1"/>
  <c r="O17" i="8"/>
  <c r="P104" i="8"/>
  <c r="P120" i="8" s="1"/>
  <c r="P103" i="8"/>
  <c r="P119" i="8" s="1"/>
  <c r="R122" i="8"/>
  <c r="R123" i="8"/>
  <c r="V122" i="2"/>
  <c r="V123" i="2"/>
  <c r="W102" i="2"/>
  <c r="S107" i="2"/>
  <c r="S121" i="2" s="1"/>
  <c r="V107" i="2"/>
  <c r="V121" i="2" s="1"/>
  <c r="V104" i="2"/>
  <c r="V120" i="2" s="1"/>
  <c r="V103" i="2"/>
  <c r="V119" i="2" s="1"/>
  <c r="P104" i="2"/>
  <c r="P120" i="2" s="1"/>
  <c r="P103" i="2"/>
  <c r="P119" i="2" s="1"/>
  <c r="T104" i="2"/>
  <c r="T120" i="2" s="1"/>
  <c r="U103" i="2"/>
  <c r="U119" i="2" s="1"/>
  <c r="U107" i="2"/>
  <c r="U121" i="2" s="1"/>
  <c r="O106" i="2"/>
  <c r="R105" i="2"/>
  <c r="U105" i="2"/>
  <c r="P102" i="2"/>
  <c r="T106" i="2"/>
  <c r="U102" i="2"/>
  <c r="S105" i="2"/>
  <c r="T102" i="2"/>
  <c r="P106" i="2"/>
  <c r="X102" i="2"/>
  <c r="U106" i="2"/>
  <c r="W106" i="2"/>
  <c r="Q105" i="2"/>
  <c r="O17" i="2"/>
  <c r="U16" i="1"/>
  <c r="O103" i="10" l="1"/>
  <c r="O119" i="10" s="1"/>
  <c r="O104" i="10"/>
  <c r="O120" i="10" s="1"/>
  <c r="S104" i="11"/>
  <c r="S120" i="11" s="1"/>
  <c r="O104" i="9"/>
  <c r="S103" i="10"/>
  <c r="S119" i="10" s="1"/>
  <c r="O121" i="9"/>
  <c r="O17" i="9"/>
  <c r="P123" i="11"/>
  <c r="P122" i="11"/>
  <c r="S123" i="10"/>
  <c r="S122" i="10"/>
  <c r="Q122" i="8"/>
  <c r="Q123" i="8"/>
  <c r="P122" i="10"/>
  <c r="P123" i="10"/>
  <c r="O44" i="9"/>
  <c r="O49" i="9" s="1"/>
  <c r="O34" i="9"/>
  <c r="O122" i="9"/>
  <c r="O123" i="9"/>
  <c r="T123" i="10"/>
  <c r="T122" i="10"/>
  <c r="P122" i="9"/>
  <c r="P123" i="9"/>
  <c r="Y85" i="2"/>
  <c r="Y86" i="2" s="1"/>
  <c r="Y87" i="2" s="1"/>
  <c r="Y102" i="2" s="1"/>
  <c r="T123" i="8"/>
  <c r="T122" i="8"/>
  <c r="O120" i="9"/>
  <c r="O27" i="9"/>
  <c r="T123" i="11"/>
  <c r="T122" i="11"/>
  <c r="O123" i="8"/>
  <c r="O44" i="8"/>
  <c r="O122" i="8"/>
  <c r="O34" i="8"/>
  <c r="J129" i="1"/>
  <c r="K129" i="1"/>
  <c r="Z80" i="9"/>
  <c r="Z79" i="9"/>
  <c r="Z77" i="9"/>
  <c r="Z76" i="9"/>
  <c r="Z85" i="9" s="1"/>
  <c r="Z86" i="9" s="1"/>
  <c r="Z87" i="9" s="1"/>
  <c r="Z78" i="9"/>
  <c r="Y85" i="9"/>
  <c r="Y86" i="9" s="1"/>
  <c r="Y87" i="9" s="1"/>
  <c r="Y102" i="9" s="1"/>
  <c r="U2" i="1"/>
  <c r="T2" i="11"/>
  <c r="T146" i="11" s="1"/>
  <c r="T2" i="10"/>
  <c r="T146" i="10" s="1"/>
  <c r="T2" i="9"/>
  <c r="T146" i="9" s="1"/>
  <c r="T2" i="8"/>
  <c r="T146" i="8" s="1"/>
  <c r="T2" i="2"/>
  <c r="T146" i="2" s="1"/>
  <c r="T2" i="7"/>
  <c r="T8" i="7" s="1"/>
  <c r="Z80" i="10"/>
  <c r="Z97" i="10" s="1"/>
  <c r="Z98" i="10" s="1"/>
  <c r="Z99" i="10" s="1"/>
  <c r="Z79" i="10"/>
  <c r="Z77" i="10"/>
  <c r="Z76" i="10"/>
  <c r="Z78" i="10"/>
  <c r="Z91" i="10" s="1"/>
  <c r="Z92" i="10" s="1"/>
  <c r="Z93" i="10" s="1"/>
  <c r="Q122" i="11"/>
  <c r="Q123" i="11"/>
  <c r="Z79" i="2"/>
  <c r="Z94" i="2" s="1"/>
  <c r="Z80" i="2"/>
  <c r="Z76" i="2"/>
  <c r="Z77" i="2"/>
  <c r="Z88" i="2" s="1"/>
  <c r="Z78" i="2"/>
  <c r="Z80" i="11"/>
  <c r="Z97" i="11" s="1"/>
  <c r="Z98" i="11" s="1"/>
  <c r="Z99" i="11" s="1"/>
  <c r="Z79" i="11"/>
  <c r="Z77" i="11"/>
  <c r="Z76" i="11"/>
  <c r="Z85" i="11" s="1"/>
  <c r="Z86" i="11" s="1"/>
  <c r="Z87" i="11" s="1"/>
  <c r="Z78" i="11"/>
  <c r="Z91" i="11" s="1"/>
  <c r="Z92" i="11" s="1"/>
  <c r="Z93" i="11" s="1"/>
  <c r="Z80" i="8"/>
  <c r="Z79" i="8"/>
  <c r="Z94" i="8" s="1"/>
  <c r="Z95" i="8" s="1"/>
  <c r="Z96" i="8" s="1"/>
  <c r="Z77" i="8"/>
  <c r="Z88" i="8" s="1"/>
  <c r="Z89" i="8" s="1"/>
  <c r="Z90" i="8" s="1"/>
  <c r="Z76" i="8"/>
  <c r="Z85" i="8" s="1"/>
  <c r="Z86" i="8" s="1"/>
  <c r="Z87" i="8" s="1"/>
  <c r="Z78" i="8"/>
  <c r="O51" i="10"/>
  <c r="Y95" i="2"/>
  <c r="Y96" i="2" s="1"/>
  <c r="Y95" i="9"/>
  <c r="Y96" i="9" s="1"/>
  <c r="Y98" i="2"/>
  <c r="Y99" i="2" s="1"/>
  <c r="Y107" i="2" s="1"/>
  <c r="Y121" i="2" s="1"/>
  <c r="W122" i="8"/>
  <c r="W123" i="8"/>
  <c r="Y91" i="2"/>
  <c r="W89" i="8"/>
  <c r="W90" i="8" s="1"/>
  <c r="Y89" i="2"/>
  <c r="Y90" i="2" s="1"/>
  <c r="O93" i="2"/>
  <c r="O105" i="2" s="1"/>
  <c r="W122" i="9"/>
  <c r="W123" i="9"/>
  <c r="X123" i="11"/>
  <c r="W122" i="10"/>
  <c r="W123" i="10"/>
  <c r="X123" i="10"/>
  <c r="X122" i="10"/>
  <c r="Y106" i="11"/>
  <c r="Y105" i="9"/>
  <c r="Y106" i="8"/>
  <c r="K130" i="1"/>
  <c r="K131" i="1" s="1"/>
  <c r="J130" i="1"/>
  <c r="Y107" i="10"/>
  <c r="Y121" i="10" s="1"/>
  <c r="L130" i="1"/>
  <c r="L131" i="1" s="1"/>
  <c r="Z85" i="10"/>
  <c r="Z86" i="10" s="1"/>
  <c r="Z87" i="10" s="1"/>
  <c r="Z94" i="10"/>
  <c r="Z95" i="10" s="1"/>
  <c r="Z96" i="10" s="1"/>
  <c r="Z88" i="10"/>
  <c r="Z89" i="10" s="1"/>
  <c r="Z90" i="10" s="1"/>
  <c r="X105" i="8"/>
  <c r="W106" i="9"/>
  <c r="X107" i="9"/>
  <c r="X121" i="9" s="1"/>
  <c r="Z88" i="11"/>
  <c r="Z89" i="11" s="1"/>
  <c r="Z90" i="11" s="1"/>
  <c r="Y107" i="8"/>
  <c r="Y121" i="8" s="1"/>
  <c r="X106" i="10"/>
  <c r="W107" i="10"/>
  <c r="W121" i="10" s="1"/>
  <c r="X106" i="8"/>
  <c r="X105" i="9"/>
  <c r="X102" i="11"/>
  <c r="Z97" i="2"/>
  <c r="Z97" i="8"/>
  <c r="Z98" i="8" s="1"/>
  <c r="Z99" i="8" s="1"/>
  <c r="Z91" i="8"/>
  <c r="Z92" i="8" s="1"/>
  <c r="Z93" i="8" s="1"/>
  <c r="Y102" i="8"/>
  <c r="Y107" i="9"/>
  <c r="Y121" i="9" s="1"/>
  <c r="Z94" i="9"/>
  <c r="Z88" i="9"/>
  <c r="Z89" i="9" s="1"/>
  <c r="Z90" i="9" s="1"/>
  <c r="Z91" i="9"/>
  <c r="Z92" i="9" s="1"/>
  <c r="Z93" i="9" s="1"/>
  <c r="Z97" i="9"/>
  <c r="Z98" i="9" s="1"/>
  <c r="Z99" i="9" s="1"/>
  <c r="X102" i="9"/>
  <c r="Y105" i="11"/>
  <c r="Y105" i="10"/>
  <c r="Y103" i="11"/>
  <c r="Y119" i="11" s="1"/>
  <c r="Y104" i="11"/>
  <c r="Y120" i="11" s="1"/>
  <c r="Y107" i="11"/>
  <c r="Y121" i="11" s="1"/>
  <c r="Y106" i="10"/>
  <c r="O37" i="11"/>
  <c r="O27" i="11"/>
  <c r="U17" i="11"/>
  <c r="O51" i="11"/>
  <c r="O37" i="10"/>
  <c r="O27" i="10"/>
  <c r="U27" i="8"/>
  <c r="O50" i="8"/>
  <c r="O51" i="8"/>
  <c r="U17" i="8"/>
  <c r="U37" i="8"/>
  <c r="O49" i="8"/>
  <c r="Q122" i="2"/>
  <c r="Q123" i="2"/>
  <c r="U123" i="2"/>
  <c r="U122" i="2"/>
  <c r="X122" i="2"/>
  <c r="X123" i="2"/>
  <c r="R122" i="2"/>
  <c r="R123" i="2"/>
  <c r="S123" i="2"/>
  <c r="S122" i="2"/>
  <c r="O103" i="2"/>
  <c r="O104" i="2"/>
  <c r="W104" i="2"/>
  <c r="W120" i="2" s="1"/>
  <c r="W103" i="2"/>
  <c r="W119" i="2" s="1"/>
  <c r="R107" i="2"/>
  <c r="R121" i="2" s="1"/>
  <c r="R103" i="2"/>
  <c r="R119" i="2" s="1"/>
  <c r="R104" i="2"/>
  <c r="R120" i="2" s="1"/>
  <c r="S103" i="2"/>
  <c r="S119" i="2" s="1"/>
  <c r="S104" i="2"/>
  <c r="S120" i="2" s="1"/>
  <c r="P107" i="2"/>
  <c r="P121" i="2" s="1"/>
  <c r="U17" i="2"/>
  <c r="O51" i="2"/>
  <c r="Q102" i="2"/>
  <c r="Q106" i="2"/>
  <c r="X106" i="2"/>
  <c r="R106" i="2"/>
  <c r="T105" i="2"/>
  <c r="P105" i="2"/>
  <c r="W105" i="2"/>
  <c r="M131" i="1"/>
  <c r="V16" i="1"/>
  <c r="Z94" i="11" l="1"/>
  <c r="Z95" i="11" s="1"/>
  <c r="Z96" i="11" s="1"/>
  <c r="Z106" i="11" s="1"/>
  <c r="U27" i="9"/>
  <c r="O50" i="9"/>
  <c r="V2" i="1"/>
  <c r="U2" i="11"/>
  <c r="U146" i="11" s="1"/>
  <c r="U2" i="10"/>
  <c r="U146" i="10" s="1"/>
  <c r="U2" i="9"/>
  <c r="U146" i="9" s="1"/>
  <c r="U2" i="8"/>
  <c r="U146" i="8" s="1"/>
  <c r="U2" i="2"/>
  <c r="U146" i="2" s="1"/>
  <c r="U2" i="7"/>
  <c r="U8" i="7" s="1"/>
  <c r="U17" i="9"/>
  <c r="O51" i="9"/>
  <c r="O37" i="2"/>
  <c r="O119" i="2"/>
  <c r="Z95" i="2"/>
  <c r="Z96" i="2" s="1"/>
  <c r="Z106" i="2" s="1"/>
  <c r="O27" i="2"/>
  <c r="U27" i="2" s="1"/>
  <c r="O120" i="2"/>
  <c r="Z98" i="2"/>
  <c r="Z99" i="2" s="1"/>
  <c r="Z107" i="2" s="1"/>
  <c r="Z121" i="2" s="1"/>
  <c r="Z95" i="9"/>
  <c r="Z96" i="9" s="1"/>
  <c r="Z91" i="2"/>
  <c r="Y92" i="2"/>
  <c r="Y93" i="2" s="1"/>
  <c r="Y105" i="2" s="1"/>
  <c r="Z89" i="2"/>
  <c r="Z90" i="2" s="1"/>
  <c r="W104" i="8"/>
  <c r="W120" i="8" s="1"/>
  <c r="W103" i="8"/>
  <c r="W119" i="8" s="1"/>
  <c r="Z85" i="2"/>
  <c r="O122" i="2"/>
  <c r="O34" i="2"/>
  <c r="O50" i="2" s="1"/>
  <c r="O44" i="2"/>
  <c r="O49" i="2" s="1"/>
  <c r="O123" i="2"/>
  <c r="Z106" i="10"/>
  <c r="Z107" i="11"/>
  <c r="Z121" i="11" s="1"/>
  <c r="Z107" i="10"/>
  <c r="Z121" i="10" s="1"/>
  <c r="Z102" i="10"/>
  <c r="Z105" i="8"/>
  <c r="Z122" i="8" s="1"/>
  <c r="Z102" i="11"/>
  <c r="Z105" i="9"/>
  <c r="Z122" i="9" s="1"/>
  <c r="Z107" i="9"/>
  <c r="Z121" i="9" s="1"/>
  <c r="Y104" i="9"/>
  <c r="Y120" i="9" s="1"/>
  <c r="Y103" i="9"/>
  <c r="Y119" i="9" s="1"/>
  <c r="X103" i="11"/>
  <c r="X119" i="11" s="1"/>
  <c r="X104" i="11"/>
  <c r="X120" i="11" s="1"/>
  <c r="X103" i="10"/>
  <c r="X119" i="10" s="1"/>
  <c r="X104" i="10"/>
  <c r="X120" i="10" s="1"/>
  <c r="X104" i="8"/>
  <c r="X120" i="8" s="1"/>
  <c r="X103" i="8"/>
  <c r="X119" i="8" s="1"/>
  <c r="X123" i="9"/>
  <c r="X122" i="9"/>
  <c r="X104" i="9"/>
  <c r="X120" i="9" s="1"/>
  <c r="X103" i="9"/>
  <c r="X119" i="9" s="1"/>
  <c r="W104" i="10"/>
  <c r="W120" i="10" s="1"/>
  <c r="W103" i="10"/>
  <c r="W119" i="10" s="1"/>
  <c r="Y106" i="9"/>
  <c r="Y102" i="11"/>
  <c r="Y105" i="8"/>
  <c r="Y102" i="10"/>
  <c r="X123" i="8"/>
  <c r="X122" i="8"/>
  <c r="Y106" i="2"/>
  <c r="Z106" i="8"/>
  <c r="Z105" i="10"/>
  <c r="Z107" i="8"/>
  <c r="Z121" i="8" s="1"/>
  <c r="Y123" i="9"/>
  <c r="Y122" i="9"/>
  <c r="Z102" i="8"/>
  <c r="Z105" i="11"/>
  <c r="Y122" i="10"/>
  <c r="Y123" i="10"/>
  <c r="Y122" i="11"/>
  <c r="Y123" i="11"/>
  <c r="L132" i="1"/>
  <c r="U37" i="11"/>
  <c r="O49" i="11"/>
  <c r="U27" i="11"/>
  <c r="O50" i="11"/>
  <c r="U27" i="10"/>
  <c r="O50" i="10"/>
  <c r="U37" i="10"/>
  <c r="O49" i="10"/>
  <c r="W123" i="2"/>
  <c r="W122" i="2"/>
  <c r="P122" i="2"/>
  <c r="P123" i="2"/>
  <c r="T123" i="2"/>
  <c r="T122" i="2"/>
  <c r="T107" i="2"/>
  <c r="T121" i="2" s="1"/>
  <c r="Y104" i="2"/>
  <c r="Y120" i="2" s="1"/>
  <c r="Y103" i="2"/>
  <c r="Y119" i="2" s="1"/>
  <c r="Q104" i="2"/>
  <c r="Q120" i="2" s="1"/>
  <c r="Q103" i="2"/>
  <c r="Q119" i="2" s="1"/>
  <c r="W107" i="2"/>
  <c r="W121" i="2" s="1"/>
  <c r="X103" i="2"/>
  <c r="X119" i="2" s="1"/>
  <c r="X104" i="2"/>
  <c r="X120" i="2" s="1"/>
  <c r="X107" i="2"/>
  <c r="X121" i="2" s="1"/>
  <c r="Q107" i="2"/>
  <c r="Q121" i="2" s="1"/>
  <c r="U37" i="2"/>
  <c r="K132" i="1"/>
  <c r="W16" i="1"/>
  <c r="X16" i="1" s="1"/>
  <c r="Y16" i="1" s="1"/>
  <c r="Z16" i="1" s="1"/>
  <c r="K146" i="1" s="1"/>
  <c r="L160" i="1" s="1"/>
  <c r="K95" i="1"/>
  <c r="K94" i="1"/>
  <c r="K143" i="1"/>
  <c r="L157" i="1" s="1"/>
  <c r="K140" i="1"/>
  <c r="L154" i="1" s="1"/>
  <c r="K144" i="1"/>
  <c r="L158" i="1" s="1"/>
  <c r="K27" i="1"/>
  <c r="K93" i="1"/>
  <c r="T22" i="1"/>
  <c r="X22" i="1"/>
  <c r="M132" i="1"/>
  <c r="P22" i="1"/>
  <c r="J131" i="1"/>
  <c r="K92" i="1"/>
  <c r="K139" i="1"/>
  <c r="W2" i="1" l="1"/>
  <c r="V2" i="11"/>
  <c r="V146" i="11" s="1"/>
  <c r="V2" i="10"/>
  <c r="V146" i="10" s="1"/>
  <c r="V2" i="9"/>
  <c r="V146" i="9" s="1"/>
  <c r="V2" i="8"/>
  <c r="V146" i="8" s="1"/>
  <c r="V2" i="7"/>
  <c r="V8" i="7" s="1"/>
  <c r="V2" i="2"/>
  <c r="V146" i="2" s="1"/>
  <c r="Y122" i="2"/>
  <c r="Y123" i="2"/>
  <c r="Z92" i="2"/>
  <c r="Z93" i="2" s="1"/>
  <c r="Z105" i="2" s="1"/>
  <c r="Z86" i="2"/>
  <c r="Z87" i="2" s="1"/>
  <c r="Z102" i="2" s="1"/>
  <c r="X135" i="11"/>
  <c r="X136" i="11" s="1"/>
  <c r="X135" i="10"/>
  <c r="X136" i="10" s="1"/>
  <c r="X135" i="9"/>
  <c r="X136" i="9" s="1"/>
  <c r="X135" i="8"/>
  <c r="X136" i="8" s="1"/>
  <c r="T135" i="11"/>
  <c r="T136" i="11" s="1"/>
  <c r="T135" i="10"/>
  <c r="T136" i="10" s="1"/>
  <c r="T135" i="9"/>
  <c r="T136" i="9" s="1"/>
  <c r="T135" i="8"/>
  <c r="T136" i="8" s="1"/>
  <c r="J139" i="9"/>
  <c r="J139" i="8"/>
  <c r="J139" i="10"/>
  <c r="J139" i="11"/>
  <c r="P135" i="11"/>
  <c r="P136" i="11" s="1"/>
  <c r="P135" i="10"/>
  <c r="P136" i="10" s="1"/>
  <c r="P135" i="9"/>
  <c r="P136" i="9" s="1"/>
  <c r="P135" i="8"/>
  <c r="P136" i="8" s="1"/>
  <c r="Z123" i="9"/>
  <c r="Z123" i="8"/>
  <c r="Y104" i="10"/>
  <c r="Y120" i="10" s="1"/>
  <c r="Y103" i="10"/>
  <c r="Y119" i="10" s="1"/>
  <c r="Z104" i="2"/>
  <c r="Z120" i="2" s="1"/>
  <c r="Z103" i="2"/>
  <c r="Z119" i="2" s="1"/>
  <c r="Z102" i="9"/>
  <c r="Z104" i="10"/>
  <c r="Z120" i="10" s="1"/>
  <c r="Y123" i="8"/>
  <c r="Y122" i="8"/>
  <c r="Z106" i="9"/>
  <c r="Z122" i="11"/>
  <c r="Z123" i="11"/>
  <c r="Z103" i="10"/>
  <c r="Z119" i="10" s="1"/>
  <c r="Z122" i="10"/>
  <c r="Z123" i="10"/>
  <c r="Y103" i="8"/>
  <c r="Y119" i="8" s="1"/>
  <c r="Y104" i="8"/>
  <c r="Y120" i="8" s="1"/>
  <c r="L153" i="1"/>
  <c r="K153" i="1"/>
  <c r="T135" i="2"/>
  <c r="T136" i="2" s="1"/>
  <c r="P135" i="2"/>
  <c r="P136" i="2" s="1"/>
  <c r="X135" i="2"/>
  <c r="X136" i="2" s="1"/>
  <c r="J139" i="2"/>
  <c r="M160" i="1"/>
  <c r="K160" i="1"/>
  <c r="J160" i="1"/>
  <c r="M153" i="1"/>
  <c r="J132" i="1"/>
  <c r="J153" i="1" s="1"/>
  <c r="U22" i="1"/>
  <c r="J27" i="1"/>
  <c r="K138" i="1"/>
  <c r="L152" i="1" s="1"/>
  <c r="K141" i="1"/>
  <c r="L155" i="1" s="1"/>
  <c r="J158" i="1"/>
  <c r="M158" i="1"/>
  <c r="K158" i="1"/>
  <c r="M157" i="1"/>
  <c r="K157" i="1"/>
  <c r="J157" i="1"/>
  <c r="J154" i="1"/>
  <c r="M154" i="1"/>
  <c r="K154" i="1"/>
  <c r="K142" i="1"/>
  <c r="L156" i="1" s="1"/>
  <c r="K96" i="1"/>
  <c r="J107" i="1" s="1"/>
  <c r="K145" i="1"/>
  <c r="L159" i="1" s="1"/>
  <c r="K136" i="1"/>
  <c r="L150" i="1" s="1"/>
  <c r="K135" i="1"/>
  <c r="L149" i="1" s="1"/>
  <c r="K97" i="1"/>
  <c r="K137" i="1"/>
  <c r="L151" i="1" s="1"/>
  <c r="Q22" i="1"/>
  <c r="Z22" i="1"/>
  <c r="S22" i="1"/>
  <c r="V22" i="1"/>
  <c r="O22" i="1"/>
  <c r="Y22" i="1"/>
  <c r="W22" i="1"/>
  <c r="R22" i="1"/>
  <c r="R40" i="2" l="1"/>
  <c r="R40" i="8"/>
  <c r="R40" i="11"/>
  <c r="R40" i="9"/>
  <c r="R40" i="10"/>
  <c r="X2" i="1"/>
  <c r="W2" i="8"/>
  <c r="W146" i="8" s="1"/>
  <c r="W2" i="11"/>
  <c r="W146" i="11" s="1"/>
  <c r="W2" i="10"/>
  <c r="W146" i="10" s="1"/>
  <c r="W2" i="9"/>
  <c r="W146" i="9" s="1"/>
  <c r="W2" i="7"/>
  <c r="W8" i="7" s="1"/>
  <c r="W2" i="2"/>
  <c r="W146" i="2" s="1"/>
  <c r="Z122" i="2"/>
  <c r="Z123" i="2"/>
  <c r="W135" i="8"/>
  <c r="W136" i="8" s="1"/>
  <c r="W135" i="11"/>
  <c r="W136" i="11" s="1"/>
  <c r="W135" i="10"/>
  <c r="W136" i="10" s="1"/>
  <c r="W135" i="9"/>
  <c r="W136" i="9" s="1"/>
  <c r="Q32" i="9"/>
  <c r="Q32" i="8"/>
  <c r="Q42" i="8"/>
  <c r="Q32" i="11"/>
  <c r="Q32" i="10"/>
  <c r="Q22" i="11"/>
  <c r="Q42" i="9"/>
  <c r="Q22" i="8"/>
  <c r="Q42" i="11"/>
  <c r="Q42" i="10"/>
  <c r="Q22" i="10"/>
  <c r="Q22" i="9"/>
  <c r="Y135" i="11"/>
  <c r="Y136" i="11" s="1"/>
  <c r="Y135" i="10"/>
  <c r="Y136" i="10" s="1"/>
  <c r="Y135" i="9"/>
  <c r="Y136" i="9" s="1"/>
  <c r="Y135" i="8"/>
  <c r="Y136" i="8" s="1"/>
  <c r="Z127" i="11"/>
  <c r="Y127" i="11"/>
  <c r="T127" i="11"/>
  <c r="O127" i="11"/>
  <c r="R127" i="10"/>
  <c r="Q127" i="10"/>
  <c r="W127" i="10"/>
  <c r="X127" i="9"/>
  <c r="S127" i="9"/>
  <c r="Z127" i="8"/>
  <c r="Y127" i="8"/>
  <c r="T127" i="8"/>
  <c r="O127" i="8"/>
  <c r="S127" i="8"/>
  <c r="V127" i="11"/>
  <c r="U127" i="11"/>
  <c r="P127" i="11"/>
  <c r="X127" i="10"/>
  <c r="S127" i="10"/>
  <c r="Z127" i="9"/>
  <c r="Y127" i="9"/>
  <c r="T127" i="9"/>
  <c r="O127" i="9"/>
  <c r="V127" i="8"/>
  <c r="U127" i="8"/>
  <c r="P127" i="8"/>
  <c r="R127" i="11"/>
  <c r="Q127" i="11"/>
  <c r="W127" i="11"/>
  <c r="Z127" i="10"/>
  <c r="Y127" i="10"/>
  <c r="T127" i="10"/>
  <c r="O127" i="10"/>
  <c r="V127" i="9"/>
  <c r="U127" i="9"/>
  <c r="P127" i="9"/>
  <c r="R127" i="8"/>
  <c r="Q127" i="8"/>
  <c r="W127" i="8"/>
  <c r="X127" i="8"/>
  <c r="X127" i="11"/>
  <c r="S127" i="11"/>
  <c r="V127" i="10"/>
  <c r="U127" i="10"/>
  <c r="P127" i="10"/>
  <c r="R127" i="9"/>
  <c r="Q127" i="9"/>
  <c r="W127" i="9"/>
  <c r="L161" i="1"/>
  <c r="S41" i="11"/>
  <c r="S41" i="10"/>
  <c r="S41" i="9"/>
  <c r="S41" i="8"/>
  <c r="Z135" i="11"/>
  <c r="Z136" i="11" s="1"/>
  <c r="Z137" i="11" s="1"/>
  <c r="Z135" i="10"/>
  <c r="Z136" i="10" s="1"/>
  <c r="Z137" i="10" s="1"/>
  <c r="Z135" i="9"/>
  <c r="Z136" i="9" s="1"/>
  <c r="Z137" i="9" s="1"/>
  <c r="Z135" i="8"/>
  <c r="Z136" i="8" s="1"/>
  <c r="Z137" i="8" s="1"/>
  <c r="O135" i="11"/>
  <c r="O135" i="10"/>
  <c r="O135" i="9"/>
  <c r="O135" i="8"/>
  <c r="Q135" i="8"/>
  <c r="Q136" i="8" s="1"/>
  <c r="Q135" i="11"/>
  <c r="Q136" i="11" s="1"/>
  <c r="Q135" i="10"/>
  <c r="Q136" i="10" s="1"/>
  <c r="Q135" i="9"/>
  <c r="Q136" i="9" s="1"/>
  <c r="U135" i="11"/>
  <c r="U136" i="11" s="1"/>
  <c r="U135" i="10"/>
  <c r="U136" i="10" s="1"/>
  <c r="U135" i="9"/>
  <c r="U136" i="9" s="1"/>
  <c r="U135" i="8"/>
  <c r="U136" i="8" s="1"/>
  <c r="R135" i="11"/>
  <c r="R136" i="11" s="1"/>
  <c r="R135" i="10"/>
  <c r="R136" i="10" s="1"/>
  <c r="R135" i="9"/>
  <c r="R136" i="9" s="1"/>
  <c r="R135" i="8"/>
  <c r="R136" i="8" s="1"/>
  <c r="V135" i="8"/>
  <c r="V136" i="8" s="1"/>
  <c r="V135" i="11"/>
  <c r="V136" i="11" s="1"/>
  <c r="V135" i="10"/>
  <c r="V136" i="10" s="1"/>
  <c r="V137" i="10" s="1"/>
  <c r="V135" i="9"/>
  <c r="V136" i="9" s="1"/>
  <c r="S135" i="11"/>
  <c r="S136" i="11" s="1"/>
  <c r="S135" i="10"/>
  <c r="S136" i="10" s="1"/>
  <c r="S135" i="9"/>
  <c r="S136" i="9" s="1"/>
  <c r="S135" i="8"/>
  <c r="S136" i="8" s="1"/>
  <c r="Z103" i="8"/>
  <c r="Z119" i="8" s="1"/>
  <c r="Z104" i="8"/>
  <c r="Z120" i="8" s="1"/>
  <c r="Z104" i="9"/>
  <c r="Z120" i="9" s="1"/>
  <c r="Z103" i="9"/>
  <c r="Z119" i="9" s="1"/>
  <c r="Z104" i="11"/>
  <c r="Z120" i="11" s="1"/>
  <c r="Z103" i="11"/>
  <c r="Z119" i="11" s="1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L106" i="1"/>
  <c r="U135" i="2"/>
  <c r="U136" i="2" s="1"/>
  <c r="Q42" i="2"/>
  <c r="Q32" i="2"/>
  <c r="Q22" i="2"/>
  <c r="S41" i="2"/>
  <c r="K151" i="1"/>
  <c r="J151" i="1"/>
  <c r="M151" i="1"/>
  <c r="K159" i="1"/>
  <c r="J159" i="1"/>
  <c r="M159" i="1"/>
  <c r="J106" i="1"/>
  <c r="M149" i="1"/>
  <c r="K149" i="1"/>
  <c r="J149" i="1"/>
  <c r="M156" i="1"/>
  <c r="K156" i="1"/>
  <c r="J156" i="1"/>
  <c r="K106" i="1"/>
  <c r="K105" i="1"/>
  <c r="K107" i="1"/>
  <c r="J22" i="1"/>
  <c r="M150" i="1"/>
  <c r="K150" i="1"/>
  <c r="J150" i="1"/>
  <c r="K155" i="1"/>
  <c r="J155" i="1"/>
  <c r="M155" i="1"/>
  <c r="L105" i="1"/>
  <c r="L107" i="1"/>
  <c r="M152" i="1"/>
  <c r="K152" i="1"/>
  <c r="J152" i="1"/>
  <c r="X137" i="11" l="1"/>
  <c r="V137" i="11"/>
  <c r="X137" i="10"/>
  <c r="V137" i="9"/>
  <c r="X137" i="9"/>
  <c r="S137" i="8"/>
  <c r="V137" i="8"/>
  <c r="V40" i="9"/>
  <c r="U40" i="9"/>
  <c r="R49" i="9"/>
  <c r="V40" i="11"/>
  <c r="U40" i="11"/>
  <c r="R49" i="11"/>
  <c r="Y2" i="1"/>
  <c r="X2" i="11"/>
  <c r="X146" i="11" s="1"/>
  <c r="X2" i="10"/>
  <c r="X146" i="10" s="1"/>
  <c r="X2" i="9"/>
  <c r="X146" i="9" s="1"/>
  <c r="X2" i="8"/>
  <c r="X146" i="8" s="1"/>
  <c r="X2" i="2"/>
  <c r="X146" i="2" s="1"/>
  <c r="X2" i="7"/>
  <c r="X8" i="7" s="1"/>
  <c r="V40" i="8"/>
  <c r="U40" i="8"/>
  <c r="R49" i="8"/>
  <c r="V40" i="10"/>
  <c r="U40" i="10"/>
  <c r="R49" i="10"/>
  <c r="U40" i="2"/>
  <c r="V40" i="2"/>
  <c r="R49" i="2"/>
  <c r="T137" i="9"/>
  <c r="T137" i="11"/>
  <c r="P137" i="8"/>
  <c r="P137" i="10"/>
  <c r="W137" i="8"/>
  <c r="S137" i="9"/>
  <c r="T137" i="10"/>
  <c r="P137" i="11"/>
  <c r="Q34" i="2"/>
  <c r="V34" i="2" s="1"/>
  <c r="U44" i="10"/>
  <c r="U44" i="9"/>
  <c r="Q34" i="11"/>
  <c r="V34" i="11" s="1"/>
  <c r="V44" i="2"/>
  <c r="S31" i="10"/>
  <c r="S31" i="8"/>
  <c r="S31" i="9"/>
  <c r="S31" i="11"/>
  <c r="Q34" i="9"/>
  <c r="U34" i="9" s="1"/>
  <c r="Q34" i="8"/>
  <c r="U34" i="8" s="1"/>
  <c r="U44" i="8"/>
  <c r="S137" i="10"/>
  <c r="R137" i="11"/>
  <c r="U137" i="8"/>
  <c r="Q137" i="9"/>
  <c r="O136" i="8"/>
  <c r="O137" i="8" s="1"/>
  <c r="U41" i="8"/>
  <c r="S49" i="8"/>
  <c r="V41" i="8"/>
  <c r="X137" i="8"/>
  <c r="Y137" i="8"/>
  <c r="U22" i="9"/>
  <c r="V22" i="9"/>
  <c r="U22" i="8"/>
  <c r="V22" i="8"/>
  <c r="U32" i="11"/>
  <c r="V32" i="11"/>
  <c r="W137" i="9"/>
  <c r="R30" i="8"/>
  <c r="R20" i="8"/>
  <c r="R30" i="10"/>
  <c r="R20" i="9"/>
  <c r="R30" i="11"/>
  <c r="R20" i="10"/>
  <c r="R20" i="11"/>
  <c r="R30" i="9"/>
  <c r="Q34" i="10"/>
  <c r="U34" i="10" s="1"/>
  <c r="S137" i="11"/>
  <c r="R137" i="8"/>
  <c r="U137" i="9"/>
  <c r="Q137" i="10"/>
  <c r="O136" i="9"/>
  <c r="O137" i="9" s="1"/>
  <c r="S49" i="9"/>
  <c r="U41" i="9"/>
  <c r="V41" i="9"/>
  <c r="T137" i="8"/>
  <c r="Y137" i="9"/>
  <c r="U22" i="10"/>
  <c r="V22" i="10"/>
  <c r="U42" i="9"/>
  <c r="V42" i="9"/>
  <c r="U42" i="8"/>
  <c r="V42" i="8"/>
  <c r="W137" i="10"/>
  <c r="R137" i="9"/>
  <c r="U137" i="10"/>
  <c r="Q137" i="11"/>
  <c r="O136" i="10"/>
  <c r="O137" i="10" s="1"/>
  <c r="V41" i="10"/>
  <c r="U41" i="10"/>
  <c r="S49" i="10"/>
  <c r="Y137" i="10"/>
  <c r="U42" i="10"/>
  <c r="V42" i="10"/>
  <c r="V22" i="11"/>
  <c r="U22" i="11"/>
  <c r="U32" i="8"/>
  <c r="V32" i="8"/>
  <c r="W137" i="11"/>
  <c r="R137" i="10"/>
  <c r="P137" i="9"/>
  <c r="U137" i="11"/>
  <c r="Q137" i="8"/>
  <c r="O136" i="11"/>
  <c r="O137" i="11" s="1"/>
  <c r="S49" i="11"/>
  <c r="V41" i="11"/>
  <c r="U41" i="11"/>
  <c r="Y137" i="11"/>
  <c r="V42" i="11"/>
  <c r="U42" i="11"/>
  <c r="V32" i="10"/>
  <c r="U32" i="10"/>
  <c r="V32" i="9"/>
  <c r="U32" i="9"/>
  <c r="Y137" i="2"/>
  <c r="V44" i="11"/>
  <c r="U44" i="11"/>
  <c r="S21" i="9"/>
  <c r="S21" i="8"/>
  <c r="S21" i="11"/>
  <c r="S21" i="10"/>
  <c r="X137" i="2"/>
  <c r="W137" i="2"/>
  <c r="J161" i="1"/>
  <c r="P137" i="2"/>
  <c r="U41" i="2"/>
  <c r="V41" i="2"/>
  <c r="S49" i="2"/>
  <c r="U32" i="2"/>
  <c r="V32" i="2"/>
  <c r="U42" i="2"/>
  <c r="V42" i="2"/>
  <c r="U137" i="2"/>
  <c r="T137" i="2"/>
  <c r="Q137" i="2"/>
  <c r="V22" i="2"/>
  <c r="U22" i="2"/>
  <c r="O137" i="2"/>
  <c r="S21" i="2"/>
  <c r="R20" i="2"/>
  <c r="R30" i="2"/>
  <c r="S31" i="2"/>
  <c r="V137" i="2"/>
  <c r="R137" i="2"/>
  <c r="S137" i="2"/>
  <c r="K161" i="1"/>
  <c r="M161" i="1"/>
  <c r="V44" i="8" l="1"/>
  <c r="U34" i="11"/>
  <c r="J138" i="8"/>
  <c r="J140" i="8" s="1"/>
  <c r="R148" i="8" s="1"/>
  <c r="R12" i="7" s="1"/>
  <c r="Z2" i="1"/>
  <c r="Y2" i="11"/>
  <c r="Y146" i="11" s="1"/>
  <c r="Y2" i="10"/>
  <c r="Y146" i="10" s="1"/>
  <c r="Y2" i="9"/>
  <c r="Y146" i="9" s="1"/>
  <c r="Y2" i="8"/>
  <c r="Y146" i="8" s="1"/>
  <c r="Y2" i="2"/>
  <c r="Y146" i="2" s="1"/>
  <c r="Y2" i="7"/>
  <c r="Y8" i="7" s="1"/>
  <c r="J138" i="11"/>
  <c r="J140" i="11" s="1"/>
  <c r="V148" i="11" s="1"/>
  <c r="V18" i="7" s="1"/>
  <c r="J138" i="10"/>
  <c r="J140" i="10" s="1"/>
  <c r="S148" i="10" s="1"/>
  <c r="S16" i="7" s="1"/>
  <c r="U44" i="2"/>
  <c r="V44" i="9"/>
  <c r="V34" i="8"/>
  <c r="V44" i="10"/>
  <c r="V34" i="9"/>
  <c r="J138" i="9"/>
  <c r="J140" i="9" s="1"/>
  <c r="Z148" i="9" s="1"/>
  <c r="Z14" i="7" s="1"/>
  <c r="U34" i="2"/>
  <c r="V34" i="10"/>
  <c r="R51" i="11"/>
  <c r="V20" i="11"/>
  <c r="U20" i="11"/>
  <c r="R50" i="10"/>
  <c r="V30" i="10"/>
  <c r="U30" i="10"/>
  <c r="S50" i="11"/>
  <c r="V31" i="11"/>
  <c r="U31" i="11"/>
  <c r="U20" i="10"/>
  <c r="V20" i="10"/>
  <c r="R51" i="10"/>
  <c r="V20" i="8"/>
  <c r="U20" i="8"/>
  <c r="R51" i="8"/>
  <c r="S50" i="9"/>
  <c r="V31" i="9"/>
  <c r="U31" i="9"/>
  <c r="R50" i="11"/>
  <c r="U30" i="11"/>
  <c r="V30" i="11"/>
  <c r="U30" i="8"/>
  <c r="R50" i="8"/>
  <c r="V30" i="8"/>
  <c r="V31" i="8"/>
  <c r="S50" i="8"/>
  <c r="U31" i="8"/>
  <c r="R50" i="9"/>
  <c r="V30" i="9"/>
  <c r="U30" i="9"/>
  <c r="R51" i="9"/>
  <c r="V20" i="9"/>
  <c r="U20" i="9"/>
  <c r="S50" i="10"/>
  <c r="V31" i="10"/>
  <c r="U31" i="10"/>
  <c r="Q19" i="11"/>
  <c r="Q19" i="9"/>
  <c r="Q19" i="10"/>
  <c r="Q19" i="8"/>
  <c r="Q39" i="2"/>
  <c r="Q49" i="2" s="1"/>
  <c r="Q39" i="9"/>
  <c r="Q39" i="10"/>
  <c r="Q39" i="11"/>
  <c r="Q39" i="8"/>
  <c r="Q29" i="10"/>
  <c r="Q29" i="8"/>
  <c r="Q29" i="9"/>
  <c r="Q29" i="11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Q29" i="2"/>
  <c r="S51" i="2"/>
  <c r="V21" i="2"/>
  <c r="U21" i="2"/>
  <c r="S50" i="2"/>
  <c r="U31" i="2"/>
  <c r="V31" i="2"/>
  <c r="U20" i="2"/>
  <c r="V20" i="2"/>
  <c r="R51" i="2"/>
  <c r="Q19" i="2"/>
  <c r="J138" i="2"/>
  <c r="J140" i="2" s="1"/>
  <c r="U148" i="9" l="1"/>
  <c r="U14" i="7" s="1"/>
  <c r="Z148" i="8"/>
  <c r="Z12" i="7" s="1"/>
  <c r="P148" i="8"/>
  <c r="P12" i="7" s="1"/>
  <c r="W148" i="9"/>
  <c r="W14" i="7" s="1"/>
  <c r="V148" i="8"/>
  <c r="V12" i="7" s="1"/>
  <c r="T148" i="9"/>
  <c r="T14" i="7" s="1"/>
  <c r="W148" i="8"/>
  <c r="W12" i="7" s="1"/>
  <c r="W148" i="11"/>
  <c r="W18" i="7" s="1"/>
  <c r="R148" i="11"/>
  <c r="R18" i="7" s="1"/>
  <c r="U148" i="11"/>
  <c r="U18" i="7" s="1"/>
  <c r="O148" i="11"/>
  <c r="O18" i="7" s="1"/>
  <c r="Z148" i="11"/>
  <c r="Z18" i="7" s="1"/>
  <c r="S148" i="11"/>
  <c r="S18" i="7" s="1"/>
  <c r="W148" i="10"/>
  <c r="W16" i="7" s="1"/>
  <c r="U148" i="10"/>
  <c r="U16" i="7" s="1"/>
  <c r="Y148" i="10"/>
  <c r="Y16" i="7" s="1"/>
  <c r="S148" i="9"/>
  <c r="S14" i="7" s="1"/>
  <c r="Q148" i="9"/>
  <c r="Q14" i="7" s="1"/>
  <c r="R148" i="9"/>
  <c r="R14" i="7" s="1"/>
  <c r="X148" i="8"/>
  <c r="X12" i="7" s="1"/>
  <c r="O148" i="8"/>
  <c r="O12" i="7" s="1"/>
  <c r="Z148" i="10"/>
  <c r="Z16" i="7" s="1"/>
  <c r="Q148" i="10"/>
  <c r="Q16" i="7" s="1"/>
  <c r="X148" i="11"/>
  <c r="X18" i="7" s="1"/>
  <c r="Y148" i="11"/>
  <c r="Y18" i="7" s="1"/>
  <c r="P148" i="11"/>
  <c r="P18" i="7" s="1"/>
  <c r="V148" i="10"/>
  <c r="V16" i="7" s="1"/>
  <c r="O148" i="10"/>
  <c r="O16" i="7" s="1"/>
  <c r="X148" i="10"/>
  <c r="X16" i="7" s="1"/>
  <c r="V148" i="9"/>
  <c r="V14" i="7" s="1"/>
  <c r="X148" i="9"/>
  <c r="X14" i="7" s="1"/>
  <c r="Y148" i="9"/>
  <c r="Y14" i="7" s="1"/>
  <c r="Q148" i="8"/>
  <c r="Q12" i="7" s="1"/>
  <c r="U148" i="8"/>
  <c r="U12" i="7" s="1"/>
  <c r="Y148" i="8"/>
  <c r="Y12" i="7" s="1"/>
  <c r="Q148" i="11"/>
  <c r="Q18" i="7" s="1"/>
  <c r="T148" i="11"/>
  <c r="T18" i="7" s="1"/>
  <c r="P148" i="10"/>
  <c r="P16" i="7" s="1"/>
  <c r="T148" i="10"/>
  <c r="T16" i="7" s="1"/>
  <c r="R148" i="10"/>
  <c r="R16" i="7" s="1"/>
  <c r="P148" i="9"/>
  <c r="P14" i="7" s="1"/>
  <c r="O148" i="9"/>
  <c r="O14" i="7" s="1"/>
  <c r="S148" i="8"/>
  <c r="S12" i="7" s="1"/>
  <c r="T148" i="8"/>
  <c r="T12" i="7" s="1"/>
  <c r="Z2" i="11"/>
  <c r="Z146" i="11" s="1"/>
  <c r="Z2" i="10"/>
  <c r="Z146" i="10" s="1"/>
  <c r="Z2" i="9"/>
  <c r="Z146" i="9" s="1"/>
  <c r="Z2" i="8"/>
  <c r="Z146" i="8" s="1"/>
  <c r="Z2" i="7"/>
  <c r="Z8" i="7" s="1"/>
  <c r="Z2" i="2"/>
  <c r="Z146" i="2" s="1"/>
  <c r="U39" i="2"/>
  <c r="U49" i="2" s="1"/>
  <c r="T49" i="2" s="1"/>
  <c r="V39" i="2"/>
  <c r="V49" i="2" s="1"/>
  <c r="Z124" i="2" s="1"/>
  <c r="V19" i="8"/>
  <c r="V51" i="8" s="1"/>
  <c r="R126" i="8" s="1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U49" i="11" s="1"/>
  <c r="V39" i="11"/>
  <c r="V49" i="11" s="1"/>
  <c r="Q50" i="8"/>
  <c r="U29" i="8"/>
  <c r="U50" i="8" s="1"/>
  <c r="V29" i="8"/>
  <c r="V50" i="8" s="1"/>
  <c r="Q49" i="10"/>
  <c r="U39" i="10"/>
  <c r="U49" i="10" s="1"/>
  <c r="V39" i="10"/>
  <c r="V49" i="10" s="1"/>
  <c r="Q50" i="10"/>
  <c r="V29" i="10"/>
  <c r="V50" i="10" s="1"/>
  <c r="U29" i="10"/>
  <c r="U50" i="10" s="1"/>
  <c r="Q49" i="9"/>
  <c r="V39" i="9"/>
  <c r="V49" i="9" s="1"/>
  <c r="U39" i="9"/>
  <c r="U49" i="9" s="1"/>
  <c r="Q50" i="11"/>
  <c r="U29" i="11"/>
  <c r="U50" i="11" s="1"/>
  <c r="V29" i="11"/>
  <c r="V50" i="11" s="1"/>
  <c r="Q49" i="8"/>
  <c r="V39" i="8"/>
  <c r="V49" i="8" s="1"/>
  <c r="U39" i="8"/>
  <c r="U49" i="8" s="1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T51" i="10" l="1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49" i="11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U52" i="11"/>
  <c r="T49" i="10"/>
  <c r="V52" i="10"/>
  <c r="V52" i="11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O125" i="10"/>
  <c r="U125" i="10"/>
  <c r="S125" i="10"/>
  <c r="Y125" i="10"/>
  <c r="P125" i="10"/>
  <c r="W125" i="10"/>
  <c r="R125" i="10"/>
  <c r="T125" i="10"/>
  <c r="V125" i="10"/>
  <c r="X125" i="10"/>
  <c r="Z125" i="10"/>
  <c r="T124" i="11"/>
  <c r="Z124" i="11"/>
  <c r="Q124" i="11"/>
  <c r="X124" i="11"/>
  <c r="O124" i="11"/>
  <c r="U124" i="11"/>
  <c r="S124" i="11"/>
  <c r="Y124" i="11"/>
  <c r="W124" i="11"/>
  <c r="R124" i="11"/>
  <c r="P124" i="11"/>
  <c r="V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U128" i="11" s="1"/>
  <c r="U147" i="11" s="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W128" i="9" s="1"/>
  <c r="W147" i="9" s="1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Z128" i="2" s="1"/>
  <c r="Z147" i="2" s="1"/>
  <c r="Q126" i="2"/>
  <c r="U126" i="2"/>
  <c r="R126" i="2"/>
  <c r="R128" i="8" l="1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T128" i="11"/>
  <c r="T147" i="11" s="1"/>
  <c r="T149" i="11" s="1"/>
  <c r="R128" i="10"/>
  <c r="R147" i="10" s="1"/>
  <c r="R15" i="7" s="1"/>
  <c r="P128" i="9"/>
  <c r="P147" i="9" s="1"/>
  <c r="P13" i="7" s="1"/>
  <c r="X128" i="9"/>
  <c r="X147" i="9" s="1"/>
  <c r="X149" i="9" s="1"/>
  <c r="V128" i="11"/>
  <c r="V147" i="11" s="1"/>
  <c r="V17" i="7" s="1"/>
  <c r="O128" i="11"/>
  <c r="O147" i="11" s="1"/>
  <c r="O149" i="11" s="1"/>
  <c r="Y128" i="11"/>
  <c r="Y147" i="11" s="1"/>
  <c r="Y149" i="11" s="1"/>
  <c r="U17" i="7"/>
  <c r="U149" i="11"/>
  <c r="P128" i="10"/>
  <c r="P147" i="10" s="1"/>
  <c r="P15" i="7" s="1"/>
  <c r="O128" i="10"/>
  <c r="O147" i="10" s="1"/>
  <c r="O149" i="10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P128" i="11"/>
  <c r="P147" i="11" s="1"/>
  <c r="P17" i="7" s="1"/>
  <c r="S128" i="11"/>
  <c r="S147" i="11" s="1"/>
  <c r="S149" i="11" s="1"/>
  <c r="Q128" i="11"/>
  <c r="Q147" i="11" s="1"/>
  <c r="Q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X128" i="11"/>
  <c r="X147" i="11" s="1"/>
  <c r="X149" i="11" s="1"/>
  <c r="R128" i="11"/>
  <c r="R147" i="11" s="1"/>
  <c r="R17" i="7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W128" i="11"/>
  <c r="W147" i="11" s="1"/>
  <c r="W17" i="7" s="1"/>
  <c r="Z128" i="8"/>
  <c r="Z147" i="8" s="1"/>
  <c r="Z11" i="7" s="1"/>
  <c r="O128" i="8"/>
  <c r="O147" i="8" s="1"/>
  <c r="O11" i="7" s="1"/>
  <c r="V128" i="10"/>
  <c r="V147" i="10" s="1"/>
  <c r="V149" i="10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Z149" i="2"/>
  <c r="Z9" i="7"/>
  <c r="R149" i="9" l="1"/>
  <c r="R149" i="2"/>
  <c r="P149" i="9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<sst xmlns="http://schemas.openxmlformats.org/spreadsheetml/2006/main" count="675" uniqueCount="200">
  <si>
    <t>General inputs, timing and costs</t>
  </si>
  <si>
    <t>General inputs</t>
  </si>
  <si>
    <t>Company</t>
  </si>
  <si>
    <t>Powercor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</si>
  <si>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</si>
  <si>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</si>
  <si>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</si>
  <si>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</si>
  <si>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</si>
  <si>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</si>
  <si>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</si>
  <si>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</si>
  <si>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</si>
  <si>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</si>
  <si>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</si>
  <si>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</si>
  <si>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</si>
  <si>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</si>
  <si>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</si>
  <si>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</si>
  <si>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</si>
  <si>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</si>
  <si>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</si>
  <si>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</si>
  <si>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</si>
  <si>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</si>
  <si>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</si>
  <si>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</si>
  <si>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</si>
  <si>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</si>
  <si>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</si>
  <si>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</si>
  <si>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</si>
  <si>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</si>
  <si>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</si>
  <si>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</si>
  <si>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</si>
  <si>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</si>
  <si>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</si>
  <si>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</si>
  <si>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</si>
  <si>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</si>
  <si>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</si>
  <si>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</si>
  <si>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</si>
  <si>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$/MWh ($2018)</t>
  </si>
  <si>
    <t>Load Duration</t>
  </si>
  <si>
    <t>Duration Weighted $/MWh ($2021)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</si>
  <si>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</si>
  <si>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</si>
  <si>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</si>
  <si>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</si>
  <si>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</si>
  <si>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</si>
  <si>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</si>
  <si>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</si>
  <si>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</si>
  <si>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</si>
  <si>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</si>
  <si>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</si>
  <si>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</si>
  <si>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</si>
  <si>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</si>
  <si>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</si>
  <si>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</si>
  <si>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</si>
  <si>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</si>
  <si>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</si>
  <si>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</si>
  <si>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</si>
  <si>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</si>
  <si>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</si>
  <si>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</si>
  <si>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</si>
  <si>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</si>
  <si>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</si>
  <si>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</si>
  <si>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</si>
  <si>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</si>
  <si>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</si>
  <si>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</si>
  <si>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</si>
  <si>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</si>
  <si>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</si>
  <si>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</si>
  <si>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</si>
  <si>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</si>
  <si>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</si>
  <si>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</si>
  <si>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</si>
  <si>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</si>
  <si>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</si>
  <si>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</si>
  <si>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</si>
  <si>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</si>
  <si>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</si>
  <si>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</si>
  <si>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</si>
  <si>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</si>
  <si>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</si>
  <si>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</si>
  <si>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</si>
  <si>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</si>
  <si>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</si>
  <si>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</si>
  <si>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</si>
  <si>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</si>
  <si>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</si>
  <si>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</si>
  <si>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</si>
  <si>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</si>
  <si>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</si>
  <si>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</si>
  <si>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</si>
  <si>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</si>
  <si>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</si>
  <si>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</si>
  <si>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</si>
  <si>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</si>
  <si>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</si>
  <si>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</si>
  <si>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</si>
  <si>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</si>
  <si>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</si>
  <si>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</si>
  <si>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</si>
  <si>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</si>
  <si>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</si>
  <si>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</si>
  <si>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</si>
  <si>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</si>
  <si>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</si>
  <si>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</si>
  <si>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</si>
  <si>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</si>
  <si>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</si>
  <si>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</si>
  <si>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</si>
  <si>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</si>
  <si>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</si>
  <si>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</si>
  <si>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</si>
  <si>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</si>
  <si>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</si>
  <si>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</si>
  <si>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</si>
  <si>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</si>
  <si>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</si>
  <si>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</si>
  <si>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</si>
  <si>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</si>
  <si>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</si>
  <si>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</si>
  <si>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</si>
  <si>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</si>
  <si>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</si>
  <si>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</si>
  <si>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</si>
  <si>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</si>
  <si>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</si>
  <si>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</si>
  <si>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Fire brigade attendance</t>
  </si>
  <si>
    <t>Disruption to adjacent residential and commercial customers</t>
  </si>
  <si>
    <t>[Spare]</t>
  </si>
  <si>
    <t>Coincident outage risk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</si>
  <si>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</si>
  <si>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</si>
  <si>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</si>
  <si>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</si>
  <si>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</si>
  <si>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</si>
  <si>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</si>
  <si>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</si>
  <si>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</si>
  <si>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</si>
  <si>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</si>
  <si>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</si>
  <si>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</si>
  <si>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</si>
  <si>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</si>
  <si>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</si>
  <si>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</si>
  <si>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</si>
  <si>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</si>
  <si>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</si>
  <si>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</si>
  <si>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</si>
  <si>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</si>
  <si>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</si>
  <si>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</si>
  <si>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</si>
  <si>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Network Performance - Coincidental outage</t>
  </si>
  <si>
    <t>Coincidental</t>
  </si>
  <si>
    <t>Days to connect generators, plus 1 day lead time</t>
  </si>
  <si>
    <t>Adjustment</t>
  </si>
  <si>
    <t>Weighting to 50% PoE</t>
  </si>
  <si>
    <t>Robinvale Transformer No.2 Replacement Risk Monetisation Model</t>
  </si>
  <si>
    <t>Unserved energy</t>
  </si>
  <si>
    <t>Temporary generators and associated costs</t>
  </si>
  <si>
    <t>Cost of replacement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</si>
</sst>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);\(#,##0\);\-\-_)"/>
    <numFmt numFmtId="165" formatCode="#,##0.0%;[Red]\(#,##0.0%\);\-\-\%"/>
    <numFmt numFmtId="166" formatCode="#,##0;[Red]\(#,##0\);\-\-"/>
    <numFmt numFmtId="167" formatCode="0.0%"/>
  </numFmts>
  <fonts count="13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21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167" fontId="8" fillId="0" borderId="0" xfId="0" applyNumberFormat="1" applyFont="1" applyFill="1"/>
    <xf numFmtId="166" fontId="8" fillId="0" borderId="0" xfId="0" applyNumberFormat="1" applyFont="1" applyFill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5" fontId="8" fillId="4" borderId="6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6" fontId="8" fillId="4" borderId="12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165" fontId="8" fillId="4" borderId="17" xfId="0" applyNumberFormat="1" applyFont="1" applyFill="1" applyBorder="1" applyAlignment="1" applyProtection="1">
      <alignment horizontal="center"/>
      <protection locked="0"/>
    </xf>
    <xf numFmtId="166" fontId="8" fillId="0" borderId="2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2" fillId="0" borderId="0" xfId="0" applyFont="1" applyProtection="1">
      <protection locked="0"/>
    </xf>
    <xf numFmtId="166" fontId="12" fillId="0" borderId="6" xfId="0" applyNumberFormat="1" applyFont="1" applyBorder="1" applyProtection="1">
      <protection locked="0"/>
    </xf>
    <xf numFmtId="0" fontId="12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166" fontId="12" fillId="0" borderId="6" xfId="0" applyNumberFormat="1" applyFont="1" applyFill="1" applyBorder="1" applyProtection="1">
      <protection locked="0"/>
    </xf>
    <xf numFmtId="0" fontId="8" fillId="5" borderId="6" xfId="0" applyFont="1" applyFill="1" applyBorder="1" applyProtection="1">
      <protection locked="0"/>
    </xf>
    <xf numFmtId="166" fontId="8" fillId="5" borderId="1" xfId="0" applyNumberFormat="1" applyFont="1" applyFill="1" applyBorder="1" applyProtection="1">
      <protection locked="0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>
      <alignment horizontal="right"/>
    </xf>
    <xf numFmtId="165" fontId="8" fillId="0" borderId="0" xfId="0" applyNumberFormat="1" applyFont="1" applyProtection="1">
      <protection locked="0"/>
    </xf>
    <xf numFmtId="166" fontId="8" fillId="5" borderId="2" xfId="0" applyNumberFormat="1" applyFont="1" applyFill="1" applyBorder="1" applyProtection="1">
      <protection locked="0"/>
    </xf>
    <xf numFmtId="165" fontId="8" fillId="5" borderId="17" xfId="0" applyNumberFormat="1" applyFont="1" applyFill="1" applyBorder="1" applyAlignment="1" applyProtection="1">
      <alignment horizontal="center"/>
      <protection locked="0"/>
    </xf>
  </cellXfs>
  <cellStyles count="3">
    <cellStyle name="Header1" xfId="1"/>
    <cellStyle name="Header1A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1"/>
                <c:pt idx="0">
                  <c:v>Risk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245159.0501291535</c:v>
                </c:pt>
                <c:pt idx="1">
                  <c:v>229663.94206862466</c:v>
                </c:pt>
                <c:pt idx="2">
                  <c:v>276164.39595507743</c:v>
                </c:pt>
                <c:pt idx="3">
                  <c:v>302790.86724620417</c:v>
                </c:pt>
                <c:pt idx="4">
                  <c:v>337642.46793479973</c:v>
                </c:pt>
                <c:pt idx="5">
                  <c:v>393017.79973140126</c:v>
                </c:pt>
                <c:pt idx="6">
                  <c:v>460719.46841399139</c:v>
                </c:pt>
                <c:pt idx="7">
                  <c:v>488144.06923942047</c:v>
                </c:pt>
                <c:pt idx="8">
                  <c:v>517448.71248975315</c:v>
                </c:pt>
                <c:pt idx="9">
                  <c:v>548766.577668107</c:v>
                </c:pt>
                <c:pt idx="10">
                  <c:v>582240.46880899079</c:v>
                </c:pt>
                <c:pt idx="11">
                  <c:v>617888.84195490833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1E8-462A-B6FE-0A123500D95F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1"/>
                <c:pt idx="0">
                  <c:v>Annualised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159682.25916442528</c:v>
                </c:pt>
                <c:pt idx="1">
                  <c:v>159682.25916442528</c:v>
                </c:pt>
                <c:pt idx="2">
                  <c:v>159682.25916442528</c:v>
                </c:pt>
                <c:pt idx="3">
                  <c:v>159682.25916442528</c:v>
                </c:pt>
                <c:pt idx="4">
                  <c:v>159682.25916442528</c:v>
                </c:pt>
                <c:pt idx="5">
                  <c:v>159682.25916442528</c:v>
                </c:pt>
                <c:pt idx="6">
                  <c:v>159682.25916442528</c:v>
                </c:pt>
                <c:pt idx="7">
                  <c:v>159682.25916442528</c:v>
                </c:pt>
                <c:pt idx="8">
                  <c:v>159682.25916442528</c:v>
                </c:pt>
                <c:pt idx="9">
                  <c:v>159682.25916442528</c:v>
                </c:pt>
                <c:pt idx="10">
                  <c:v>159682.25916442528</c:v>
                </c:pt>
                <c:pt idx="11">
                  <c:v>159682.25916442528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E8-462A-B6FE-0A123500D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25024"/>
        <c:axId val="43966464"/>
      </c:lineChart>
      <c:catAx>
        <c:axId val="4382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966464"/>
        <c:crosses val="autoZero"/>
        <c:auto val="1"/>
        <c:lblAlgn val="ctr"/>
        <c:lblOffset val="100"/>
        <c:noMultiLvlLbl val="0"/>
      </c:catAx>
      <c:valAx>
        <c:axId val="4396646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3825024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1"/>
                <c:pt idx="0">
                  <c:v>Risk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149303.10774916509</c:v>
                </c:pt>
                <c:pt idx="1">
                  <c:v>134230.24178146551</c:v>
                </c:pt>
                <c:pt idx="2">
                  <c:v>166650.04183079384</c:v>
                </c:pt>
                <c:pt idx="3">
                  <c:v>183548.94070951859</c:v>
                </c:pt>
                <c:pt idx="4">
                  <c:v>206533.17787932049</c:v>
                </c:pt>
                <c:pt idx="5">
                  <c:v>245049.34722670016</c:v>
                </c:pt>
                <c:pt idx="6">
                  <c:v>282208.77704998647</c:v>
                </c:pt>
                <c:pt idx="7">
                  <c:v>297960.13649071357</c:v>
                </c:pt>
                <c:pt idx="8">
                  <c:v>314791.30103733711</c:v>
                </c:pt>
                <c:pt idx="9">
                  <c:v>332778.76253151067</c:v>
                </c:pt>
                <c:pt idx="10">
                  <c:v>352004.54067851434</c:v>
                </c:pt>
                <c:pt idx="11">
                  <c:v>372479.23573324981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701-4C70-8201-48AFD02349EF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1"/>
                <c:pt idx="0">
                  <c:v>Annualised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175650.48508086777</c:v>
                </c:pt>
                <c:pt idx="1">
                  <c:v>175650.48508086777</c:v>
                </c:pt>
                <c:pt idx="2">
                  <c:v>175650.48508086777</c:v>
                </c:pt>
                <c:pt idx="3">
                  <c:v>175650.48508086777</c:v>
                </c:pt>
                <c:pt idx="4">
                  <c:v>175650.48508086777</c:v>
                </c:pt>
                <c:pt idx="5">
                  <c:v>175650.48508086777</c:v>
                </c:pt>
                <c:pt idx="6">
                  <c:v>175650.48508086777</c:v>
                </c:pt>
                <c:pt idx="7">
                  <c:v>175650.48508086777</c:v>
                </c:pt>
                <c:pt idx="8">
                  <c:v>175650.48508086777</c:v>
                </c:pt>
                <c:pt idx="9">
                  <c:v>175650.48508086777</c:v>
                </c:pt>
                <c:pt idx="10">
                  <c:v>175650.48508086777</c:v>
                </c:pt>
                <c:pt idx="11">
                  <c:v>175650.48508086777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701-4C70-8201-48AFD0234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56640"/>
        <c:axId val="44258816"/>
      </c:lineChart>
      <c:catAx>
        <c:axId val="4425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258816"/>
        <c:crosses val="autoZero"/>
        <c:auto val="1"/>
        <c:lblAlgn val="ctr"/>
        <c:lblOffset val="100"/>
        <c:noMultiLvlLbl val="0"/>
      </c:catAx>
      <c:valAx>
        <c:axId val="4425881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4256640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1"/>
                <c:pt idx="0">
                  <c:v>Risk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132917.07857344122</c:v>
                </c:pt>
                <c:pt idx="1">
                  <c:v>117238.69670017924</c:v>
                </c:pt>
                <c:pt idx="2">
                  <c:v>149012.04397117786</c:v>
                </c:pt>
                <c:pt idx="3">
                  <c:v>165220.67832376255</c:v>
                </c:pt>
                <c:pt idx="4">
                  <c:v>187467.75774525799</c:v>
                </c:pt>
                <c:pt idx="5">
                  <c:v>225196.57298288424</c:v>
                </c:pt>
                <c:pt idx="6">
                  <c:v>261514.91135600815</c:v>
                </c:pt>
                <c:pt idx="7">
                  <c:v>276367.64582144539</c:v>
                </c:pt>
                <c:pt idx="8">
                  <c:v>292238.58183149557</c:v>
                </c:pt>
                <c:pt idx="9">
                  <c:v>309199.84732007631</c:v>
                </c:pt>
                <c:pt idx="10">
                  <c:v>327328.78271663084</c:v>
                </c:pt>
                <c:pt idx="11">
                  <c:v>346635.38352484326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831-44D0-8DE8-827978B90D9B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1"/>
                <c:pt idx="0">
                  <c:v>Annualised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143714.03324798273</c:v>
                </c:pt>
                <c:pt idx="1">
                  <c:v>143714.03324798273</c:v>
                </c:pt>
                <c:pt idx="2">
                  <c:v>143714.03324798273</c:v>
                </c:pt>
                <c:pt idx="3">
                  <c:v>143714.03324798273</c:v>
                </c:pt>
                <c:pt idx="4">
                  <c:v>143714.03324798273</c:v>
                </c:pt>
                <c:pt idx="5">
                  <c:v>143714.03324798273</c:v>
                </c:pt>
                <c:pt idx="6">
                  <c:v>143714.03324798273</c:v>
                </c:pt>
                <c:pt idx="7">
                  <c:v>143714.03324798273</c:v>
                </c:pt>
                <c:pt idx="8">
                  <c:v>143714.03324798273</c:v>
                </c:pt>
                <c:pt idx="9">
                  <c:v>143714.03324798273</c:v>
                </c:pt>
                <c:pt idx="10">
                  <c:v>143714.03324798273</c:v>
                </c:pt>
                <c:pt idx="11">
                  <c:v>143714.03324798273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831-44D0-8DE8-827978B90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387520"/>
        <c:axId val="105389440"/>
      </c:lineChart>
      <c:catAx>
        <c:axId val="10538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389440"/>
        <c:crosses val="autoZero"/>
        <c:auto val="1"/>
        <c:lblAlgn val="ctr"/>
        <c:lblOffset val="100"/>
        <c:noMultiLvlLbl val="0"/>
      </c:catAx>
      <c:valAx>
        <c:axId val="105389440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105387520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1"/>
                <c:pt idx="0">
                  <c:v>Risk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407195.22624499147</c:v>
                </c:pt>
                <c:pt idx="1">
                  <c:v>393480.74287886167</c:v>
                </c:pt>
                <c:pt idx="2">
                  <c:v>459736.11997728463</c:v>
                </c:pt>
                <c:pt idx="3">
                  <c:v>500935.515277881</c:v>
                </c:pt>
                <c:pt idx="4">
                  <c:v>553167.14774606074</c:v>
                </c:pt>
                <c:pt idx="5">
                  <c:v>632246.25448536954</c:v>
                </c:pt>
                <c:pt idx="6">
                  <c:v>710945.95632830297</c:v>
                </c:pt>
                <c:pt idx="7">
                  <c:v>754217.46262353472</c:v>
                </c:pt>
                <c:pt idx="8">
                  <c:v>800455.36642961344</c:v>
                </c:pt>
                <c:pt idx="9">
                  <c:v>849869.80308248184</c:v>
                </c:pt>
                <c:pt idx="10">
                  <c:v>902686.09384451888</c:v>
                </c:pt>
                <c:pt idx="11">
                  <c:v>958933.35931312072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D8F-4C76-82D6-68ECF7A8E70D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1"/>
                <c:pt idx="0">
                  <c:v>Annualised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175650.48508086777</c:v>
                </c:pt>
                <c:pt idx="1">
                  <c:v>175650.48508086777</c:v>
                </c:pt>
                <c:pt idx="2">
                  <c:v>175650.48508086777</c:v>
                </c:pt>
                <c:pt idx="3">
                  <c:v>175650.48508086777</c:v>
                </c:pt>
                <c:pt idx="4">
                  <c:v>175650.48508086777</c:v>
                </c:pt>
                <c:pt idx="5">
                  <c:v>175650.48508086777</c:v>
                </c:pt>
                <c:pt idx="6">
                  <c:v>175650.48508086777</c:v>
                </c:pt>
                <c:pt idx="7">
                  <c:v>175650.48508086777</c:v>
                </c:pt>
                <c:pt idx="8">
                  <c:v>175650.48508086777</c:v>
                </c:pt>
                <c:pt idx="9">
                  <c:v>175650.48508086777</c:v>
                </c:pt>
                <c:pt idx="10">
                  <c:v>175650.48508086777</c:v>
                </c:pt>
                <c:pt idx="11">
                  <c:v>175650.48508086777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D8F-4C76-82D6-68ECF7A8E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844736"/>
        <c:axId val="105846656"/>
      </c:lineChart>
      <c:catAx>
        <c:axId val="105844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846656"/>
        <c:crosses val="autoZero"/>
        <c:auto val="1"/>
        <c:lblAlgn val="ctr"/>
        <c:lblOffset val="100"/>
        <c:noMultiLvlLbl val="0"/>
      </c:catAx>
      <c:valAx>
        <c:axId val="10584665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105844736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1"/>
                <c:pt idx="0">
                  <c:v>Risk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388655.44852087664</c:v>
                </c:pt>
                <c:pt idx="1">
                  <c:v>374200.89015905949</c:v>
                </c:pt>
                <c:pt idx="2">
                  <c:v>439666.15830619051</c:v>
                </c:pt>
                <c:pt idx="3">
                  <c:v>480021.89696372685</c:v>
                </c:pt>
                <c:pt idx="4">
                  <c:v>531352.55885064323</c:v>
                </c:pt>
                <c:pt idx="5">
                  <c:v>609469.3439002533</c:v>
                </c:pt>
                <c:pt idx="6">
                  <c:v>687141.04508187715</c:v>
                </c:pt>
                <c:pt idx="7">
                  <c:v>729314.23196286592</c:v>
                </c:pt>
                <c:pt idx="8">
                  <c:v>774378.52311313257</c:v>
                </c:pt>
                <c:pt idx="9">
                  <c:v>822538.72020361014</c:v>
                </c:pt>
                <c:pt idx="10">
                  <c:v>874014.42538176465</c:v>
                </c:pt>
                <c:pt idx="11">
                  <c:v>928834.02010461607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3AE-46A0-9050-80A6194D64CC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1"/>
                <c:pt idx="0">
                  <c:v>Annualised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143714.03324798273</c:v>
                </c:pt>
                <c:pt idx="1">
                  <c:v>143714.03324798273</c:v>
                </c:pt>
                <c:pt idx="2">
                  <c:v>143714.03324798273</c:v>
                </c:pt>
                <c:pt idx="3">
                  <c:v>143714.03324798273</c:v>
                </c:pt>
                <c:pt idx="4">
                  <c:v>143714.03324798273</c:v>
                </c:pt>
                <c:pt idx="5">
                  <c:v>143714.03324798273</c:v>
                </c:pt>
                <c:pt idx="6">
                  <c:v>143714.03324798273</c:v>
                </c:pt>
                <c:pt idx="7">
                  <c:v>143714.03324798273</c:v>
                </c:pt>
                <c:pt idx="8">
                  <c:v>143714.03324798273</c:v>
                </c:pt>
                <c:pt idx="9">
                  <c:v>143714.03324798273</c:v>
                </c:pt>
                <c:pt idx="10">
                  <c:v>143714.03324798273</c:v>
                </c:pt>
                <c:pt idx="11">
                  <c:v>143714.03324798273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3AE-46A0-9050-80A6194D6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326336"/>
        <c:axId val="217327872"/>
      </c:lineChart>
      <c:catAx>
        <c:axId val="21732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327872"/>
        <c:crosses val="autoZero"/>
        <c:auto val="1"/>
        <c:lblAlgn val="ctr"/>
        <c:lblOffset val="100"/>
        <c:noMultiLvlLbl val="0"/>
      </c:catAx>
      <c:valAx>
        <c:axId val="217327872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17326336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213"/>
  <sheetViews>
    <sheetView showGridLines="0" zoomScale="80" zoomScaleNormal="80" workbookViewId="0">
      <pane ySplit="3" topLeftCell="A4" activePane="bottomLeft" state="frozen"/>
      <selection pane="bottomLeft" activeCell="A4" sqref="A4"/>
    </sheetView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ht="13.15" x14ac:dyDescent="0.4">
      <c r="A1" s="1" t="str">
        <f>J8&amp;" - "&amp;J9</f>
        <v>Powercor - Robinvale Transformer No.2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3.15" x14ac:dyDescent="0.4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3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3.15" x14ac:dyDescent="0.4">
      <c r="A9" s="8"/>
      <c r="B9" s="8"/>
      <c r="C9" s="9" t="s">
        <v>4</v>
      </c>
      <c r="D9" s="10"/>
      <c r="E9" s="10"/>
      <c r="F9" s="10"/>
      <c r="G9" s="10"/>
      <c r="H9" s="10"/>
      <c r="I9" s="10"/>
      <c r="J9" s="14" t="s">
        <v>196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 t="s">
        <v>5</v>
      </c>
      <c r="D10" s="10"/>
      <c r="E10" s="10"/>
      <c r="F10" s="10"/>
      <c r="G10" s="10"/>
      <c r="H10" s="10"/>
      <c r="I10" s="10"/>
      <c r="J10" s="14">
        <v>2019</v>
      </c>
      <c r="K10" s="117" t="str">
        <f>"FY"&amp;RIGHT(J10,2)&amp;"/"&amp;RIGHT(J10+1,2)</f>
        <v>FY19/20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 t="s">
        <v>6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 t="s">
        <v>7</v>
      </c>
      <c r="D12" s="10"/>
      <c r="E12" s="10"/>
      <c r="F12" s="10"/>
      <c r="G12" s="10"/>
      <c r="H12" s="10"/>
      <c r="I12" s="10"/>
      <c r="J12" s="14">
        <v>50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 t="s">
        <v>8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3.15" x14ac:dyDescent="0.4">
      <c r="A16" s="8"/>
      <c r="B16" s="8"/>
      <c r="C16" s="9" t="s">
        <v>9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">
        <v>10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 t="s">
        <v>11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3.15" x14ac:dyDescent="0.4">
      <c r="A21" s="8"/>
      <c r="B21" s="8"/>
      <c r="C21" s="9" t="str">
        <f>"Replacement capex regulator, real $"&amp;$J$10</f>
        <v>Replacement capex regulator, real $2019</v>
      </c>
      <c r="D21" s="10"/>
      <c r="E21" s="10"/>
      <c r="F21" s="10"/>
      <c r="G21" s="10"/>
      <c r="H21" s="10"/>
      <c r="I21" s="10"/>
      <c r="J21" s="17">
        <f>SUM(O21:Z21)</f>
        <v>3748000</v>
      </c>
      <c r="K21" s="10"/>
      <c r="L21" s="10"/>
      <c r="M21" s="10"/>
      <c r="N21" s="10"/>
      <c r="O21" s="18">
        <v>0</v>
      </c>
      <c r="P21" s="18">
        <v>0</v>
      </c>
      <c r="Q21" s="18">
        <v>0</v>
      </c>
      <c r="R21" s="18">
        <v>50000</v>
      </c>
      <c r="S21" s="18">
        <v>750000</v>
      </c>
      <c r="T21" s="18">
        <v>2948000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 t="s">
        <v>12</v>
      </c>
      <c r="E22" s="10"/>
      <c r="F22" s="10"/>
      <c r="G22" s="10"/>
      <c r="H22" s="10"/>
      <c r="I22" s="10"/>
      <c r="J22" s="19">
        <f>SUM(O22:Z22)</f>
        <v>3883856.7079646019</v>
      </c>
      <c r="K22" s="10"/>
      <c r="L22" s="10"/>
      <c r="M22" s="10"/>
      <c r="N22" s="10"/>
      <c r="O22" s="19">
        <f t="shared" ref="O22:Z22" si="2">O21*HLOOKUP($J$10,$O$16:$Z$17,2,0)</f>
        <v>0</v>
      </c>
      <c r="P22" s="19">
        <f t="shared" si="2"/>
        <v>0</v>
      </c>
      <c r="Q22" s="19">
        <f t="shared" si="2"/>
        <v>0</v>
      </c>
      <c r="R22" s="19">
        <f t="shared" si="2"/>
        <v>51812.389380530978</v>
      </c>
      <c r="S22" s="19">
        <f t="shared" si="2"/>
        <v>777185.84070796461</v>
      </c>
      <c r="T22" s="19">
        <f t="shared" si="2"/>
        <v>3054858.4778761063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 t="s">
        <v>13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 t="s">
        <v>14</v>
      </c>
      <c r="K25" s="10" t="s">
        <v>15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8">
        <v>32300</v>
      </c>
      <c r="K26" s="18">
        <v>14400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 t="s">
        <v>16</v>
      </c>
      <c r="E27" s="10"/>
      <c r="F27" s="10"/>
      <c r="G27" s="10"/>
      <c r="H27" s="10"/>
      <c r="I27" s="10"/>
      <c r="J27" s="19">
        <f>J26*HLOOKUP($J$10,$O$16:$Z$17,2,0)</f>
        <v>33470.803539823013</v>
      </c>
      <c r="K27" s="19">
        <f>K26*HLOOKUP($J$10,$O$16:$Z$17,2,0)</f>
        <v>14921.968141592921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11" t="s">
        <v>17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 t="s">
        <v>18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 t="s">
        <v>19</v>
      </c>
      <c r="D33" s="10"/>
      <c r="E33" s="10"/>
      <c r="F33" s="10"/>
      <c r="G33" s="10"/>
      <c r="H33" s="10"/>
      <c r="I33" s="10"/>
      <c r="J33" s="20" t="s">
        <v>20</v>
      </c>
      <c r="K33" s="20" t="s">
        <v>21</v>
      </c>
      <c r="L33" s="20" t="s">
        <v>22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21" t="s">
        <v>23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21" t="s">
        <v>11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21" t="s">
        <v>13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21" t="s">
        <v>24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21" t="s">
        <v>25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21" t="s">
        <v>26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 t="s">
        <v>27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 t="s">
        <v>28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ht="13.15" x14ac:dyDescent="0.4">
      <c r="A44" s="8"/>
      <c r="B44" s="8"/>
      <c r="C44" s="9"/>
      <c r="D44" s="21" t="s">
        <v>29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ht="13.15" x14ac:dyDescent="0.4">
      <c r="A45" s="8"/>
      <c r="B45" s="8"/>
      <c r="C45" s="9"/>
      <c r="D45" s="21" t="s">
        <v>30</v>
      </c>
      <c r="E45" s="22"/>
      <c r="F45" s="22"/>
      <c r="G45" s="22"/>
      <c r="H45" s="22"/>
      <c r="I45" s="23"/>
      <c r="J45" s="20" t="s">
        <v>20</v>
      </c>
      <c r="K45" s="20" t="s">
        <v>22</v>
      </c>
      <c r="L45" s="20" t="s">
        <v>22</v>
      </c>
      <c r="M45" s="20" t="s">
        <v>20</v>
      </c>
      <c r="N45" s="20" t="s">
        <v>20</v>
      </c>
      <c r="O45" s="20" t="s">
        <v>20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ht="13.15" x14ac:dyDescent="0.4">
      <c r="A46" s="8"/>
      <c r="B46" s="8"/>
      <c r="C46" s="9"/>
      <c r="D46" s="21" t="s">
        <v>31</v>
      </c>
      <c r="E46" s="22"/>
      <c r="F46" s="22"/>
      <c r="G46" s="22"/>
      <c r="H46" s="22"/>
      <c r="I46" s="23"/>
      <c r="J46" s="20" t="s">
        <v>20</v>
      </c>
      <c r="K46" s="20" t="s">
        <v>20</v>
      </c>
      <c r="L46" s="20" t="s">
        <v>20</v>
      </c>
      <c r="M46" s="20" t="s">
        <v>20</v>
      </c>
      <c r="N46" s="20" t="s">
        <v>20</v>
      </c>
      <c r="O46" s="20" t="s">
        <v>20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ht="13.15" x14ac:dyDescent="0.4">
      <c r="A47" s="8"/>
      <c r="B47" s="8"/>
      <c r="C47" s="9"/>
      <c r="D47" s="21" t="s">
        <v>32</v>
      </c>
      <c r="E47" s="22"/>
      <c r="F47" s="22"/>
      <c r="G47" s="22"/>
      <c r="H47" s="22"/>
      <c r="I47" s="23"/>
      <c r="J47" s="20" t="s">
        <v>22</v>
      </c>
      <c r="K47" s="20" t="s">
        <v>22</v>
      </c>
      <c r="L47" s="20" t="s">
        <v>22</v>
      </c>
      <c r="M47" s="20" t="s">
        <v>22</v>
      </c>
      <c r="N47" s="20" t="s">
        <v>22</v>
      </c>
      <c r="O47" s="20" t="s">
        <v>22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ht="13.15" x14ac:dyDescent="0.4">
      <c r="A48" s="8"/>
      <c r="B48" s="8"/>
      <c r="C48" s="9"/>
      <c r="D48" s="21" t="s">
        <v>33</v>
      </c>
      <c r="E48" s="22"/>
      <c r="F48" s="22"/>
      <c r="G48" s="22"/>
      <c r="H48" s="22"/>
      <c r="I48" s="23"/>
      <c r="J48" s="20" t="s">
        <v>22</v>
      </c>
      <c r="K48" s="20" t="s">
        <v>20</v>
      </c>
      <c r="L48" s="20" t="s">
        <v>20</v>
      </c>
      <c r="M48" s="20" t="s">
        <v>22</v>
      </c>
      <c r="N48" s="20" t="s">
        <v>22</v>
      </c>
      <c r="O48" s="20" t="s">
        <v>22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ht="13.15" x14ac:dyDescent="0.4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ht="13.15" x14ac:dyDescent="0.4">
      <c r="A50" s="8"/>
      <c r="B50" s="8" t="s">
        <v>34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ht="13.15" x14ac:dyDescent="0.4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ht="13.15" x14ac:dyDescent="0.4">
      <c r="A52" s="8"/>
      <c r="B52" s="8"/>
      <c r="C52" s="9" t="s">
        <v>28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ht="13.15" x14ac:dyDescent="0.4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ht="13.15" x14ac:dyDescent="0.4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1.1000000000000001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ht="13.15" x14ac:dyDescent="0.4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ht="13.15" x14ac:dyDescent="0.4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ht="13.15" x14ac:dyDescent="0.4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0.9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ht="13.15" x14ac:dyDescent="0.4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ht="13.15" x14ac:dyDescent="0.4">
      <c r="A59" s="11" t="s">
        <v>35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ht="13.15" x14ac:dyDescent="0.4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ht="13.15" x14ac:dyDescent="0.4">
      <c r="A61" s="8"/>
      <c r="B61" s="8" t="s">
        <v>36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ht="13.15" x14ac:dyDescent="0.4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ht="13.15" x14ac:dyDescent="0.4">
      <c r="A63" s="8"/>
      <c r="B63" s="8"/>
      <c r="C63" s="9" t="s">
        <v>37</v>
      </c>
      <c r="D63" s="10"/>
      <c r="E63" s="10"/>
      <c r="F63" s="10"/>
      <c r="G63" s="10"/>
      <c r="H63" s="10"/>
      <c r="I63" s="10"/>
      <c r="J63" s="10" t="s">
        <v>38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ht="13.15" x14ac:dyDescent="0.4">
      <c r="A64" s="8"/>
      <c r="B64" s="8"/>
      <c r="C64" s="9"/>
      <c r="D64" s="21" t="s">
        <v>39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5">
        <v>0.11922325384561903</v>
      </c>
      <c r="P64" s="15">
        <v>0.12667192865549454</v>
      </c>
      <c r="Q64" s="15">
        <v>0.13462418305787271</v>
      </c>
      <c r="R64" s="15">
        <v>0.14311538195253171</v>
      </c>
      <c r="S64" s="15">
        <v>0.15218343169371037</v>
      </c>
      <c r="T64" s="15">
        <v>0.16186896541775905</v>
      </c>
      <c r="U64" s="15">
        <v>0.1722155420147975</v>
      </c>
      <c r="V64" s="15">
        <v>0.18326985975522087</v>
      </c>
      <c r="W64" s="15">
        <v>0.19508198565710669</v>
      </c>
      <c r="X64" s="15">
        <v>0.20770560176138408</v>
      </c>
      <c r="Y64" s="15">
        <v>0.22119826956847824</v>
      </c>
      <c r="Z64" s="15">
        <v>0.23556742834648872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ht="13.15" x14ac:dyDescent="0.4">
      <c r="A65" s="8"/>
      <c r="B65" s="8"/>
      <c r="C65" s="9"/>
      <c r="D65" s="21" t="s">
        <v>40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5">
        <v>6.4098523572913451E-4</v>
      </c>
      <c r="P65" s="15">
        <v>6.8103187449190599E-4</v>
      </c>
      <c r="Q65" s="15">
        <v>7.237859304186704E-4</v>
      </c>
      <c r="R65" s="15">
        <v>7.6943753737920265E-4</v>
      </c>
      <c r="S65" s="15">
        <v>8.1819049297693748E-4</v>
      </c>
      <c r="T65" s="15">
        <v>8.7026325493418848E-4</v>
      </c>
      <c r="U65" s="15">
        <v>9.2589001083224446E-4</v>
      </c>
      <c r="V65" s="15">
        <v>9.8532182664097241E-4</v>
      </c>
      <c r="W65" s="15">
        <v>1.0488278798769176E-3</v>
      </c>
      <c r="X65" s="15">
        <v>1.116696783663355E-3</v>
      </c>
      <c r="Y65" s="15">
        <v>1.1892380084326786E-3</v>
      </c>
      <c r="Z65" s="15">
        <v>1.2664915502499394E-3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ht="13.15" x14ac:dyDescent="0.4">
      <c r="A66" s="8"/>
      <c r="B66" s="8"/>
      <c r="C66" s="9"/>
      <c r="D66" s="21" t="s">
        <v>41</v>
      </c>
      <c r="E66" s="22"/>
      <c r="F66" s="22"/>
      <c r="G66" s="22"/>
      <c r="H66" s="22"/>
      <c r="I66" s="23"/>
      <c r="J66" s="30">
        <v>3</v>
      </c>
      <c r="K66" s="29"/>
      <c r="L66" s="29"/>
      <c r="M66" s="29"/>
      <c r="N66" s="29"/>
      <c r="O66" s="15">
        <v>6.4098523572913451E-4</v>
      </c>
      <c r="P66" s="15">
        <v>6.8103187449190599E-4</v>
      </c>
      <c r="Q66" s="15">
        <v>7.237859304186704E-4</v>
      </c>
      <c r="R66" s="15">
        <v>7.6943753737920265E-4</v>
      </c>
      <c r="S66" s="15">
        <v>8.1819049297693748E-4</v>
      </c>
      <c r="T66" s="15">
        <v>8.7026325493418848E-4</v>
      </c>
      <c r="U66" s="15">
        <v>9.2589001083224446E-4</v>
      </c>
      <c r="V66" s="15">
        <v>9.8532182664097241E-4</v>
      </c>
      <c r="W66" s="15">
        <v>1.0488278798769176E-3</v>
      </c>
      <c r="X66" s="15">
        <v>1.116696783663355E-3</v>
      </c>
      <c r="Y66" s="15">
        <v>1.1892380084326786E-3</v>
      </c>
      <c r="Z66" s="15">
        <v>1.2664915502499394E-3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ht="13.15" x14ac:dyDescent="0.4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ht="13.15" x14ac:dyDescent="0.4">
      <c r="A68" s="8"/>
      <c r="B68" s="8" t="s">
        <v>42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ht="13.15" x14ac:dyDescent="0.4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65" x14ac:dyDescent="0.4">
      <c r="A70" s="8"/>
      <c r="B70" s="8"/>
      <c r="C70" s="9" t="s">
        <v>43</v>
      </c>
      <c r="D70" s="10"/>
      <c r="E70" s="10"/>
      <c r="F70" s="10"/>
      <c r="G70" s="10"/>
      <c r="H70" s="10"/>
      <c r="I70" s="10"/>
      <c r="J70" s="31" t="s">
        <v>44</v>
      </c>
      <c r="K70" s="31" t="s">
        <v>45</v>
      </c>
      <c r="L70" s="31" t="s">
        <v>46</v>
      </c>
      <c r="M70" s="31" t="s">
        <v>47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ht="13.15" x14ac:dyDescent="0.4">
      <c r="A71" s="8"/>
      <c r="B71" s="8"/>
      <c r="C71" s="9"/>
      <c r="D71" s="10" t="s">
        <v>48</v>
      </c>
      <c r="E71" s="10"/>
      <c r="F71" s="10"/>
      <c r="G71" s="10"/>
      <c r="H71" s="10"/>
      <c r="I71" s="10"/>
      <c r="J71" s="18">
        <v>35144</v>
      </c>
      <c r="K71" s="18">
        <v>26450</v>
      </c>
      <c r="L71" s="15">
        <v>0.2</v>
      </c>
      <c r="M71" s="19">
        <f>K71*J71/$J$75*L71*$W$17</f>
        <v>2886.1459758362653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ht="13.15" x14ac:dyDescent="0.4">
      <c r="A72" s="8"/>
      <c r="B72" s="8"/>
      <c r="C72" s="9"/>
      <c r="D72" s="10" t="s">
        <v>49</v>
      </c>
      <c r="E72" s="10"/>
      <c r="F72" s="10"/>
      <c r="G72" s="10"/>
      <c r="H72" s="10"/>
      <c r="I72" s="10"/>
      <c r="J72" s="18">
        <v>7084</v>
      </c>
      <c r="K72" s="18">
        <v>50930</v>
      </c>
      <c r="L72" s="15">
        <v>0.15</v>
      </c>
      <c r="M72" s="19">
        <f>K72*J72/$J$75*L72*$W$17</f>
        <v>840.14629897608256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ht="13.15" x14ac:dyDescent="0.4">
      <c r="A73" s="8"/>
      <c r="B73" s="8"/>
      <c r="C73" s="9"/>
      <c r="D73" s="10" t="s">
        <v>50</v>
      </c>
      <c r="E73" s="10"/>
      <c r="F73" s="10"/>
      <c r="G73" s="10"/>
      <c r="H73" s="10"/>
      <c r="I73" s="10"/>
      <c r="J73" s="18">
        <v>18747</v>
      </c>
      <c r="K73" s="18">
        <v>47770</v>
      </c>
      <c r="L73" s="15">
        <v>0.4</v>
      </c>
      <c r="M73" s="19">
        <f>K73*J73/$J$75*L73*$W$17</f>
        <v>5561.0710374686305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ht="13.15" x14ac:dyDescent="0.4">
      <c r="A74" s="8"/>
      <c r="B74" s="8"/>
      <c r="C74" s="9"/>
      <c r="D74" s="29" t="s">
        <v>51</v>
      </c>
      <c r="E74" s="29"/>
      <c r="F74" s="29"/>
      <c r="G74" s="29"/>
      <c r="H74" s="29"/>
      <c r="I74" s="29"/>
      <c r="J74" s="18">
        <v>7162</v>
      </c>
      <c r="K74" s="18">
        <v>47070</v>
      </c>
      <c r="L74" s="15">
        <v>0.8</v>
      </c>
      <c r="M74" s="19">
        <f>K74*J74/$J$75*L74*$W$17</f>
        <v>4186.7779937478908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ht="13.15" x14ac:dyDescent="0.4">
      <c r="A75" s="8"/>
      <c r="B75" s="8"/>
      <c r="C75" s="9"/>
      <c r="D75" s="10" t="s">
        <v>52</v>
      </c>
      <c r="E75" s="10"/>
      <c r="F75" s="10"/>
      <c r="G75" s="10"/>
      <c r="H75" s="10"/>
      <c r="I75" s="10"/>
      <c r="J75" s="32">
        <f>SUM(J71:J74)</f>
        <v>68137</v>
      </c>
      <c r="K75" s="32">
        <f>SUMPRODUCT(J71:J74,K71:K74)/J75</f>
        <v>37028.434624359747</v>
      </c>
      <c r="L75" s="33">
        <f>M75/(K75*$W$17)</f>
        <v>0.3440101891138645</v>
      </c>
      <c r="M75" s="34">
        <f>SUMPRODUCT(J71:J74,K71:K74,L71:L74)/J75*W17</f>
        <v>13474.141306028869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53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54</v>
      </c>
      <c r="D79" s="10"/>
      <c r="E79" s="10"/>
      <c r="F79" s="10"/>
      <c r="G79" s="10"/>
      <c r="H79" s="10"/>
      <c r="I79" s="10"/>
      <c r="J79" s="14">
        <v>3</v>
      </c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55</v>
      </c>
      <c r="D80" s="10"/>
      <c r="E80" s="10"/>
      <c r="F80" s="10"/>
      <c r="G80" s="10"/>
      <c r="H80" s="10"/>
      <c r="I80" s="10"/>
      <c r="J80" s="18">
        <v>31.5</v>
      </c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56</v>
      </c>
      <c r="E81" s="10"/>
      <c r="F81" s="10"/>
      <c r="G81" s="10"/>
      <c r="H81" s="10"/>
      <c r="I81" s="10"/>
      <c r="J81" s="18">
        <v>20.399999999999999</v>
      </c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57</v>
      </c>
      <c r="E82" s="10"/>
      <c r="F82" s="10"/>
      <c r="G82" s="10"/>
      <c r="H82" s="10"/>
      <c r="I82" s="10"/>
      <c r="J82" s="18">
        <v>10.6</v>
      </c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58</v>
      </c>
      <c r="E83" s="10"/>
      <c r="F83" s="10"/>
      <c r="G83" s="10"/>
      <c r="H83" s="10"/>
      <c r="I83" s="10"/>
      <c r="J83" s="18">
        <v>0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59</v>
      </c>
      <c r="E84" s="10"/>
      <c r="F84" s="10"/>
      <c r="G84" s="10"/>
      <c r="H84" s="10"/>
      <c r="I84" s="10"/>
      <c r="J84" s="18">
        <v>0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60</v>
      </c>
      <c r="E85" s="29"/>
      <c r="F85" s="29"/>
      <c r="G85" s="29"/>
      <c r="H85" s="29"/>
      <c r="I85" s="29"/>
      <c r="J85" s="18">
        <v>0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61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62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63</v>
      </c>
      <c r="D91" s="10"/>
      <c r="E91" s="10"/>
      <c r="F91" s="10"/>
      <c r="G91" s="10"/>
      <c r="H91" s="10"/>
      <c r="I91" s="10"/>
      <c r="J91" s="10" t="s">
        <v>64</v>
      </c>
      <c r="K91" s="10" t="s">
        <v>65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66</v>
      </c>
      <c r="E92" s="10"/>
      <c r="F92" s="10"/>
      <c r="G92" s="10"/>
      <c r="H92" s="10"/>
      <c r="I92" s="10"/>
      <c r="J92" s="18">
        <v>100</v>
      </c>
      <c r="K92" s="19">
        <f t="shared" ref="K92:K97" si="7">J92*HLOOKUP($J$10,$O$16:$Z$17,2,0)</f>
        <v>103.62477876106195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67</v>
      </c>
      <c r="E93" s="10"/>
      <c r="F93" s="10"/>
      <c r="G93" s="10"/>
      <c r="H93" s="10"/>
      <c r="I93" s="10"/>
      <c r="J93" s="18">
        <v>598</v>
      </c>
      <c r="K93" s="19">
        <f t="shared" si="7"/>
        <v>619.67617699115044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68</v>
      </c>
      <c r="E94" s="10"/>
      <c r="F94" s="10"/>
      <c r="G94" s="10"/>
      <c r="H94" s="10"/>
      <c r="I94" s="10"/>
      <c r="J94" s="18">
        <v>10000</v>
      </c>
      <c r="K94" s="19">
        <f t="shared" si="7"/>
        <v>10362.477876106195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69</v>
      </c>
      <c r="E95" s="10"/>
      <c r="F95" s="10"/>
      <c r="G95" s="10"/>
      <c r="H95" s="10"/>
      <c r="I95" s="10"/>
      <c r="J95" s="18">
        <v>1000</v>
      </c>
      <c r="K95" s="19">
        <f t="shared" si="7"/>
        <v>1036.2477876106195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70</v>
      </c>
      <c r="E96" s="10"/>
      <c r="F96" s="10"/>
      <c r="G96" s="10"/>
      <c r="H96" s="10"/>
      <c r="I96" s="10"/>
      <c r="J96" s="18">
        <v>400</v>
      </c>
      <c r="K96" s="19">
        <f t="shared" si="7"/>
        <v>414.49911504424779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71</v>
      </c>
      <c r="E97" s="29"/>
      <c r="F97" s="29"/>
      <c r="G97" s="29"/>
      <c r="H97" s="29"/>
      <c r="I97" s="29"/>
      <c r="J97" s="18">
        <v>50000</v>
      </c>
      <c r="K97" s="19">
        <f t="shared" si="7"/>
        <v>51812.389380530978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72</v>
      </c>
      <c r="D99" s="10"/>
      <c r="E99" s="10"/>
      <c r="F99" s="10"/>
      <c r="G99" s="10"/>
      <c r="H99" s="10"/>
      <c r="I99" s="10"/>
      <c r="J99" s="35" t="str">
        <f>D64</f>
        <v>Significant</v>
      </c>
      <c r="K99" s="35" t="str">
        <f>D65</f>
        <v>Major</v>
      </c>
      <c r="L99" s="35" t="str">
        <f>D66</f>
        <v>Catastrophic</v>
      </c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73</v>
      </c>
      <c r="E100" s="10"/>
      <c r="F100" s="10"/>
      <c r="G100" s="10"/>
      <c r="H100" s="10"/>
      <c r="I100" s="10"/>
      <c r="J100" s="18">
        <v>500</v>
      </c>
      <c r="K100" s="18">
        <v>4050</v>
      </c>
      <c r="L100" s="19">
        <f>K100*$J$79</f>
        <v>12150</v>
      </c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74</v>
      </c>
      <c r="E101" s="10"/>
      <c r="F101" s="10"/>
      <c r="G101" s="10"/>
      <c r="H101" s="10"/>
      <c r="I101" s="10"/>
      <c r="J101" s="18">
        <v>0</v>
      </c>
      <c r="K101" s="18">
        <v>0</v>
      </c>
      <c r="L101" s="18">
        <v>0</v>
      </c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75</v>
      </c>
      <c r="E102" s="10"/>
      <c r="F102" s="10"/>
      <c r="G102" s="10"/>
      <c r="H102" s="10"/>
      <c r="I102" s="10"/>
      <c r="J102" s="18">
        <v>0.05</v>
      </c>
      <c r="K102" s="18">
        <v>2.5</v>
      </c>
      <c r="L102" s="18">
        <v>5</v>
      </c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76</v>
      </c>
      <c r="E103" s="10"/>
      <c r="F103" s="10"/>
      <c r="G103" s="10"/>
      <c r="H103" s="10"/>
      <c r="I103" s="10"/>
      <c r="J103" s="18">
        <v>10</v>
      </c>
      <c r="K103" s="18">
        <v>405</v>
      </c>
      <c r="L103" s="19">
        <f>K103*$J$79</f>
        <v>1215</v>
      </c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77</v>
      </c>
      <c r="E104" s="29"/>
      <c r="F104" s="29"/>
      <c r="G104" s="29"/>
      <c r="H104" s="29"/>
      <c r="I104" s="29"/>
      <c r="J104" s="18">
        <v>2</v>
      </c>
      <c r="K104" s="18">
        <v>3</v>
      </c>
      <c r="L104" s="18">
        <v>5</v>
      </c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78</v>
      </c>
      <c r="E105" s="10"/>
      <c r="F105" s="10"/>
      <c r="G105" s="10"/>
      <c r="H105" s="10"/>
      <c r="I105" s="10"/>
      <c r="J105" s="36">
        <f>SUMPRODUCT($K$94:$K$96,J102:J104)</f>
        <v>11709.6</v>
      </c>
      <c r="K105" s="36">
        <f t="shared" ref="K105:L105" si="8">SUMPRODUCT($K$94:$K$96,K102:K104)</f>
        <v>446830.04601769918</v>
      </c>
      <c r="L105" s="36">
        <f t="shared" si="8"/>
        <v>1312925.9469026548</v>
      </c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79</v>
      </c>
      <c r="E106" s="10"/>
      <c r="F106" s="10"/>
      <c r="G106" s="10"/>
      <c r="H106" s="10"/>
      <c r="I106" s="10"/>
      <c r="J106" s="19">
        <f>SUMPRODUCT($K$93:$K$96,J101:J104)</f>
        <v>11709.6</v>
      </c>
      <c r="K106" s="19">
        <f t="shared" ref="K106:L106" si="9">SUMPRODUCT($K$93:$K$96,K101:K104)</f>
        <v>446830.04601769918</v>
      </c>
      <c r="L106" s="19">
        <f t="shared" si="9"/>
        <v>1312925.9469026548</v>
      </c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80</v>
      </c>
      <c r="E107" s="29"/>
      <c r="F107" s="29"/>
      <c r="G107" s="29"/>
      <c r="H107" s="29"/>
      <c r="I107" s="29"/>
      <c r="J107" s="19">
        <f>SUMPRODUCT($K$92:$K$96,J100:J104)</f>
        <v>63521.989380530969</v>
      </c>
      <c r="K107" s="19">
        <f t="shared" ref="K107:L107" si="10">SUMPRODUCT($K$92:$K$96,K100:K104)</f>
        <v>866510.40000000014</v>
      </c>
      <c r="L107" s="19">
        <f t="shared" si="10"/>
        <v>2571967.0088495575</v>
      </c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81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82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83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84</v>
      </c>
      <c r="E114" s="10"/>
      <c r="F114" s="10"/>
      <c r="G114" s="10"/>
      <c r="H114" s="10"/>
      <c r="I114" s="10"/>
      <c r="J114" s="18">
        <v>1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85</v>
      </c>
      <c r="E115" s="10"/>
      <c r="F115" s="10"/>
      <c r="G115" s="10"/>
      <c r="H115" s="10"/>
      <c r="I115" s="10"/>
      <c r="J115" s="18">
        <v>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86</v>
      </c>
      <c r="E116" s="10"/>
      <c r="F116" s="10"/>
      <c r="G116" s="10"/>
      <c r="H116" s="10"/>
      <c r="I116" s="10"/>
      <c r="J116" s="18">
        <v>5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87</v>
      </c>
      <c r="E117" s="10"/>
      <c r="F117" s="10"/>
      <c r="G117" s="10"/>
      <c r="H117" s="10"/>
      <c r="I117" s="10"/>
      <c r="J117" s="19">
        <f>ROUNDUP($J$115/$J$116,0)</f>
        <v>1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88</v>
      </c>
      <c r="E118" s="10"/>
      <c r="F118" s="10"/>
      <c r="G118" s="10"/>
      <c r="H118" s="10"/>
      <c r="I118" s="10"/>
      <c r="J118" s="18">
        <v>3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89</v>
      </c>
      <c r="E119" s="10"/>
      <c r="F119" s="10"/>
      <c r="G119" s="10"/>
      <c r="H119" s="10"/>
      <c r="I119" s="10"/>
      <c r="J119" s="18">
        <v>270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90</v>
      </c>
      <c r="E120" s="10"/>
      <c r="F120" s="10"/>
      <c r="G120" s="10"/>
      <c r="H120" s="10"/>
      <c r="I120" s="10"/>
      <c r="J120" s="18">
        <v>7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91</v>
      </c>
      <c r="E121" s="10"/>
      <c r="F121" s="10"/>
      <c r="G121" s="10"/>
      <c r="H121" s="10"/>
      <c r="I121" s="10"/>
      <c r="J121" s="18">
        <v>5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92</v>
      </c>
      <c r="E122" s="10"/>
      <c r="F122" s="10"/>
      <c r="G122" s="10"/>
      <c r="H122" s="10"/>
      <c r="I122" s="10"/>
      <c r="J122" s="18">
        <v>16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93</v>
      </c>
      <c r="E123" s="29"/>
      <c r="F123" s="29"/>
      <c r="G123" s="29"/>
      <c r="H123" s="29"/>
      <c r="I123" s="29"/>
      <c r="J123" s="18">
        <v>24</v>
      </c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94</v>
      </c>
      <c r="D125" s="10"/>
      <c r="E125" s="10"/>
      <c r="F125" s="10"/>
      <c r="G125" s="10"/>
      <c r="H125" s="10"/>
      <c r="I125" s="10"/>
      <c r="J125" s="37" t="str">
        <f>J99</f>
        <v>Significant</v>
      </c>
      <c r="K125" s="37" t="str">
        <f t="shared" ref="K125" si="11">K99</f>
        <v>Major</v>
      </c>
      <c r="L125" s="37" t="s">
        <v>192</v>
      </c>
      <c r="M125" s="37" t="str">
        <f>L99</f>
        <v>Catastrophic</v>
      </c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95</v>
      </c>
      <c r="E126" s="29"/>
      <c r="F126" s="29"/>
      <c r="G126" s="29"/>
      <c r="H126" s="29"/>
      <c r="I126" s="29"/>
      <c r="J126" s="18">
        <v>0</v>
      </c>
      <c r="K126" s="18">
        <v>0</v>
      </c>
      <c r="L126" s="18">
        <v>0</v>
      </c>
      <c r="M126" s="18">
        <v>0</v>
      </c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96</v>
      </c>
      <c r="E128" s="10"/>
      <c r="F128" s="10"/>
      <c r="G128" s="10"/>
      <c r="H128" s="10"/>
      <c r="I128" s="10"/>
      <c r="J128" s="18">
        <f>200/24/7</f>
        <v>1.1904761904761905</v>
      </c>
      <c r="K128" s="18">
        <v>6</v>
      </c>
      <c r="L128" s="18">
        <v>6</v>
      </c>
      <c r="M128" s="18">
        <v>12</v>
      </c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97</v>
      </c>
      <c r="E129" s="10"/>
      <c r="F129" s="10"/>
      <c r="G129" s="10"/>
      <c r="H129" s="10"/>
      <c r="I129" s="10"/>
      <c r="J129" s="19">
        <f>AVERAGE(O193:Z193)</f>
        <v>2.0504916666666686</v>
      </c>
      <c r="K129" s="19">
        <f>AVERAGE(O193:Z193)</f>
        <v>2.0504916666666686</v>
      </c>
      <c r="L129" s="19">
        <f>AVERAGE(O194:Z194)</f>
        <v>11.850491666666668</v>
      </c>
      <c r="M129" s="19">
        <f>AVERAGE(O196:Z196)</f>
        <v>22.450491666666665</v>
      </c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98</v>
      </c>
      <c r="E130" s="10"/>
      <c r="F130" s="10"/>
      <c r="G130" s="10"/>
      <c r="H130" s="10"/>
      <c r="I130" s="10"/>
      <c r="J130" s="19">
        <f>ROUNDUP(J129/$J$114,0)</f>
        <v>3</v>
      </c>
      <c r="K130" s="19">
        <f t="shared" ref="K130" si="12">ROUNDUP(K129/$J$114,0)</f>
        <v>3</v>
      </c>
      <c r="L130" s="19">
        <f t="shared" ref="L130" si="13">ROUNDUP(L129/$J$114,0)</f>
        <v>12</v>
      </c>
      <c r="M130" s="19">
        <f>ROUNDUP(M129/$J$114,0)</f>
        <v>23</v>
      </c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99</v>
      </c>
      <c r="E131" s="10"/>
      <c r="F131" s="10"/>
      <c r="G131" s="10"/>
      <c r="H131" s="10"/>
      <c r="I131" s="10"/>
      <c r="J131" s="19">
        <f>ROUNDUP(J130/$J$115,0)</f>
        <v>1</v>
      </c>
      <c r="K131" s="19">
        <f>ROUNDUP(K130/$J$115,0)</f>
        <v>1</v>
      </c>
      <c r="L131" s="19">
        <f>ROUNDUP(L130/$J$115,0)</f>
        <v>3</v>
      </c>
      <c r="M131" s="19">
        <f>ROUNDUP(M130/$J$115,0)</f>
        <v>6</v>
      </c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100</v>
      </c>
      <c r="E132" s="29"/>
      <c r="F132" s="29"/>
      <c r="G132" s="29"/>
      <c r="H132" s="29"/>
      <c r="I132" s="29"/>
      <c r="J132" s="19">
        <f>ROUNDUP(J131/$J$118,0)</f>
        <v>1</v>
      </c>
      <c r="K132" s="19">
        <f t="shared" ref="K132" si="14">ROUNDUP(K131/$J$118,0)</f>
        <v>1</v>
      </c>
      <c r="L132" s="19">
        <f t="shared" ref="L132" si="15">ROUNDUP(L131/$J$118,0)</f>
        <v>1</v>
      </c>
      <c r="M132" s="19">
        <f>ROUNDUP(M131/$J$118,0)</f>
        <v>2</v>
      </c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101</v>
      </c>
      <c r="D134" s="10"/>
      <c r="E134" s="10"/>
      <c r="F134" s="10"/>
      <c r="G134" s="10"/>
      <c r="H134" s="10"/>
      <c r="I134" s="10"/>
      <c r="J134" s="10" t="s">
        <v>64</v>
      </c>
      <c r="K134" s="10" t="s">
        <v>65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102</v>
      </c>
      <c r="E135" s="10"/>
      <c r="F135" s="10"/>
      <c r="G135" s="10"/>
      <c r="H135" s="10"/>
      <c r="I135" s="10"/>
      <c r="J135" s="18">
        <v>7000</v>
      </c>
      <c r="K135" s="19">
        <f t="shared" ref="K135:K146" si="16">J135*HLOOKUP($J$10,$O$16:$Z$17,2,0)</f>
        <v>7253.7345132743367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103</v>
      </c>
      <c r="E136" s="10"/>
      <c r="F136" s="10"/>
      <c r="G136" s="10"/>
      <c r="H136" s="10"/>
      <c r="I136" s="10"/>
      <c r="J136" s="18">
        <v>1.5</v>
      </c>
      <c r="K136" s="19">
        <f t="shared" si="16"/>
        <v>1.5543716814159292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104</v>
      </c>
      <c r="E137" s="10"/>
      <c r="F137" s="10"/>
      <c r="G137" s="10"/>
      <c r="H137" s="10"/>
      <c r="I137" s="10"/>
      <c r="J137" s="18">
        <v>150</v>
      </c>
      <c r="K137" s="19">
        <f t="shared" si="16"/>
        <v>155.43716814159293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105</v>
      </c>
      <c r="E138" s="10"/>
      <c r="F138" s="10"/>
      <c r="G138" s="10"/>
      <c r="H138" s="10"/>
      <c r="I138" s="10"/>
      <c r="J138" s="18">
        <v>10000</v>
      </c>
      <c r="K138" s="19">
        <f t="shared" si="16"/>
        <v>10362.477876106195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106</v>
      </c>
      <c r="E139" s="10"/>
      <c r="F139" s="10"/>
      <c r="G139" s="10"/>
      <c r="H139" s="10"/>
      <c r="I139" s="10"/>
      <c r="J139" s="18">
        <v>7000</v>
      </c>
      <c r="K139" s="19">
        <f t="shared" si="16"/>
        <v>7253.7345132743367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107</v>
      </c>
      <c r="E140" s="10"/>
      <c r="F140" s="10"/>
      <c r="G140" s="10"/>
      <c r="H140" s="10"/>
      <c r="I140" s="10"/>
      <c r="J140" s="18">
        <v>2000</v>
      </c>
      <c r="K140" s="19">
        <f t="shared" si="16"/>
        <v>2072.4955752212391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108</v>
      </c>
      <c r="E141" s="10"/>
      <c r="F141" s="10"/>
      <c r="G141" s="10"/>
      <c r="H141" s="10"/>
      <c r="I141" s="10"/>
      <c r="J141" s="18">
        <v>3000</v>
      </c>
      <c r="K141" s="19">
        <f t="shared" si="16"/>
        <v>3108.7433628318586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109</v>
      </c>
      <c r="E142" s="10"/>
      <c r="F142" s="10"/>
      <c r="G142" s="10"/>
      <c r="H142" s="10"/>
      <c r="I142" s="10"/>
      <c r="J142" s="18">
        <v>2000</v>
      </c>
      <c r="K142" s="19">
        <f t="shared" si="16"/>
        <v>2072.4955752212391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110</v>
      </c>
      <c r="E143" s="10"/>
      <c r="F143" s="10"/>
      <c r="G143" s="10"/>
      <c r="H143" s="10"/>
      <c r="I143" s="10"/>
      <c r="J143" s="18">
        <v>2500</v>
      </c>
      <c r="K143" s="19">
        <f t="shared" si="16"/>
        <v>2590.6194690265488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111</v>
      </c>
      <c r="E144" s="10"/>
      <c r="F144" s="10"/>
      <c r="G144" s="10"/>
      <c r="H144" s="10"/>
      <c r="I144" s="10"/>
      <c r="J144" s="18">
        <v>4000</v>
      </c>
      <c r="K144" s="19">
        <f t="shared" si="16"/>
        <v>4144.9911504424781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112</v>
      </c>
      <c r="E145" s="10"/>
      <c r="F145" s="10"/>
      <c r="G145" s="10"/>
      <c r="H145" s="10"/>
      <c r="I145" s="10"/>
      <c r="J145" s="18">
        <v>2500</v>
      </c>
      <c r="K145" s="19">
        <f t="shared" si="16"/>
        <v>2590.6194690265488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113</v>
      </c>
      <c r="E146" s="29"/>
      <c r="F146" s="29"/>
      <c r="G146" s="29"/>
      <c r="H146" s="29"/>
      <c r="I146" s="29"/>
      <c r="J146" s="18">
        <v>3000</v>
      </c>
      <c r="K146" s="19">
        <f t="shared" si="16"/>
        <v>3108.7433628318586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114</v>
      </c>
      <c r="D148" s="10"/>
      <c r="E148" s="10"/>
      <c r="F148" s="10"/>
      <c r="G148" s="10"/>
      <c r="H148" s="10"/>
      <c r="I148" s="10"/>
      <c r="J148" s="37" t="str">
        <f>J125</f>
        <v>Significant</v>
      </c>
      <c r="K148" s="37" t="str">
        <f>K125</f>
        <v>Major</v>
      </c>
      <c r="L148" s="37" t="str">
        <f>L125</f>
        <v>Coincidental</v>
      </c>
      <c r="M148" s="37" t="str">
        <f>M125</f>
        <v>Catastrophic</v>
      </c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115</v>
      </c>
      <c r="E149" s="10"/>
      <c r="F149" s="10"/>
      <c r="G149" s="10"/>
      <c r="H149" s="10"/>
      <c r="I149" s="10"/>
      <c r="J149" s="19">
        <f>IFERROR((J130*$K135)*(J128+(J132/J128)),0)</f>
        <v>44185.605663716822</v>
      </c>
      <c r="K149" s="19">
        <f>IFERROR((K130*$K135)*(K128+(K132/K128)),0)</f>
        <v>134194.08849557524</v>
      </c>
      <c r="L149" s="19">
        <f>IFERROR((L130*$K135)*(L128+(L132/L128)),0)</f>
        <v>536776.35398230096</v>
      </c>
      <c r="M149" s="19">
        <f>IFERROR((M130*$K135)*(M128+(M132/M128)),0)</f>
        <v>2029836.7079646019</v>
      </c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116</v>
      </c>
      <c r="E150" s="10"/>
      <c r="F150" s="10"/>
      <c r="G150" s="10"/>
      <c r="H150" s="10"/>
      <c r="I150" s="10"/>
      <c r="J150" s="19">
        <f>(J128*$J$120*$J$123)*(J129*$L$75*$J$119*$K136)</f>
        <v>59207.667163669124</v>
      </c>
      <c r="K150" s="19">
        <f>(K128*$J$120*$J$123)*(K129*$L$75*$J$119*$K136)</f>
        <v>298406.64250489237</v>
      </c>
      <c r="L150" s="19">
        <f>(L128*$J$120*$J$123)*(L129*$L$75*$J$119*$K136)</f>
        <v>1724593.904851537</v>
      </c>
      <c r="M150" s="19">
        <f>(M128*$J$120*$J$123)*(M129*$L$75*$J$119*$K136)</f>
        <v>6534409.2343713259</v>
      </c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117</v>
      </c>
      <c r="E151" s="10"/>
      <c r="F151" s="10"/>
      <c r="G151" s="10"/>
      <c r="H151" s="10"/>
      <c r="I151" s="10"/>
      <c r="J151" s="19">
        <f t="shared" ref="J151:K151" si="17">($K137*$J$122*$J$121*J131)
+($K137*J131*$J$123*J128*$J$120)</f>
        <v>43522.407079646015</v>
      </c>
      <c r="K151" s="19">
        <f t="shared" si="17"/>
        <v>169115.63893805313</v>
      </c>
      <c r="L151" s="19">
        <f t="shared" ref="L151" si="18">($K137*$J$122*$J$121*L131)
+($K137*L131*$J$123*L128*$J$120)</f>
        <v>507346.91681415937</v>
      </c>
      <c r="M151" s="19">
        <f>($K137*$J$122*$J$121*M131)
+($K137*M131*$J$123*M128*$J$120)</f>
        <v>1954777.8265486727</v>
      </c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118</v>
      </c>
      <c r="E152" s="10"/>
      <c r="F152" s="10"/>
      <c r="G152" s="10"/>
      <c r="H152" s="10"/>
      <c r="I152" s="10"/>
      <c r="J152" s="19">
        <f>$K138*J128*$J$120*J131</f>
        <v>86353.982300884963</v>
      </c>
      <c r="K152" s="19">
        <f>$K138*K128*$J$120*K131</f>
        <v>435224.07079646015</v>
      </c>
      <c r="L152" s="19">
        <f>$K138*L128*$J$120*L131</f>
        <v>1305672.2123893804</v>
      </c>
      <c r="M152" s="19">
        <f>$K138*M128*$J$120*M131</f>
        <v>5222688.8495575218</v>
      </c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119</v>
      </c>
      <c r="E153" s="10"/>
      <c r="F153" s="10"/>
      <c r="G153" s="10"/>
      <c r="H153" s="10"/>
      <c r="I153" s="10"/>
      <c r="J153" s="19">
        <f>IFERROR((J131*$J$117*$K139)*(J128+(J132/J128)),0)</f>
        <v>14728.535221238939</v>
      </c>
      <c r="K153" s="19">
        <f>IFERROR((K131*$J$117*$K139)*(K128+(K132/K128)),0)</f>
        <v>44731.362831858409</v>
      </c>
      <c r="L153" s="19">
        <f>IFERROR((L131*$J$117*$K139)*(L128+(L132/L128)),0)</f>
        <v>134194.08849557524</v>
      </c>
      <c r="M153" s="19">
        <f>IFERROR((M131*$J$117*$K139)*(M128+(M132/M128)),0)</f>
        <v>529522.61946902657</v>
      </c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120</v>
      </c>
      <c r="E154" s="10"/>
      <c r="F154" s="10"/>
      <c r="G154" s="10"/>
      <c r="H154" s="10"/>
      <c r="I154" s="10"/>
      <c r="J154" s="19">
        <f>$K140*J131</f>
        <v>2072.4955752212391</v>
      </c>
      <c r="K154" s="19">
        <f>$K140*K131</f>
        <v>2072.4955752212391</v>
      </c>
      <c r="L154" s="19">
        <f>$K140*L131</f>
        <v>6217.4867256637172</v>
      </c>
      <c r="M154" s="19">
        <f>$K140*M131</f>
        <v>12434.973451327434</v>
      </c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121</v>
      </c>
      <c r="E155" s="10"/>
      <c r="F155" s="10"/>
      <c r="G155" s="10"/>
      <c r="H155" s="10"/>
      <c r="I155" s="10"/>
      <c r="J155" s="19">
        <f>$K141*J128*J131</f>
        <v>3700.8849557522126</v>
      </c>
      <c r="K155" s="19">
        <f>$K141*K128*K131</f>
        <v>18652.460176991153</v>
      </c>
      <c r="L155" s="19">
        <f>$K141*L128*L131</f>
        <v>55957.38053097346</v>
      </c>
      <c r="M155" s="19">
        <f>$K141*M128*M131</f>
        <v>223829.52212389384</v>
      </c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122</v>
      </c>
      <c r="E156" s="10"/>
      <c r="F156" s="10"/>
      <c r="G156" s="10"/>
      <c r="H156" s="10"/>
      <c r="I156" s="10"/>
      <c r="J156" s="19">
        <f>$K142*J131</f>
        <v>2072.4955752212391</v>
      </c>
      <c r="K156" s="19">
        <f>$K142*K131</f>
        <v>2072.4955752212391</v>
      </c>
      <c r="L156" s="19">
        <f>$K142*L131</f>
        <v>6217.4867256637172</v>
      </c>
      <c r="M156" s="19">
        <f>$K142*M131</f>
        <v>12434.973451327434</v>
      </c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123</v>
      </c>
      <c r="E157" s="10"/>
      <c r="F157" s="10"/>
      <c r="G157" s="10"/>
      <c r="H157" s="10"/>
      <c r="I157" s="10"/>
      <c r="J157" s="19">
        <f>$K143*J131</f>
        <v>2590.6194690265488</v>
      </c>
      <c r="K157" s="19">
        <f>$K143*K131</f>
        <v>2590.6194690265488</v>
      </c>
      <c r="L157" s="19">
        <f>$K143*L131</f>
        <v>7771.858407079646</v>
      </c>
      <c r="M157" s="19">
        <f>$K143*M131</f>
        <v>15543.716814159292</v>
      </c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124</v>
      </c>
      <c r="E158" s="10"/>
      <c r="F158" s="10"/>
      <c r="G158" s="10"/>
      <c r="H158" s="10"/>
      <c r="I158" s="10"/>
      <c r="J158" s="19">
        <f>$K144*J131</f>
        <v>4144.9911504424781</v>
      </c>
      <c r="K158" s="19">
        <f>$K144*K131</f>
        <v>4144.9911504424781</v>
      </c>
      <c r="L158" s="19">
        <f>$K144*L131</f>
        <v>12434.973451327434</v>
      </c>
      <c r="M158" s="19">
        <f>$K144*M131</f>
        <v>24869.946902654869</v>
      </c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125</v>
      </c>
      <c r="E159" s="10"/>
      <c r="F159" s="10"/>
      <c r="G159" s="10"/>
      <c r="H159" s="10"/>
      <c r="I159" s="10"/>
      <c r="J159" s="19">
        <f>$K145*J131</f>
        <v>2590.6194690265488</v>
      </c>
      <c r="K159" s="19">
        <f>$K145*K131</f>
        <v>2590.6194690265488</v>
      </c>
      <c r="L159" s="19">
        <f>$K145*L131</f>
        <v>7771.858407079646</v>
      </c>
      <c r="M159" s="19">
        <f>$K145*M131</f>
        <v>15543.716814159292</v>
      </c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126</v>
      </c>
      <c r="E160" s="29"/>
      <c r="F160" s="29"/>
      <c r="G160" s="29"/>
      <c r="H160" s="29"/>
      <c r="I160" s="29"/>
      <c r="J160" s="19">
        <f>$K146*J131</f>
        <v>3108.7433628318586</v>
      </c>
      <c r="K160" s="19">
        <f>$K146*K131</f>
        <v>3108.7433628318586</v>
      </c>
      <c r="L160" s="19">
        <f>$K146*L131</f>
        <v>9326.2300884955766</v>
      </c>
      <c r="M160" s="19">
        <f>$K146*M131</f>
        <v>18652.460176991153</v>
      </c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52</v>
      </c>
      <c r="E161" s="10"/>
      <c r="F161" s="10"/>
      <c r="G161" s="10"/>
      <c r="H161" s="10"/>
      <c r="I161" s="10"/>
      <c r="J161" s="19">
        <f>IF(OR(J126&gt;0,J128=0),0,SUM(J149:J160))</f>
        <v>268279.04698667797</v>
      </c>
      <c r="K161" s="17">
        <f t="shared" ref="K161" si="19">IF(OR(K126&gt;0,K128=0),0,SUM(K149:K160))</f>
        <v>1116904.2283456004</v>
      </c>
      <c r="L161" s="17">
        <f t="shared" ref="L161" si="20">IF(OR(L126&gt;0,L128=0),0,SUM(L149:L160))</f>
        <v>4314280.750869236</v>
      </c>
      <c r="M161" s="19">
        <f>IF(OR(M126&gt;0,M128=0),0,SUM(M149:M160))</f>
        <v>16594544.54764566</v>
      </c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127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128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129</v>
      </c>
      <c r="D167" s="10"/>
      <c r="E167" s="10"/>
      <c r="F167" s="10"/>
      <c r="G167" s="10"/>
      <c r="H167" s="10"/>
      <c r="I167" s="10"/>
      <c r="J167" s="31" t="s">
        <v>130</v>
      </c>
      <c r="K167" s="31" t="s">
        <v>131</v>
      </c>
      <c r="L167" s="31" t="s">
        <v>132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133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134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21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135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21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136</v>
      </c>
      <c r="D172" s="10"/>
      <c r="E172" s="10"/>
      <c r="F172" s="10"/>
      <c r="G172" s="10"/>
      <c r="H172" s="10"/>
      <c r="I172" s="10"/>
      <c r="J172" s="37" t="str">
        <f>J148</f>
        <v>Significant</v>
      </c>
      <c r="K172" s="37" t="str">
        <f t="shared" ref="K172" si="22">K148</f>
        <v>Major</v>
      </c>
      <c r="L172" s="37" t="str">
        <f>M148</f>
        <v>Catastrophic</v>
      </c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24">
        <v>1.1723329425556858E-2</v>
      </c>
      <c r="K173" s="24">
        <v>4.1031652989448997E-2</v>
      </c>
      <c r="L173" s="28">
        <f>K173</f>
        <v>4.1031652989448997E-2</v>
      </c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23">D169</f>
        <v>Serious</v>
      </c>
      <c r="E174" s="10"/>
      <c r="F174" s="10"/>
      <c r="G174" s="10"/>
      <c r="H174" s="10"/>
      <c r="I174" s="10"/>
      <c r="J174" s="24">
        <v>2.3446658851113715E-3</v>
      </c>
      <c r="K174" s="24">
        <v>8.2063305978897997E-3</v>
      </c>
      <c r="L174" s="28">
        <f t="shared" ref="L174:L175" si="24">K174</f>
        <v>8.2063305978897997E-3</v>
      </c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23"/>
        <v>Fataility</v>
      </c>
      <c r="E175" s="29"/>
      <c r="F175" s="29"/>
      <c r="G175" s="29"/>
      <c r="H175" s="29"/>
      <c r="I175" s="29"/>
      <c r="J175" s="24">
        <v>2.3446658851113716E-4</v>
      </c>
      <c r="K175" s="24">
        <v>8.2063305978897995E-4</v>
      </c>
      <c r="L175" s="28">
        <f t="shared" si="24"/>
        <v>8.2063305978897995E-4</v>
      </c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137</v>
      </c>
      <c r="E177" s="10"/>
      <c r="F177" s="10"/>
      <c r="G177" s="10"/>
      <c r="H177" s="10"/>
      <c r="I177" s="10"/>
      <c r="J177" s="19">
        <f>SUMPRODUCT($L$168:$L$170,J$173:J$175)</f>
        <v>8261.6387603969597</v>
      </c>
      <c r="K177" s="19">
        <f t="shared" ref="K177:L177" si="25">SUMPRODUCT($L$168:$L$170,K$173:K$175)</f>
        <v>28915.735661389357</v>
      </c>
      <c r="L177" s="19">
        <f t="shared" si="25"/>
        <v>28915.735661389357</v>
      </c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138</v>
      </c>
      <c r="E178" s="29"/>
      <c r="F178" s="29"/>
      <c r="G178" s="29"/>
      <c r="H178" s="29"/>
      <c r="I178" s="29"/>
      <c r="J178" s="38">
        <f>J177/SUM($L$168:$L$170)</f>
        <v>5.2166432441893803E-4</v>
      </c>
      <c r="K178" s="38">
        <f t="shared" ref="K178:L178" si="26">K177/SUM($L$168:$L$170)</f>
        <v>1.825825135466283E-3</v>
      </c>
      <c r="L178" s="38">
        <f t="shared" si="26"/>
        <v>1.825825135466283E-3</v>
      </c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139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140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141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9">
        <v>0.1</v>
      </c>
      <c r="K185" s="10"/>
      <c r="L185" s="10"/>
      <c r="M185" s="10"/>
      <c r="N185" s="10"/>
      <c r="O185" s="18">
        <v>23.803999999999998</v>
      </c>
      <c r="P185" s="18">
        <v>23.657</v>
      </c>
      <c r="Q185" s="18">
        <v>23.997</v>
      </c>
      <c r="R185" s="18">
        <v>23.972999999999999</v>
      </c>
      <c r="S185" s="18">
        <v>23.928000000000001</v>
      </c>
      <c r="T185" s="18">
        <v>24.87</v>
      </c>
      <c r="U185" s="18">
        <v>25.027000000000001</v>
      </c>
      <c r="V185" s="18">
        <v>25.027000000000001</v>
      </c>
      <c r="W185" s="18">
        <v>25.027000000000001</v>
      </c>
      <c r="X185" s="18">
        <v>25.027000000000001</v>
      </c>
      <c r="Y185" s="18">
        <v>25.027000000000001</v>
      </c>
      <c r="Z185" s="18">
        <v>25.027000000000001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9">
        <v>0.5</v>
      </c>
      <c r="K186" s="29"/>
      <c r="L186" s="29"/>
      <c r="M186" s="29"/>
      <c r="N186" s="29"/>
      <c r="O186" s="18">
        <v>21.077999999999999</v>
      </c>
      <c r="P186" s="18">
        <v>20.643000000000001</v>
      </c>
      <c r="Q186" s="18">
        <v>21.055</v>
      </c>
      <c r="R186" s="18">
        <v>21.239000000000001</v>
      </c>
      <c r="S186" s="18">
        <v>21.515000000000001</v>
      </c>
      <c r="T186" s="18">
        <v>21.6</v>
      </c>
      <c r="U186" s="18">
        <v>21.928000000000001</v>
      </c>
      <c r="V186" s="18">
        <v>21.928000000000001</v>
      </c>
      <c r="W186" s="18">
        <v>21.928000000000001</v>
      </c>
      <c r="X186" s="18">
        <v>21.928000000000001</v>
      </c>
      <c r="Y186" s="18">
        <v>21.928000000000001</v>
      </c>
      <c r="Z186" s="18">
        <v>21.928000000000001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195</v>
      </c>
      <c r="E187" s="10"/>
      <c r="F187" s="10"/>
      <c r="G187" s="10"/>
      <c r="H187" s="10"/>
      <c r="I187" s="10"/>
      <c r="J187" s="40">
        <v>0.7</v>
      </c>
      <c r="K187" s="10"/>
      <c r="L187" s="10"/>
      <c r="M187" s="10"/>
      <c r="N187" s="10"/>
      <c r="O187" s="19">
        <f>O185*(1-$J$187)
+O186*$J$187</f>
        <v>21.895799999999998</v>
      </c>
      <c r="P187" s="19">
        <f t="shared" ref="P187:Z187" si="27">P185*(1-$J$187)
+P186*$J$187</f>
        <v>21.5472</v>
      </c>
      <c r="Q187" s="19">
        <f t="shared" si="27"/>
        <v>21.9376</v>
      </c>
      <c r="R187" s="19">
        <f t="shared" si="27"/>
        <v>22.059200000000001</v>
      </c>
      <c r="S187" s="19">
        <f t="shared" si="27"/>
        <v>22.238900000000001</v>
      </c>
      <c r="T187" s="19">
        <f t="shared" si="27"/>
        <v>22.581</v>
      </c>
      <c r="U187" s="19">
        <f t="shared" si="27"/>
        <v>22.857700000000001</v>
      </c>
      <c r="V187" s="19">
        <f t="shared" si="27"/>
        <v>22.857700000000001</v>
      </c>
      <c r="W187" s="19">
        <f t="shared" si="27"/>
        <v>22.857700000000001</v>
      </c>
      <c r="X187" s="19">
        <f t="shared" si="27"/>
        <v>22.857700000000001</v>
      </c>
      <c r="Y187" s="19">
        <f t="shared" si="27"/>
        <v>22.857700000000001</v>
      </c>
      <c r="Z187" s="19">
        <f t="shared" si="27"/>
        <v>22.857700000000001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142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148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143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9">
        <f>MAX(0,O$187-$J$85-$J80)</f>
        <v>0</v>
      </c>
      <c r="P192" s="19">
        <f t="shared" ref="P192:Z192" si="28">MAX(0,P$187-$J$85-$J80)</f>
        <v>0</v>
      </c>
      <c r="Q192" s="19">
        <f t="shared" si="28"/>
        <v>0</v>
      </c>
      <c r="R192" s="19">
        <f t="shared" si="28"/>
        <v>0</v>
      </c>
      <c r="S192" s="19">
        <f t="shared" si="28"/>
        <v>0</v>
      </c>
      <c r="T192" s="19">
        <f t="shared" si="28"/>
        <v>0</v>
      </c>
      <c r="U192" s="19">
        <f t="shared" si="28"/>
        <v>0</v>
      </c>
      <c r="V192" s="19">
        <f t="shared" si="28"/>
        <v>0</v>
      </c>
      <c r="W192" s="19">
        <f t="shared" si="28"/>
        <v>0</v>
      </c>
      <c r="X192" s="19">
        <f t="shared" si="28"/>
        <v>0</v>
      </c>
      <c r="Y192" s="19">
        <f t="shared" si="28"/>
        <v>0</v>
      </c>
      <c r="Z192" s="19">
        <f t="shared" si="28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144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9">
        <f>MAX(0,O$187-$J$85-$J81)</f>
        <v>1.4957999999999991</v>
      </c>
      <c r="P193" s="19">
        <f t="shared" ref="P193:Z193" si="29">MAX(0,P$187-$J$85-$J81)</f>
        <v>1.1472000000000016</v>
      </c>
      <c r="Q193" s="19">
        <f t="shared" si="29"/>
        <v>1.5376000000000012</v>
      </c>
      <c r="R193" s="19">
        <f t="shared" si="29"/>
        <v>1.659200000000002</v>
      </c>
      <c r="S193" s="19">
        <f t="shared" si="29"/>
        <v>1.8389000000000024</v>
      </c>
      <c r="T193" s="19">
        <f t="shared" si="29"/>
        <v>2.1810000000000009</v>
      </c>
      <c r="U193" s="19">
        <f t="shared" si="29"/>
        <v>2.4577000000000027</v>
      </c>
      <c r="V193" s="19">
        <f t="shared" si="29"/>
        <v>2.4577000000000027</v>
      </c>
      <c r="W193" s="19">
        <f t="shared" si="29"/>
        <v>2.4577000000000027</v>
      </c>
      <c r="X193" s="19">
        <f t="shared" si="29"/>
        <v>2.4577000000000027</v>
      </c>
      <c r="Y193" s="19">
        <f t="shared" si="29"/>
        <v>2.4577000000000027</v>
      </c>
      <c r="Z193" s="19">
        <f t="shared" si="29"/>
        <v>2.4577000000000027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145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9">
        <f>MAX(0,O$187-$J$85-$J82)</f>
        <v>11.295799999999998</v>
      </c>
      <c r="P194" s="19">
        <f t="shared" ref="P194:Z194" si="30">MAX(0,P$187-$J$85-$J82)</f>
        <v>10.9472</v>
      </c>
      <c r="Q194" s="19">
        <f t="shared" si="30"/>
        <v>11.3376</v>
      </c>
      <c r="R194" s="19">
        <f t="shared" si="30"/>
        <v>11.459200000000001</v>
      </c>
      <c r="S194" s="19">
        <f t="shared" si="30"/>
        <v>11.638900000000001</v>
      </c>
      <c r="T194" s="19">
        <f t="shared" si="30"/>
        <v>11.981</v>
      </c>
      <c r="U194" s="19">
        <f t="shared" si="30"/>
        <v>12.257700000000002</v>
      </c>
      <c r="V194" s="19">
        <f t="shared" si="30"/>
        <v>12.257700000000002</v>
      </c>
      <c r="W194" s="19">
        <f t="shared" si="30"/>
        <v>12.257700000000002</v>
      </c>
      <c r="X194" s="19">
        <f t="shared" si="30"/>
        <v>12.257700000000002</v>
      </c>
      <c r="Y194" s="19">
        <f t="shared" si="30"/>
        <v>12.257700000000002</v>
      </c>
      <c r="Z194" s="19">
        <f t="shared" si="30"/>
        <v>12.257700000000002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146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9">
        <f>MAX(0,O$187-$J$85-$J83)</f>
        <v>21.895799999999998</v>
      </c>
      <c r="P195" s="19">
        <f t="shared" ref="P195:Z195" si="31">MAX(0,P$187-$J$85-$J83)</f>
        <v>21.5472</v>
      </c>
      <c r="Q195" s="19">
        <f t="shared" si="31"/>
        <v>21.9376</v>
      </c>
      <c r="R195" s="19">
        <f t="shared" si="31"/>
        <v>22.059200000000001</v>
      </c>
      <c r="S195" s="19">
        <f t="shared" si="31"/>
        <v>22.238900000000001</v>
      </c>
      <c r="T195" s="19">
        <f t="shared" si="31"/>
        <v>22.581</v>
      </c>
      <c r="U195" s="19">
        <f t="shared" si="31"/>
        <v>22.857700000000001</v>
      </c>
      <c r="V195" s="19">
        <f t="shared" si="31"/>
        <v>22.857700000000001</v>
      </c>
      <c r="W195" s="19">
        <f t="shared" si="31"/>
        <v>22.857700000000001</v>
      </c>
      <c r="X195" s="19">
        <f t="shared" si="31"/>
        <v>22.857700000000001</v>
      </c>
      <c r="Y195" s="19">
        <f t="shared" si="31"/>
        <v>22.857700000000001</v>
      </c>
      <c r="Z195" s="19">
        <f t="shared" si="31"/>
        <v>22.857700000000001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147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9">
        <f>MAX(0,O$187-$J$85-$J84)</f>
        <v>21.895799999999998</v>
      </c>
      <c r="P196" s="19">
        <f t="shared" ref="P196:Z196" si="32">MAX(0,P$187-$J$85-$J84)</f>
        <v>21.5472</v>
      </c>
      <c r="Q196" s="19">
        <f t="shared" si="32"/>
        <v>21.9376</v>
      </c>
      <c r="R196" s="19">
        <f t="shared" si="32"/>
        <v>22.059200000000001</v>
      </c>
      <c r="S196" s="19">
        <f t="shared" si="32"/>
        <v>22.238900000000001</v>
      </c>
      <c r="T196" s="19">
        <f t="shared" si="32"/>
        <v>22.581</v>
      </c>
      <c r="U196" s="19">
        <f t="shared" si="32"/>
        <v>22.857700000000001</v>
      </c>
      <c r="V196" s="19">
        <f t="shared" si="32"/>
        <v>22.857700000000001</v>
      </c>
      <c r="W196" s="19">
        <f t="shared" si="32"/>
        <v>22.857700000000001</v>
      </c>
      <c r="X196" s="19">
        <f t="shared" si="32"/>
        <v>22.857700000000001</v>
      </c>
      <c r="Y196" s="19">
        <f t="shared" si="32"/>
        <v>22.857700000000001</v>
      </c>
      <c r="Z196" s="19">
        <f t="shared" si="32"/>
        <v>22.857700000000001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149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t="12.4" hidden="1" x14ac:dyDescent="0.3"/>
    <row r="201" spans="1:57" ht="12.4" hidden="1" x14ac:dyDescent="0.3"/>
    <row r="202" spans="1:57" ht="12.4" hidden="1" x14ac:dyDescent="0.3"/>
    <row r="203" spans="1:57" ht="12.4" hidden="1" x14ac:dyDescent="0.3"/>
    <row r="204" spans="1:57" ht="12.4" hidden="1" x14ac:dyDescent="0.3"/>
    <row r="205" spans="1:57" ht="12.4" hidden="1" x14ac:dyDescent="0.3"/>
    <row r="206" spans="1:57" ht="12.4" hidden="1" x14ac:dyDescent="0.3"/>
    <row r="207" spans="1:57" ht="12.4" hidden="1" x14ac:dyDescent="0.3"/>
    <row r="208" spans="1:57" ht="12.4" hidden="1" x14ac:dyDescent="0.3"/>
    <row r="209" ht="12.4" hidden="1" x14ac:dyDescent="0.3"/>
    <row r="210" ht="12.4" hidden="1" x14ac:dyDescent="0.3"/>
    <row r="211" ht="12.4" hidden="1" x14ac:dyDescent="0.3"/>
    <row r="212" ht="12.4" hidden="1" x14ac:dyDescent="0.3"/>
    <row r="213" ht="12.4" hidden="1" x14ac:dyDescent="0.3"/>
  </sheetData>
  <dataValidations count="1">
    <dataValidation type="list" allowBlank="1" showInputMessage="1" showErrorMessage="1" sqref="J44:O48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65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Robinvale Transformer No.2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Base Case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Base case: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29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INDEX(Inputs!$D$52:$O$57,MATCH('Base Case'!$I$8,Inputs!$D$52:$D$57,0),MATCH('Base Case'!$D9,Inputs!$D$52:$O$52,0))</f>
        <v>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INDEX(Inputs!$D$52:$O$57,MATCH('Base Case'!$I$8,Inputs!$D$52:$D$57,0),MATCH('Base Case'!$D10,Inputs!$D$52:$O$52,0))</f>
        <v>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INDEX(Inputs!$D$52:$O$57,MATCH('Base Case'!$I$8,Inputs!$D$52:$D$57,0),MATCH('Base Case'!$D11,Inputs!$D$52:$O$52,0))</f>
        <v>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INDEX(Inputs!$D$52:$O$57,MATCH('Base Case'!$I$8,Inputs!$D$52:$D$57,0),MATCH('Base Case'!$D12,Inputs!$D$52:$O$52,0))</f>
        <v>1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INDEX(Inputs!$D$52:$O$57,MATCH('Base Case'!$I$8,Inputs!$D$52:$D$57,0),MATCH('Base Case'!$D13,Inputs!$D$52:$O$52,0))</f>
        <v>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INDEX(Inputs!$D$52:$O$57,MATCH('Base Case'!$I$8,Inputs!$D$52:$D$57,0),MATCH('Base Case'!$D14,Inputs!$D$52:$O$52,0))</f>
        <v>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26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118"/>
      <c r="E17" s="51"/>
      <c r="F17" s="51"/>
      <c r="G17" s="51"/>
      <c r="H17" s="51"/>
      <c r="I17" s="62">
        <f>INDEX(Inputs!$J$64:$J$66,MATCH('Base Case'!J17,Inputs!$D$64:$D$66,0))</f>
        <v>3</v>
      </c>
      <c r="J17" s="100" t="s">
        <v>41</v>
      </c>
      <c r="K17" s="101" t="s">
        <v>197</v>
      </c>
      <c r="L17" s="102"/>
      <c r="M17" s="102"/>
      <c r="N17" s="103"/>
      <c r="O17" s="63">
        <f>O107</f>
        <v>17701626.192512814</v>
      </c>
      <c r="P17" s="64">
        <v>0</v>
      </c>
      <c r="Q17" s="64">
        <v>0</v>
      </c>
      <c r="R17" s="64">
        <v>0</v>
      </c>
      <c r="S17" s="65">
        <v>0</v>
      </c>
      <c r="T17" s="66">
        <v>0.2</v>
      </c>
      <c r="U17" s="63">
        <f>SUM(O17:S17)*T17</f>
        <v>3540325.238502563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118"/>
      <c r="E18" s="51"/>
      <c r="F18" s="51"/>
      <c r="G18" s="51"/>
      <c r="H18" s="51"/>
      <c r="I18" s="68">
        <f>INDEX(Inputs!$J$64:$J$66,MATCH('Base Case'!J18,Inputs!$D$64:$D$66,0))</f>
        <v>3</v>
      </c>
      <c r="J18" s="104" t="s">
        <v>41</v>
      </c>
      <c r="K18" s="105" t="s">
        <v>128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6"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118"/>
      <c r="E19" s="51"/>
      <c r="F19" s="51"/>
      <c r="G19" s="51"/>
      <c r="H19" s="51"/>
      <c r="I19" s="68">
        <f>INDEX(Inputs!$J$64:$J$66,MATCH('Base Case'!J19,Inputs!$D$64:$D$66,0))</f>
        <v>3</v>
      </c>
      <c r="J19" s="104" t="s">
        <v>41</v>
      </c>
      <c r="K19" s="105" t="s">
        <v>198</v>
      </c>
      <c r="L19" s="106"/>
      <c r="M19" s="106"/>
      <c r="N19" s="107"/>
      <c r="O19" s="69">
        <v>0</v>
      </c>
      <c r="P19" s="71">
        <v>0</v>
      </c>
      <c r="Q19" s="70">
        <f>Inputs!$M$161*$I$11</f>
        <v>16594544.54764566</v>
      </c>
      <c r="R19" s="71">
        <v>0</v>
      </c>
      <c r="S19" s="72">
        <v>0</v>
      </c>
      <c r="T19" s="76">
        <v>0.2</v>
      </c>
      <c r="U19" s="74">
        <f t="shared" si="0"/>
        <v>3318908.9095291323</v>
      </c>
      <c r="V19" s="75">
        <f t="shared" si="1"/>
        <v>3318908.9095291323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118"/>
      <c r="E20" s="51"/>
      <c r="F20" s="51"/>
      <c r="G20" s="51"/>
      <c r="H20" s="51"/>
      <c r="I20" s="68">
        <f>INDEX(Inputs!$J$64:$J$66,MATCH('Base Case'!J20,Inputs!$D$64:$D$66,0))</f>
        <v>3</v>
      </c>
      <c r="J20" s="104" t="s">
        <v>41</v>
      </c>
      <c r="K20" s="105" t="s">
        <v>199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11651570.123893805</v>
      </c>
      <c r="S20" s="72">
        <v>0</v>
      </c>
      <c r="T20" s="76">
        <v>0.2</v>
      </c>
      <c r="U20" s="74">
        <f t="shared" si="0"/>
        <v>2330314.024778761</v>
      </c>
      <c r="V20" s="75">
        <f t="shared" si="1"/>
        <v>2330314.024778761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118"/>
      <c r="E21" s="51"/>
      <c r="F21" s="51"/>
      <c r="G21" s="51"/>
      <c r="H21" s="51"/>
      <c r="I21" s="68">
        <f>INDEX(Inputs!$J$64:$J$66,MATCH('Base Case'!J21,Inputs!$D$64:$D$66,0))</f>
        <v>3</v>
      </c>
      <c r="J21" s="104" t="s">
        <v>41</v>
      </c>
      <c r="K21" s="105" t="s">
        <v>62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2571967.0088495575</v>
      </c>
      <c r="T21" s="76">
        <v>0.2</v>
      </c>
      <c r="U21" s="74">
        <f t="shared" si="0"/>
        <v>514393.40176991152</v>
      </c>
      <c r="V21" s="75">
        <f t="shared" si="1"/>
        <v>514393.40176991152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118"/>
      <c r="E22" s="51"/>
      <c r="F22" s="51"/>
      <c r="G22" s="51"/>
      <c r="H22" s="51"/>
      <c r="I22" s="68">
        <f>INDEX(Inputs!$J$64:$J$66,MATCH('Base Case'!J22,Inputs!$D$64:$D$66,0))</f>
        <v>3</v>
      </c>
      <c r="J22" s="104" t="s">
        <v>41</v>
      </c>
      <c r="K22" s="105" t="s">
        <v>161</v>
      </c>
      <c r="L22" s="106"/>
      <c r="M22" s="106"/>
      <c r="N22" s="107"/>
      <c r="O22" s="69">
        <v>0</v>
      </c>
      <c r="P22" s="71">
        <v>0</v>
      </c>
      <c r="Q22" s="70">
        <f>Inputs!$K$97*$I$11</f>
        <v>51812.389380530978</v>
      </c>
      <c r="R22" s="71">
        <v>0</v>
      </c>
      <c r="S22" s="72">
        <v>0</v>
      </c>
      <c r="T22" s="76">
        <v>0.2</v>
      </c>
      <c r="U22" s="74">
        <f t="shared" si="0"/>
        <v>10362.477876106197</v>
      </c>
      <c r="V22" s="75">
        <f t="shared" si="1"/>
        <v>10362.477876106197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118"/>
      <c r="E23" s="51"/>
      <c r="F23" s="51"/>
      <c r="G23" s="51"/>
      <c r="H23" s="51"/>
      <c r="I23" s="68">
        <f>INDEX(Inputs!$J$64:$J$66,MATCH('Base Case'!J23,Inputs!$D$64:$D$66,0))</f>
        <v>3</v>
      </c>
      <c r="J23" s="104" t="s">
        <v>41</v>
      </c>
      <c r="K23" s="105" t="s">
        <v>162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6"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118"/>
      <c r="E24" s="51"/>
      <c r="F24" s="51"/>
      <c r="G24" s="51"/>
      <c r="H24" s="51"/>
      <c r="I24" s="68">
        <f>INDEX(Inputs!$J$64:$J$66,MATCH('Base Case'!J24,Inputs!$D$64:$D$66,0))</f>
        <v>3</v>
      </c>
      <c r="J24" s="104" t="s">
        <v>41</v>
      </c>
      <c r="K24" s="105" t="s">
        <v>164</v>
      </c>
      <c r="L24" s="106"/>
      <c r="M24" s="106"/>
      <c r="N24" s="107"/>
      <c r="O24" s="69">
        <v>0</v>
      </c>
      <c r="P24" s="114">
        <v>0</v>
      </c>
      <c r="Q24" s="114">
        <v>0</v>
      </c>
      <c r="R24" s="114">
        <v>0</v>
      </c>
      <c r="S24" s="119">
        <v>0</v>
      </c>
      <c r="T24" s="120"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118"/>
      <c r="E25" s="51"/>
      <c r="F25" s="51"/>
      <c r="G25" s="51"/>
      <c r="H25" s="51"/>
      <c r="I25" s="68">
        <f>INDEX(Inputs!$J$64:$J$66,MATCH('Base Case'!J25,Inputs!$D$64:$D$66,0))</f>
        <v>3</v>
      </c>
      <c r="J25" s="104" t="s">
        <v>41</v>
      </c>
      <c r="K25" s="105" t="s">
        <v>163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6"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118"/>
      <c r="E26" s="51"/>
      <c r="F26" s="51"/>
      <c r="G26" s="51"/>
      <c r="H26" s="51"/>
      <c r="I26" s="78">
        <f>INDEX(Inputs!$J$64:$J$66,MATCH('Base Case'!J26,Inputs!$D$64:$D$66,0))</f>
        <v>3</v>
      </c>
      <c r="J26" s="108" t="s">
        <v>41</v>
      </c>
      <c r="K26" s="109" t="s">
        <v>163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82"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INDEX(Inputs!$J$64:$J$66,MATCH('Base Case'!J27,Inputs!$D$64:$D$66,0))</f>
        <v>2</v>
      </c>
      <c r="J27" s="100" t="s">
        <v>40</v>
      </c>
      <c r="K27" s="101" t="s">
        <v>197</v>
      </c>
      <c r="L27" s="102"/>
      <c r="M27" s="102"/>
      <c r="N27" s="103"/>
      <c r="O27" s="63">
        <f>O104</f>
        <v>967421.7871467825</v>
      </c>
      <c r="P27" s="64">
        <v>0</v>
      </c>
      <c r="Q27" s="64">
        <v>0</v>
      </c>
      <c r="R27" s="64">
        <v>0</v>
      </c>
      <c r="S27" s="65">
        <v>0</v>
      </c>
      <c r="T27" s="115">
        <f>1-T17-T34</f>
        <v>0.76</v>
      </c>
      <c r="U27" s="63">
        <f t="shared" si="0"/>
        <v>735240.55823155469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INDEX(Inputs!$J$64:$J$66,MATCH('Base Case'!J28,Inputs!$D$64:$D$66,0))</f>
        <v>2</v>
      </c>
      <c r="J28" s="104" t="s">
        <v>40</v>
      </c>
      <c r="K28" s="105" t="s">
        <v>128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1-T18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INDEX(Inputs!$J$64:$J$66,MATCH('Base Case'!J29,Inputs!$D$64:$D$66,0))</f>
        <v>2</v>
      </c>
      <c r="J29" s="104" t="s">
        <v>40</v>
      </c>
      <c r="K29" s="105" t="s">
        <v>198</v>
      </c>
      <c r="L29" s="106"/>
      <c r="M29" s="106"/>
      <c r="N29" s="107"/>
      <c r="O29" s="69">
        <v>0</v>
      </c>
      <c r="P29" s="71">
        <v>0</v>
      </c>
      <c r="Q29" s="70">
        <f>Inputs!$K$161*$I$11</f>
        <v>1116904.2283456004</v>
      </c>
      <c r="R29" s="71">
        <v>0</v>
      </c>
      <c r="S29" s="72">
        <v>0</v>
      </c>
      <c r="T29" s="76">
        <v>0.8</v>
      </c>
      <c r="U29" s="74">
        <f t="shared" si="0"/>
        <v>893523.38267648034</v>
      </c>
      <c r="V29" s="75">
        <f t="shared" si="1"/>
        <v>893523.38267648034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INDEX(Inputs!$J$64:$J$66,MATCH('Base Case'!J30,Inputs!$D$64:$D$66,0))</f>
        <v>2</v>
      </c>
      <c r="J30" s="104" t="s">
        <v>40</v>
      </c>
      <c r="K30" s="105" t="s">
        <v>199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3883856.7079646019</v>
      </c>
      <c r="S30" s="72">
        <v>0</v>
      </c>
      <c r="T30" s="76">
        <v>0.8</v>
      </c>
      <c r="U30" s="74">
        <f t="shared" si="0"/>
        <v>3107085.3663716819</v>
      </c>
      <c r="V30" s="75">
        <f t="shared" si="1"/>
        <v>3107085.3663716819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INDEX(Inputs!$J$64:$J$66,MATCH('Base Case'!J31,Inputs!$D$64:$D$66,0))</f>
        <v>2</v>
      </c>
      <c r="J31" s="104" t="s">
        <v>40</v>
      </c>
      <c r="K31" s="105" t="s">
        <v>62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866510.40000000014</v>
      </c>
      <c r="T31" s="76">
        <v>0.8</v>
      </c>
      <c r="U31" s="74">
        <f t="shared" si="0"/>
        <v>693208.32000000018</v>
      </c>
      <c r="V31" s="75">
        <f t="shared" si="1"/>
        <v>693208.32000000018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INDEX(Inputs!$J$64:$J$66,MATCH('Base Case'!J32,Inputs!$D$64:$D$66,0))</f>
        <v>2</v>
      </c>
      <c r="J32" s="104" t="s">
        <v>40</v>
      </c>
      <c r="K32" s="105" t="s">
        <v>161</v>
      </c>
      <c r="L32" s="106"/>
      <c r="M32" s="106"/>
      <c r="N32" s="107"/>
      <c r="O32" s="69">
        <v>0</v>
      </c>
      <c r="P32" s="71">
        <v>0</v>
      </c>
      <c r="Q32" s="70">
        <f>Inputs!$K$97*$I$11</f>
        <v>51812.389380530978</v>
      </c>
      <c r="R32" s="71">
        <v>0</v>
      </c>
      <c r="S32" s="72">
        <v>0</v>
      </c>
      <c r="T32" s="76">
        <v>0.8</v>
      </c>
      <c r="U32" s="74">
        <f t="shared" si="0"/>
        <v>41449.911504424788</v>
      </c>
      <c r="V32" s="75">
        <f t="shared" si="1"/>
        <v>41449.911504424788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INDEX(Inputs!$J$64:$J$66,MATCH('Base Case'!J33,Inputs!$D$64:$D$66,0))</f>
        <v>2</v>
      </c>
      <c r="J33" s="104" t="s">
        <v>40</v>
      </c>
      <c r="K33" s="105" t="s">
        <v>162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6"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INDEX(Inputs!$J$64:$J$66,MATCH('Base Case'!J34,Inputs!$D$64:$D$66,0))</f>
        <v>2</v>
      </c>
      <c r="J34" s="104" t="s">
        <v>40</v>
      </c>
      <c r="K34" s="105" t="s">
        <v>164</v>
      </c>
      <c r="L34" s="106"/>
      <c r="M34" s="106"/>
      <c r="N34" s="107"/>
      <c r="O34" s="74">
        <f>O105</f>
        <v>7305657.8575027613</v>
      </c>
      <c r="P34" s="71">
        <v>0</v>
      </c>
      <c r="Q34" s="70">
        <f>Inputs!$L$161*$I$11</f>
        <v>4314280.750869236</v>
      </c>
      <c r="R34" s="71">
        <v>0</v>
      </c>
      <c r="S34" s="72">
        <v>0</v>
      </c>
      <c r="T34" s="76">
        <v>0.04</v>
      </c>
      <c r="U34" s="74">
        <f t="shared" si="0"/>
        <v>464797.5443348799</v>
      </c>
      <c r="V34" s="75">
        <f t="shared" si="1"/>
        <v>172571.23003476945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INDEX(Inputs!$J$64:$J$66,MATCH('Base Case'!J35,Inputs!$D$64:$D$66,0))</f>
        <v>2</v>
      </c>
      <c r="J35" s="104" t="s">
        <v>40</v>
      </c>
      <c r="K35" s="105" t="s">
        <v>163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6"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INDEX(Inputs!$J$64:$J$66,MATCH('Base Case'!J36,Inputs!$D$64:$D$66,0))</f>
        <v>2</v>
      </c>
      <c r="J36" s="108" t="s">
        <v>40</v>
      </c>
      <c r="K36" s="109" t="s">
        <v>163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82"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INDEX(Inputs!$J$64:$J$66,MATCH('Base Case'!J37,Inputs!$D$64:$D$66,0))</f>
        <v>1</v>
      </c>
      <c r="J37" s="100" t="s">
        <v>39</v>
      </c>
      <c r="K37" s="101" t="s">
        <v>197</v>
      </c>
      <c r="L37" s="102"/>
      <c r="M37" s="102"/>
      <c r="N37" s="103"/>
      <c r="O37" s="63">
        <f>O103</f>
        <v>967421.7871467825</v>
      </c>
      <c r="P37" s="64">
        <v>0</v>
      </c>
      <c r="Q37" s="64">
        <v>0</v>
      </c>
      <c r="R37" s="64">
        <v>0</v>
      </c>
      <c r="S37" s="65">
        <v>0</v>
      </c>
      <c r="T37" s="115">
        <f>1-T44</f>
        <v>0.96</v>
      </c>
      <c r="U37" s="63">
        <f t="shared" si="0"/>
        <v>928724.91566091112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INDEX(Inputs!$J$64:$J$66,MATCH('Base Case'!J38,Inputs!$D$64:$D$66,0))</f>
        <v>1</v>
      </c>
      <c r="J38" s="104" t="s">
        <v>39</v>
      </c>
      <c r="K38" s="105" t="s">
        <v>128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6"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INDEX(Inputs!$J$64:$J$66,MATCH('Base Case'!J39,Inputs!$D$64:$D$66,0))</f>
        <v>1</v>
      </c>
      <c r="J39" s="104" t="s">
        <v>39</v>
      </c>
      <c r="K39" s="105" t="s">
        <v>198</v>
      </c>
      <c r="L39" s="106"/>
      <c r="M39" s="106"/>
      <c r="N39" s="107"/>
      <c r="O39" s="69">
        <v>0</v>
      </c>
      <c r="P39" s="71">
        <v>0</v>
      </c>
      <c r="Q39" s="70">
        <f>Inputs!$J$161*$I$11</f>
        <v>268279.04698667797</v>
      </c>
      <c r="R39" s="71">
        <v>0</v>
      </c>
      <c r="S39" s="72">
        <v>0</v>
      </c>
      <c r="T39" s="76">
        <v>1</v>
      </c>
      <c r="U39" s="74">
        <f t="shared" si="0"/>
        <v>268279.04698667797</v>
      </c>
      <c r="V39" s="75">
        <f t="shared" si="1"/>
        <v>268279.04698667797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INDEX(Inputs!$J$64:$J$66,MATCH('Base Case'!J40,Inputs!$D$64:$D$66,0))</f>
        <v>1</v>
      </c>
      <c r="J40" s="104" t="s">
        <v>39</v>
      </c>
      <c r="K40" s="105" t="s">
        <v>199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33470.803539823013</v>
      </c>
      <c r="S40" s="72">
        <v>0</v>
      </c>
      <c r="T40" s="76">
        <v>1</v>
      </c>
      <c r="U40" s="74">
        <f t="shared" si="0"/>
        <v>33470.803539823013</v>
      </c>
      <c r="V40" s="75">
        <f t="shared" si="1"/>
        <v>33470.803539823013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INDEX(Inputs!$J$64:$J$66,MATCH('Base Case'!J41,Inputs!$D$64:$D$66,0))</f>
        <v>1</v>
      </c>
      <c r="J41" s="104" t="s">
        <v>39</v>
      </c>
      <c r="K41" s="105" t="s">
        <v>62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63521.989380530969</v>
      </c>
      <c r="T41" s="76">
        <v>1</v>
      </c>
      <c r="U41" s="74">
        <f t="shared" si="0"/>
        <v>63521.989380530969</v>
      </c>
      <c r="V41" s="75">
        <f t="shared" si="1"/>
        <v>63521.989380530969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INDEX(Inputs!$J$64:$J$66,MATCH('Base Case'!J42,Inputs!$D$64:$D$66,0))</f>
        <v>1</v>
      </c>
      <c r="J42" s="104" t="s">
        <v>39</v>
      </c>
      <c r="K42" s="105" t="s">
        <v>161</v>
      </c>
      <c r="L42" s="106"/>
      <c r="M42" s="106"/>
      <c r="N42" s="107"/>
      <c r="O42" s="69">
        <v>0</v>
      </c>
      <c r="P42" s="71">
        <v>0</v>
      </c>
      <c r="Q42" s="70">
        <f>Inputs!$K$97*$I$11</f>
        <v>51812.389380530978</v>
      </c>
      <c r="R42" s="71">
        <v>0</v>
      </c>
      <c r="S42" s="72">
        <v>0</v>
      </c>
      <c r="T42" s="76">
        <v>1</v>
      </c>
      <c r="U42" s="74">
        <f t="shared" si="0"/>
        <v>51812.389380530978</v>
      </c>
      <c r="V42" s="75">
        <f t="shared" si="1"/>
        <v>51812.389380530978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INDEX(Inputs!$J$64:$J$66,MATCH('Base Case'!J43,Inputs!$D$64:$D$66,0))</f>
        <v>1</v>
      </c>
      <c r="J43" s="104" t="s">
        <v>39</v>
      </c>
      <c r="K43" s="105" t="s">
        <v>162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6"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INDEX(Inputs!$J$64:$J$66,MATCH('Base Case'!J44,Inputs!$D$64:$D$66,0))</f>
        <v>1</v>
      </c>
      <c r="J44" s="104" t="s">
        <v>39</v>
      </c>
      <c r="K44" s="105" t="s">
        <v>164</v>
      </c>
      <c r="L44" s="106"/>
      <c r="M44" s="106"/>
      <c r="N44" s="107"/>
      <c r="O44" s="74">
        <f>O105</f>
        <v>7305657.8575027613</v>
      </c>
      <c r="P44" s="71">
        <v>0</v>
      </c>
      <c r="Q44" s="70">
        <f>SUM(Inputs!$J$161,Inputs!$L$161*(Inputs!$J$128/Inputs!$L$128))*$I$11</f>
        <v>1124287.1324766057</v>
      </c>
      <c r="R44" s="71">
        <v>0</v>
      </c>
      <c r="S44" s="72">
        <v>0</v>
      </c>
      <c r="T44" s="73">
        <f>T34</f>
        <v>0.04</v>
      </c>
      <c r="U44" s="74">
        <f t="shared" si="0"/>
        <v>337197.7995991747</v>
      </c>
      <c r="V44" s="75">
        <f t="shared" si="1"/>
        <v>44971.485299064232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INDEX(Inputs!$J$64:$J$66,MATCH('Base Case'!J45,Inputs!$D$64:$D$66,0))</f>
        <v>1</v>
      </c>
      <c r="J45" s="104" t="s">
        <v>39</v>
      </c>
      <c r="K45" s="105" t="s">
        <v>163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6"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INDEX(Inputs!$J$64:$J$66,MATCH('Base Case'!J46,Inputs!$D$64:$D$66,0))</f>
        <v>1</v>
      </c>
      <c r="J46" s="108" t="s">
        <v>39</v>
      </c>
      <c r="K46" s="109" t="s">
        <v>163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82"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INDEX(Inputs!$J$64:$J$66,MATCH('Base Case'!J49,Inputs!$D$64:$D$66,0))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8273079.6446495438</v>
      </c>
      <c r="P49" s="70">
        <f t="shared" ref="P49:V49" si="2">SUMIF($I$17:$I$46,$I49,P$17:P$46)</f>
        <v>8261.6387603969597</v>
      </c>
      <c r="Q49" s="70">
        <f t="shared" si="2"/>
        <v>1444378.5688438145</v>
      </c>
      <c r="R49" s="70">
        <f t="shared" si="2"/>
        <v>33470.803539823013</v>
      </c>
      <c r="S49" s="70">
        <f t="shared" si="2"/>
        <v>63521.989380530969</v>
      </c>
      <c r="T49" s="56">
        <f>U49/SUM(O49:S49)</f>
        <v>0.17217938103268901</v>
      </c>
      <c r="U49" s="70">
        <f t="shared" si="2"/>
        <v>1691268.5833080458</v>
      </c>
      <c r="V49" s="70">
        <f t="shared" si="2"/>
        <v>470317.35334702412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INDEX(Inputs!$J$64:$J$66,MATCH('Base Case'!J50,Inputs!$D$64:$D$66,0))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8273079.6446495438</v>
      </c>
      <c r="P50" s="70">
        <f t="shared" si="3"/>
        <v>28915.735661389357</v>
      </c>
      <c r="Q50" s="70">
        <f t="shared" si="3"/>
        <v>5482997.3685953673</v>
      </c>
      <c r="R50" s="70">
        <f t="shared" si="3"/>
        <v>3883856.7079646019</v>
      </c>
      <c r="S50" s="70">
        <f t="shared" si="3"/>
        <v>866510.40000000014</v>
      </c>
      <c r="T50" s="56">
        <f t="shared" ref="T50:T51" si="4">U50/SUM(O50:S50)</f>
        <v>0.32146328518350248</v>
      </c>
      <c r="U50" s="70">
        <f t="shared" si="3"/>
        <v>5958437.6716481345</v>
      </c>
      <c r="V50" s="70">
        <f t="shared" si="3"/>
        <v>4930970.7991164681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INDEX(Inputs!$J$64:$J$66,MATCH('Base Case'!J51,Inputs!$D$64:$D$66,0))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17701626.192512814</v>
      </c>
      <c r="P51" s="70">
        <f t="shared" si="3"/>
        <v>28915.735661389357</v>
      </c>
      <c r="Q51" s="70">
        <f t="shared" si="3"/>
        <v>16646356.937026192</v>
      </c>
      <c r="R51" s="70">
        <f t="shared" si="3"/>
        <v>11651570.123893805</v>
      </c>
      <c r="S51" s="70">
        <f t="shared" si="3"/>
        <v>2571967.0088495575</v>
      </c>
      <c r="T51" s="56">
        <f t="shared" si="4"/>
        <v>0.20000000000000004</v>
      </c>
      <c r="U51" s="70">
        <f t="shared" si="3"/>
        <v>9720087.1995887533</v>
      </c>
      <c r="V51" s="70">
        <f t="shared" si="3"/>
        <v>6179761.9610861894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17369793.454544932</v>
      </c>
      <c r="V52" s="88">
        <f>SUM(V49:V51)</f>
        <v>11581050.113549681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Base case: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31.5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20.399999999999999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10.6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ht="13.15" x14ac:dyDescent="0.4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ht="13.15" x14ac:dyDescent="0.4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23.803999999999998</v>
      </c>
      <c r="P69" s="70">
        <f>Inputs!P185*$I$12</f>
        <v>23.657</v>
      </c>
      <c r="Q69" s="70">
        <f>Inputs!Q185*$I$12</f>
        <v>23.997</v>
      </c>
      <c r="R69" s="70">
        <f>Inputs!R185*$I$12</f>
        <v>23.972999999999999</v>
      </c>
      <c r="S69" s="70">
        <f>Inputs!S185*$I$12</f>
        <v>23.928000000000001</v>
      </c>
      <c r="T69" s="70">
        <f>Inputs!T185*$I$12</f>
        <v>24.87</v>
      </c>
      <c r="U69" s="70">
        <f>Inputs!U185*$I$12</f>
        <v>25.027000000000001</v>
      </c>
      <c r="V69" s="70">
        <f>Inputs!V185*$I$12</f>
        <v>25.027000000000001</v>
      </c>
      <c r="W69" s="70">
        <f>Inputs!W185*$I$12</f>
        <v>25.027000000000001</v>
      </c>
      <c r="X69" s="70">
        <f>Inputs!X185*$I$12</f>
        <v>25.027000000000001</v>
      </c>
      <c r="Y69" s="70">
        <f>Inputs!Y185*$I$12</f>
        <v>25.027000000000001</v>
      </c>
      <c r="Z69" s="70">
        <f>Inputs!Z185*$I$12</f>
        <v>25.027000000000001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ht="13.15" x14ac:dyDescent="0.4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21.077999999999999</v>
      </c>
      <c r="P70" s="70">
        <f>Inputs!P186*$I$12</f>
        <v>20.643000000000001</v>
      </c>
      <c r="Q70" s="70">
        <f>Inputs!Q186*$I$12</f>
        <v>21.055</v>
      </c>
      <c r="R70" s="70">
        <f>Inputs!R186*$I$12</f>
        <v>21.239000000000001</v>
      </c>
      <c r="S70" s="70">
        <f>Inputs!S186*$I$12</f>
        <v>21.515000000000001</v>
      </c>
      <c r="T70" s="70">
        <f>Inputs!T186*$I$12</f>
        <v>21.6</v>
      </c>
      <c r="U70" s="70">
        <f>Inputs!U186*$I$12</f>
        <v>21.928000000000001</v>
      </c>
      <c r="V70" s="70">
        <f>Inputs!V186*$I$12</f>
        <v>21.928000000000001</v>
      </c>
      <c r="W70" s="70">
        <f>Inputs!W186*$I$12</f>
        <v>21.928000000000001</v>
      </c>
      <c r="X70" s="70">
        <f>Inputs!X186*$I$12</f>
        <v>21.928000000000001</v>
      </c>
      <c r="Y70" s="70">
        <f>Inputs!Y186*$I$12</f>
        <v>21.928000000000001</v>
      </c>
      <c r="Z70" s="70">
        <f>Inputs!Z186*$I$12</f>
        <v>21.928000000000001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ht="13.15" x14ac:dyDescent="0.4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21.895799999999998</v>
      </c>
      <c r="P71" s="70">
        <f>Inputs!P187*$I$12</f>
        <v>21.5472</v>
      </c>
      <c r="Q71" s="70">
        <f>Inputs!Q187*$I$12</f>
        <v>21.9376</v>
      </c>
      <c r="R71" s="70">
        <f>Inputs!R187*$I$12</f>
        <v>22.059200000000001</v>
      </c>
      <c r="S71" s="70">
        <f>Inputs!S187*$I$12</f>
        <v>22.238900000000001</v>
      </c>
      <c r="T71" s="70">
        <f>Inputs!T187*$I$12</f>
        <v>22.581</v>
      </c>
      <c r="U71" s="70">
        <f>Inputs!U187*$I$12</f>
        <v>22.857700000000001</v>
      </c>
      <c r="V71" s="70">
        <f>Inputs!V187*$I$12</f>
        <v>22.857700000000001</v>
      </c>
      <c r="W71" s="70">
        <f>Inputs!W187*$I$12</f>
        <v>22.857700000000001</v>
      </c>
      <c r="X71" s="70">
        <f>Inputs!X187*$I$12</f>
        <v>22.857700000000001</v>
      </c>
      <c r="Y71" s="70">
        <f>Inputs!Y187*$I$12</f>
        <v>22.857700000000001</v>
      </c>
      <c r="Z71" s="70">
        <f>Inputs!Z187*$I$12</f>
        <v>22.857700000000001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ht="13.15" x14ac:dyDescent="0.4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ht="13.15" x14ac:dyDescent="0.4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ht="13.15" x14ac:dyDescent="0.4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ht="13.15" x14ac:dyDescent="0.4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76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1.4957999999999991</v>
      </c>
      <c r="P77" s="70">
        <f t="shared" ref="P77:Z77" si="6">MAX(0,P$71-$J$64-$J60)</f>
        <v>1.1472000000000016</v>
      </c>
      <c r="Q77" s="70">
        <f t="shared" si="6"/>
        <v>1.5376000000000012</v>
      </c>
      <c r="R77" s="70">
        <f t="shared" si="6"/>
        <v>1.659200000000002</v>
      </c>
      <c r="S77" s="70">
        <f t="shared" si="6"/>
        <v>1.8389000000000024</v>
      </c>
      <c r="T77" s="70">
        <f t="shared" si="6"/>
        <v>2.1810000000000009</v>
      </c>
      <c r="U77" s="70">
        <f t="shared" si="6"/>
        <v>2.4577000000000027</v>
      </c>
      <c r="V77" s="70">
        <f t="shared" si="6"/>
        <v>2.4577000000000027</v>
      </c>
      <c r="W77" s="70">
        <f t="shared" si="6"/>
        <v>2.4577000000000027</v>
      </c>
      <c r="X77" s="70">
        <f t="shared" si="6"/>
        <v>2.4577000000000027</v>
      </c>
      <c r="Y77" s="70">
        <f t="shared" si="6"/>
        <v>2.4577000000000027</v>
      </c>
      <c r="Z77" s="70">
        <f t="shared" si="6"/>
        <v>2.4577000000000027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11.295799999999998</v>
      </c>
      <c r="P78" s="70">
        <f t="shared" ref="P78:Z78" si="7">MAX(0,P$71-$J$64-$J61)</f>
        <v>10.9472</v>
      </c>
      <c r="Q78" s="70">
        <f t="shared" si="7"/>
        <v>11.3376</v>
      </c>
      <c r="R78" s="70">
        <f t="shared" si="7"/>
        <v>11.459200000000001</v>
      </c>
      <c r="S78" s="70">
        <f t="shared" si="7"/>
        <v>11.638900000000001</v>
      </c>
      <c r="T78" s="70">
        <f t="shared" si="7"/>
        <v>11.981</v>
      </c>
      <c r="U78" s="70">
        <f t="shared" si="7"/>
        <v>12.257700000000002</v>
      </c>
      <c r="V78" s="70">
        <f t="shared" si="7"/>
        <v>12.257700000000002</v>
      </c>
      <c r="W78" s="70">
        <f t="shared" si="7"/>
        <v>12.257700000000002</v>
      </c>
      <c r="X78" s="70">
        <f t="shared" si="7"/>
        <v>12.257700000000002</v>
      </c>
      <c r="Y78" s="70">
        <f t="shared" si="7"/>
        <v>12.257700000000002</v>
      </c>
      <c r="Z78" s="70">
        <f t="shared" si="7"/>
        <v>12.257700000000002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21.895799999999998</v>
      </c>
      <c r="P79" s="70">
        <f t="shared" ref="P79:Z79" si="8">MAX(0,P$71-$J$64-$J62)</f>
        <v>21.5472</v>
      </c>
      <c r="Q79" s="70">
        <f t="shared" si="8"/>
        <v>21.9376</v>
      </c>
      <c r="R79" s="70">
        <f t="shared" si="8"/>
        <v>22.059200000000001</v>
      </c>
      <c r="S79" s="70">
        <f t="shared" si="8"/>
        <v>22.238900000000001</v>
      </c>
      <c r="T79" s="70">
        <f t="shared" si="8"/>
        <v>22.581</v>
      </c>
      <c r="U79" s="70">
        <f t="shared" si="8"/>
        <v>22.857700000000001</v>
      </c>
      <c r="V79" s="70">
        <f t="shared" si="8"/>
        <v>22.857700000000001</v>
      </c>
      <c r="W79" s="70">
        <f t="shared" si="8"/>
        <v>22.857700000000001</v>
      </c>
      <c r="X79" s="70">
        <f t="shared" si="8"/>
        <v>22.857700000000001</v>
      </c>
      <c r="Y79" s="70">
        <f t="shared" si="8"/>
        <v>22.857700000000001</v>
      </c>
      <c r="Z79" s="70">
        <f t="shared" si="8"/>
        <v>22.857700000000001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21.895799999999998</v>
      </c>
      <c r="P80" s="70">
        <f t="shared" ref="P80:Z80" si="9">MAX(0,P$71-$J$64-$J63)</f>
        <v>21.5472</v>
      </c>
      <c r="Q80" s="70">
        <f t="shared" si="9"/>
        <v>21.9376</v>
      </c>
      <c r="R80" s="70">
        <f t="shared" si="9"/>
        <v>22.059200000000001</v>
      </c>
      <c r="S80" s="70">
        <f t="shared" si="9"/>
        <v>22.238900000000001</v>
      </c>
      <c r="T80" s="70">
        <f t="shared" si="9"/>
        <v>22.581</v>
      </c>
      <c r="U80" s="70">
        <f t="shared" si="9"/>
        <v>22.857700000000001</v>
      </c>
      <c r="V80" s="70">
        <f t="shared" si="9"/>
        <v>22.857700000000001</v>
      </c>
      <c r="W80" s="70">
        <f t="shared" si="9"/>
        <v>22.857700000000001</v>
      </c>
      <c r="X80" s="70">
        <f t="shared" si="9"/>
        <v>22.857700000000001</v>
      </c>
      <c r="Y80" s="70">
        <f t="shared" si="9"/>
        <v>22.857700000000001</v>
      </c>
      <c r="Z80" s="70">
        <f t="shared" si="9"/>
        <v>22.857700000000001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193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194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Days to connect generators, plus 1 day lead time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2</v>
      </c>
      <c r="P88" s="70">
        <f>ROUNDUP(ROUNDUP(P77/Inputs!$J$114,0)/(Inputs!$J$118*Inputs!$J$115*Inputs!$J$114),0)+1</f>
        <v>2</v>
      </c>
      <c r="Q88" s="70">
        <f>ROUNDUP(ROUNDUP(Q77/Inputs!$J$114,0)/(Inputs!$J$118*Inputs!$J$115*Inputs!$J$114),0)+1</f>
        <v>2</v>
      </c>
      <c r="R88" s="70">
        <f>ROUNDUP(ROUNDUP(R77/Inputs!$J$114,0)/(Inputs!$J$118*Inputs!$J$115*Inputs!$J$114),0)+1</f>
        <v>2</v>
      </c>
      <c r="S88" s="70">
        <f>ROUNDUP(ROUNDUP(S77/Inputs!$J$114,0)/(Inputs!$J$118*Inputs!$J$115*Inputs!$J$114),0)+1</f>
        <v>2</v>
      </c>
      <c r="T88" s="70">
        <f>ROUNDUP(ROUNDUP(T77/Inputs!$J$114,0)/(Inputs!$J$118*Inputs!$J$115*Inputs!$J$114),0)+1</f>
        <v>2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Adjustment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2</v>
      </c>
      <c r="P90" s="93">
        <f t="shared" ref="P90:Z90" si="14">IFERROR((P88-P89)/P88,0)*MAX(0,P88)</f>
        <v>2</v>
      </c>
      <c r="Q90" s="93">
        <f t="shared" si="14"/>
        <v>2</v>
      </c>
      <c r="R90" s="93">
        <f t="shared" si="14"/>
        <v>2</v>
      </c>
      <c r="S90" s="93">
        <f t="shared" si="14"/>
        <v>2</v>
      </c>
      <c r="T90" s="93">
        <f t="shared" si="14"/>
        <v>2</v>
      </c>
      <c r="U90" s="93">
        <f t="shared" si="14"/>
        <v>2</v>
      </c>
      <c r="V90" s="93">
        <f t="shared" si="14"/>
        <v>2</v>
      </c>
      <c r="W90" s="93">
        <f t="shared" si="14"/>
        <v>2</v>
      </c>
      <c r="X90" s="93">
        <f t="shared" si="14"/>
        <v>2</v>
      </c>
      <c r="Y90" s="93">
        <f t="shared" si="14"/>
        <v>2</v>
      </c>
      <c r="Z90" s="93">
        <f t="shared" si="14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Days to connect generators, plus 1 day lead time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2</v>
      </c>
      <c r="P91" s="70">
        <f>ROUNDUP(ROUNDUP(P78/Inputs!$J$114,0)/(Inputs!$J$118*Inputs!$J$115*Inputs!$J$114),0)+1</f>
        <v>2</v>
      </c>
      <c r="Q91" s="70">
        <f>ROUNDUP(ROUNDUP(Q78/Inputs!$J$114,0)/(Inputs!$J$118*Inputs!$J$115*Inputs!$J$114),0)+1</f>
        <v>2</v>
      </c>
      <c r="R91" s="70">
        <f>ROUNDUP(ROUNDUP(R78/Inputs!$J$114,0)/(Inputs!$J$118*Inputs!$J$115*Inputs!$J$114),0)+1</f>
        <v>2</v>
      </c>
      <c r="S91" s="70">
        <f>ROUNDUP(ROUNDUP(S78/Inputs!$J$114,0)/(Inputs!$J$118*Inputs!$J$115*Inputs!$J$114),0)+1</f>
        <v>2</v>
      </c>
      <c r="T91" s="70">
        <f>ROUNDUP(ROUNDUP(T78/Inputs!$J$114,0)/(Inputs!$J$118*Inputs!$J$115*Inputs!$J$114),0)+1</f>
        <v>2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Adjustment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</v>
      </c>
      <c r="P92" s="70">
        <f t="shared" ref="P92:Z92" si="15">MAX(0,((P91-1)-1)/2)</f>
        <v>0</v>
      </c>
      <c r="Q92" s="70">
        <f t="shared" si="15"/>
        <v>0</v>
      </c>
      <c r="R92" s="70">
        <f t="shared" si="15"/>
        <v>0</v>
      </c>
      <c r="S92" s="70">
        <f t="shared" si="15"/>
        <v>0</v>
      </c>
      <c r="T92" s="70">
        <f t="shared" si="15"/>
        <v>0</v>
      </c>
      <c r="U92" s="70">
        <f t="shared" si="15"/>
        <v>0.5</v>
      </c>
      <c r="V92" s="70">
        <f t="shared" si="15"/>
        <v>0.5</v>
      </c>
      <c r="W92" s="70">
        <f t="shared" si="15"/>
        <v>0.5</v>
      </c>
      <c r="X92" s="70">
        <f t="shared" si="15"/>
        <v>0.5</v>
      </c>
      <c r="Y92" s="70">
        <f t="shared" si="15"/>
        <v>0.5</v>
      </c>
      <c r="Z92" s="70">
        <f t="shared" si="15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</v>
      </c>
      <c r="P93" s="93">
        <f t="shared" ref="P93:Z93" si="16">IFERROR((P91-P92)/P91,0)*MAX(0,P91)</f>
        <v>2</v>
      </c>
      <c r="Q93" s="93">
        <f t="shared" si="16"/>
        <v>2</v>
      </c>
      <c r="R93" s="93">
        <f t="shared" si="16"/>
        <v>2</v>
      </c>
      <c r="S93" s="93">
        <f t="shared" si="16"/>
        <v>2</v>
      </c>
      <c r="T93" s="93">
        <f t="shared" si="16"/>
        <v>2</v>
      </c>
      <c r="U93" s="93">
        <f t="shared" si="16"/>
        <v>2.5</v>
      </c>
      <c r="V93" s="93">
        <f t="shared" si="16"/>
        <v>2.5</v>
      </c>
      <c r="W93" s="93">
        <f t="shared" si="16"/>
        <v>2.5</v>
      </c>
      <c r="X93" s="93">
        <f t="shared" si="16"/>
        <v>2.5</v>
      </c>
      <c r="Y93" s="93">
        <f t="shared" si="16"/>
        <v>2.5</v>
      </c>
      <c r="Z93" s="93">
        <f t="shared" si="16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Days to connect generators, plus 1 day lead time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3</v>
      </c>
      <c r="V94" s="70">
        <f>ROUNDUP(ROUNDUP(V79/Inputs!$J$114,0)/(Inputs!$J$118*Inputs!$J$115*Inputs!$J$114),0)+1</f>
        <v>3</v>
      </c>
      <c r="W94" s="70">
        <f>ROUNDUP(ROUNDUP(W79/Inputs!$J$114,0)/(Inputs!$J$118*Inputs!$J$115*Inputs!$J$114),0)+1</f>
        <v>3</v>
      </c>
      <c r="X94" s="70">
        <f>ROUNDUP(ROUNDUP(X79/Inputs!$J$114,0)/(Inputs!$J$118*Inputs!$J$115*Inputs!$J$114),0)+1</f>
        <v>3</v>
      </c>
      <c r="Y94" s="70">
        <f>ROUNDUP(ROUNDUP(Y79/Inputs!$J$114,0)/(Inputs!$J$118*Inputs!$J$115*Inputs!$J$114),0)+1</f>
        <v>3</v>
      </c>
      <c r="Z94" s="70">
        <f>ROUNDUP(ROUNDUP(Z79/Inputs!$J$114,0)/(Inputs!$J$118*Inputs!$J$115*Inputs!$J$114),0)+1</f>
        <v>3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Adjustment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7">MAX(0,((P94-1)-1)/2)</f>
        <v>0.5</v>
      </c>
      <c r="Q95" s="70">
        <f t="shared" si="17"/>
        <v>0.5</v>
      </c>
      <c r="R95" s="70">
        <f t="shared" si="17"/>
        <v>0.5</v>
      </c>
      <c r="S95" s="70">
        <f t="shared" si="17"/>
        <v>0.5</v>
      </c>
      <c r="T95" s="70">
        <f t="shared" si="17"/>
        <v>0.5</v>
      </c>
      <c r="U95" s="70">
        <f t="shared" si="17"/>
        <v>0.5</v>
      </c>
      <c r="V95" s="70">
        <f t="shared" si="17"/>
        <v>0.5</v>
      </c>
      <c r="W95" s="70">
        <f t="shared" si="17"/>
        <v>0.5</v>
      </c>
      <c r="X95" s="70">
        <f t="shared" si="17"/>
        <v>0.5</v>
      </c>
      <c r="Y95" s="70">
        <f t="shared" si="17"/>
        <v>0.5</v>
      </c>
      <c r="Z95" s="70">
        <f t="shared" si="17"/>
        <v>0.5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8">IFERROR((P94-P95)/P94,0)*MAX(0,P94)</f>
        <v>2.5</v>
      </c>
      <c r="Q96" s="93">
        <f t="shared" si="18"/>
        <v>2.5</v>
      </c>
      <c r="R96" s="93">
        <f t="shared" si="18"/>
        <v>2.5</v>
      </c>
      <c r="S96" s="93">
        <f t="shared" si="18"/>
        <v>2.5</v>
      </c>
      <c r="T96" s="93">
        <f t="shared" si="18"/>
        <v>2.5</v>
      </c>
      <c r="U96" s="93">
        <f t="shared" si="18"/>
        <v>2.5</v>
      </c>
      <c r="V96" s="93">
        <f t="shared" si="18"/>
        <v>2.5</v>
      </c>
      <c r="W96" s="93">
        <f t="shared" si="18"/>
        <v>2.5</v>
      </c>
      <c r="X96" s="93">
        <f t="shared" si="18"/>
        <v>2.5</v>
      </c>
      <c r="Y96" s="93">
        <f t="shared" si="18"/>
        <v>2.5</v>
      </c>
      <c r="Z96" s="93">
        <f t="shared" si="18"/>
        <v>2.5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Days to connect generators, plus 1 day lead time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3</v>
      </c>
      <c r="V97" s="70">
        <f>ROUNDUP(ROUNDUP(V80/Inputs!$J$114,0)/(Inputs!$J$118*Inputs!$J$115*Inputs!$J$114),0)+1</f>
        <v>3</v>
      </c>
      <c r="W97" s="70">
        <f>ROUNDUP(ROUNDUP(W80/Inputs!$J$114,0)/(Inputs!$J$118*Inputs!$J$115*Inputs!$J$114),0)+1</f>
        <v>3</v>
      </c>
      <c r="X97" s="70">
        <f>ROUNDUP(ROUNDUP(X80/Inputs!$J$114,0)/(Inputs!$J$118*Inputs!$J$115*Inputs!$J$114),0)+1</f>
        <v>3</v>
      </c>
      <c r="Y97" s="70">
        <f>ROUNDUP(ROUNDUP(Y80/Inputs!$J$114,0)/(Inputs!$J$118*Inputs!$J$115*Inputs!$J$114),0)+1</f>
        <v>3</v>
      </c>
      <c r="Z97" s="70">
        <f>ROUNDUP(ROUNDUP(Z80/Inputs!$J$114,0)/(Inputs!$J$118*Inputs!$J$115*Inputs!$J$114),0)+1</f>
        <v>3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Adjustment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9">MAX(0,((P97-1)-1)/2)</f>
        <v>0.5</v>
      </c>
      <c r="Q98" s="70">
        <f t="shared" si="19"/>
        <v>0.5</v>
      </c>
      <c r="R98" s="70">
        <f t="shared" si="19"/>
        <v>0.5</v>
      </c>
      <c r="S98" s="70">
        <f t="shared" si="19"/>
        <v>0.5</v>
      </c>
      <c r="T98" s="70">
        <f t="shared" si="19"/>
        <v>0.5</v>
      </c>
      <c r="U98" s="70">
        <f t="shared" si="19"/>
        <v>0.5</v>
      </c>
      <c r="V98" s="70">
        <f t="shared" si="19"/>
        <v>0.5</v>
      </c>
      <c r="W98" s="70">
        <f t="shared" si="19"/>
        <v>0.5</v>
      </c>
      <c r="X98" s="70">
        <f t="shared" si="19"/>
        <v>0.5</v>
      </c>
      <c r="Y98" s="70">
        <f t="shared" si="19"/>
        <v>0.5</v>
      </c>
      <c r="Z98" s="70">
        <f t="shared" si="19"/>
        <v>0.5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20">IFERROR((P97-P98)/P97,0)*MAX(0,P97)</f>
        <v>2.5</v>
      </c>
      <c r="Q99" s="93">
        <f t="shared" si="20"/>
        <v>2.5</v>
      </c>
      <c r="R99" s="93">
        <f t="shared" si="20"/>
        <v>2.5</v>
      </c>
      <c r="S99" s="93">
        <f t="shared" si="20"/>
        <v>2.5</v>
      </c>
      <c r="T99" s="93">
        <f t="shared" si="20"/>
        <v>2.5</v>
      </c>
      <c r="U99" s="112">
        <f t="shared" si="20"/>
        <v>2.5</v>
      </c>
      <c r="V99" s="93">
        <f t="shared" si="20"/>
        <v>2.5</v>
      </c>
      <c r="W99" s="93">
        <f t="shared" si="20"/>
        <v>2.5</v>
      </c>
      <c r="X99" s="93">
        <f t="shared" si="20"/>
        <v>2.5</v>
      </c>
      <c r="Y99" s="93">
        <f t="shared" si="20"/>
        <v>2.5</v>
      </c>
      <c r="Z99" s="93">
        <f t="shared" si="20"/>
        <v>2.5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967421.7871467825</v>
      </c>
      <c r="P103" s="70">
        <f>P77*Inputs!$M$75*IF(Inputs!$J$126&gt;0,Inputs!$J$126,P90*Inputs!$J$123)*$I$13</f>
        <v>741961.67550126428</v>
      </c>
      <c r="Q103" s="70">
        <f>Q77*Inputs!$M$75*IF(Inputs!$J$126&gt;0,Inputs!$J$126,Q90*Inputs!$J$123)*$I$13</f>
        <v>994456.30426320015</v>
      </c>
      <c r="R103" s="70">
        <f>R77*Inputs!$M$75*IF(Inputs!$J$126&gt;0,Inputs!$J$126,R90*Inputs!$J$123)*$I$13</f>
        <v>1073102.17223823</v>
      </c>
      <c r="S103" s="70">
        <f>S77*Inputs!$M$75*IF(Inputs!$J$126&gt;0,Inputs!$J$126,S90*Inputs!$J$123)*$I$13</f>
        <v>1189324.725487513</v>
      </c>
      <c r="T103" s="70">
        <f>T77*Inputs!$M$75*IF(Inputs!$J$126&gt;0,Inputs!$J$126,T90*Inputs!$J$123)*$I$13</f>
        <v>1410580.9050455508</v>
      </c>
      <c r="U103" s="70">
        <f>U77*Inputs!$M$75*IF(Inputs!$J$126&gt;0,Inputs!$J$126,U90*Inputs!$J$123)*$I$13</f>
        <v>1589539.0602157051</v>
      </c>
      <c r="V103" s="70">
        <f>V77*Inputs!$M$75*IF(Inputs!$J$126&gt;0,Inputs!$J$126,V90*Inputs!$J$123)*$I$13</f>
        <v>1589539.0602157051</v>
      </c>
      <c r="W103" s="70">
        <f>W77*Inputs!$M$75*IF(Inputs!$J$126&gt;0,Inputs!$J$126,W90*Inputs!$J$123)*$I$13</f>
        <v>1589539.0602157051</v>
      </c>
      <c r="X103" s="70">
        <f>X77*Inputs!$M$75*IF(Inputs!$J$126&gt;0,Inputs!$J$126,X90*Inputs!$J$123)*$I$13</f>
        <v>1589539.0602157051</v>
      </c>
      <c r="Y103" s="70">
        <f>Y77*Inputs!$M$75*IF(Inputs!$J$126&gt;0,Inputs!$J$126,Y90*Inputs!$J$123)*$I$13</f>
        <v>1589539.0602157051</v>
      </c>
      <c r="Z103" s="70">
        <f>Z77*Inputs!$M$75*IF(Inputs!$J$126&gt;0,Inputs!$J$126,Z90*Inputs!$J$123)*$I$13</f>
        <v>1589539.0602157051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967421.7871467825</v>
      </c>
      <c r="P104" s="70">
        <f>P77*Inputs!$M$75*IF(Inputs!$K$126&gt;0,Inputs!$K$126,P90*Inputs!$J$123)*$I$13</f>
        <v>741961.67550126428</v>
      </c>
      <c r="Q104" s="70">
        <f>Q77*Inputs!$M$75*IF(Inputs!$K$126&gt;0,Inputs!$K$126,Q90*Inputs!$J$123)*$I$13</f>
        <v>994456.30426320015</v>
      </c>
      <c r="R104" s="70">
        <f>R77*Inputs!$M$75*IF(Inputs!$K$126&gt;0,Inputs!$K$126,R90*Inputs!$J$123)*$I$13</f>
        <v>1073102.17223823</v>
      </c>
      <c r="S104" s="70">
        <f>S77*Inputs!$M$75*IF(Inputs!$K$126&gt;0,Inputs!$K$126,S90*Inputs!$J$123)*$I$13</f>
        <v>1189324.725487513</v>
      </c>
      <c r="T104" s="70">
        <f>T77*Inputs!$M$75*IF(Inputs!$K$126&gt;0,Inputs!$K$126,T90*Inputs!$J$123)*$I$13</f>
        <v>1410580.9050455508</v>
      </c>
      <c r="U104" s="70">
        <f>U77*Inputs!$M$75*IF(Inputs!$K$126&gt;0,Inputs!$K$126,U90*Inputs!$J$123)*$I$13</f>
        <v>1589539.0602157051</v>
      </c>
      <c r="V104" s="70">
        <f>V77*Inputs!$M$75*IF(Inputs!$K$126&gt;0,Inputs!$K$126,V90*Inputs!$J$123)*$I$13</f>
        <v>1589539.0602157051</v>
      </c>
      <c r="W104" s="70">
        <f>W77*Inputs!$M$75*IF(Inputs!$K$126&gt;0,Inputs!$K$126,W90*Inputs!$J$123)*$I$13</f>
        <v>1589539.0602157051</v>
      </c>
      <c r="X104" s="70">
        <f>X77*Inputs!$M$75*IF(Inputs!$K$126&gt;0,Inputs!$K$126,X90*Inputs!$J$123)*$I$13</f>
        <v>1589539.0602157051</v>
      </c>
      <c r="Y104" s="70">
        <f>Y77*Inputs!$M$75*IF(Inputs!$K$126&gt;0,Inputs!$K$126,Y90*Inputs!$J$123)*$I$13</f>
        <v>1589539.0602157051</v>
      </c>
      <c r="Z104" s="70">
        <f>Z77*Inputs!$M$75*IF(Inputs!$K$126&gt;0,Inputs!$K$126,Z90*Inputs!$J$123)*$I$13</f>
        <v>1589539.0602157051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7305657.8575027613</v>
      </c>
      <c r="P105" s="70">
        <f>P78*Inputs!$M$75*IF(Inputs!$M$126&gt;0,Inputs!$M$126,P93*Inputs!$J$123)*$I$13</f>
        <v>7080197.7458572444</v>
      </c>
      <c r="Q105" s="70">
        <f>Q78*Inputs!$M$75*IF(Inputs!$M$126&gt;0,Inputs!$M$126,Q93*Inputs!$J$123)*$I$13</f>
        <v>7332692.3746191785</v>
      </c>
      <c r="R105" s="70">
        <f>R78*Inputs!$M$75*IF(Inputs!$M$126&gt;0,Inputs!$M$126,R93*Inputs!$J$123)*$I$13</f>
        <v>7411338.2425942086</v>
      </c>
      <c r="S105" s="70">
        <f>S78*Inputs!$M$75*IF(Inputs!$M$126&gt;0,Inputs!$M$126,S93*Inputs!$J$123)*$I$13</f>
        <v>7527560.7958434913</v>
      </c>
      <c r="T105" s="70">
        <f>T78*Inputs!$M$75*IF(Inputs!$M$126&gt;0,Inputs!$M$126,T93*Inputs!$J$123)*$I$13</f>
        <v>7748816.97540153</v>
      </c>
      <c r="U105" s="70">
        <f>U78*Inputs!$M$75*IF(Inputs!$M$126&gt;0,Inputs!$M$126,U93*Inputs!$J$123)*$I$13</f>
        <v>9909718.9132146053</v>
      </c>
      <c r="V105" s="70">
        <f>V78*Inputs!$M$75*IF(Inputs!$M$126&gt;0,Inputs!$M$126,V93*Inputs!$J$123)*$I$13</f>
        <v>9909718.9132146053</v>
      </c>
      <c r="W105" s="70">
        <f>W78*Inputs!$M$75*IF(Inputs!$M$126&gt;0,Inputs!$M$126,W93*Inputs!$J$123)*$I$13</f>
        <v>9909718.9132146053</v>
      </c>
      <c r="X105" s="70">
        <f>X78*Inputs!$M$75*IF(Inputs!$M$126&gt;0,Inputs!$M$126,X93*Inputs!$J$123)*$I$13</f>
        <v>9909718.9132146053</v>
      </c>
      <c r="Y105" s="70">
        <f>Y78*Inputs!$M$75*IF(Inputs!$M$126&gt;0,Inputs!$M$126,Y93*Inputs!$J$123)*$I$13</f>
        <v>9909718.9132146053</v>
      </c>
      <c r="Z105" s="70">
        <f>Z78*Inputs!$M$75*IF(Inputs!$M$126&gt;0,Inputs!$M$126,Z93*Inputs!$J$123)*$I$13</f>
        <v>9909718.9132146053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17701626.192512814</v>
      </c>
      <c r="P106" s="70">
        <f>P79*Inputs!$M$75*IF(Inputs!$M$126&gt;0,Inputs!$M$126,P96*Inputs!$J$123)*$I$13</f>
        <v>17419801.052955914</v>
      </c>
      <c r="Q106" s="70">
        <f>Q79*Inputs!$M$75*IF(Inputs!$M$126&gt;0,Inputs!$M$126,Q96*Inputs!$J$123)*$I$13</f>
        <v>17735419.338908333</v>
      </c>
      <c r="R106" s="70">
        <f>R79*Inputs!$M$75*IF(Inputs!$M$126&gt;0,Inputs!$M$126,R96*Inputs!$J$123)*$I$13</f>
        <v>17833726.67387712</v>
      </c>
      <c r="S106" s="70">
        <f>S79*Inputs!$M$75*IF(Inputs!$M$126&gt;0,Inputs!$M$126,S96*Inputs!$J$123)*$I$13</f>
        <v>17979004.865438722</v>
      </c>
      <c r="T106" s="70">
        <f>T79*Inputs!$M$75*IF(Inputs!$M$126&gt;0,Inputs!$M$126,T96*Inputs!$J$123)*$I$13</f>
        <v>18255575.08988627</v>
      </c>
      <c r="U106" s="70">
        <f>U79*Inputs!$M$75*IF(Inputs!$M$126&gt;0,Inputs!$M$126,U96*Inputs!$J$123)*$I$13</f>
        <v>18479272.783848967</v>
      </c>
      <c r="V106" s="70">
        <f>V79*Inputs!$M$75*IF(Inputs!$M$126&gt;0,Inputs!$M$126,V96*Inputs!$J$123)*$I$13</f>
        <v>18479272.783848967</v>
      </c>
      <c r="W106" s="70">
        <f>W79*Inputs!$M$75*IF(Inputs!$M$126&gt;0,Inputs!$M$126,W96*Inputs!$J$123)*$I$13</f>
        <v>18479272.783848967</v>
      </c>
      <c r="X106" s="70">
        <f>X79*Inputs!$M$75*IF(Inputs!$M$126&gt;0,Inputs!$M$126,X96*Inputs!$J$123)*$I$13</f>
        <v>18479272.783848967</v>
      </c>
      <c r="Y106" s="70">
        <f>Y79*Inputs!$M$75*IF(Inputs!$M$126&gt;0,Inputs!$M$126,Y96*Inputs!$J$123)*$I$13</f>
        <v>18479272.783848967</v>
      </c>
      <c r="Z106" s="70">
        <f>Z79*Inputs!$M$75*IF(Inputs!$M$126&gt;0,Inputs!$M$126,Z96*Inputs!$J$123)*$I$13</f>
        <v>18479272.783848967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17701626.192512814</v>
      </c>
      <c r="P107" s="70">
        <f>P80*Inputs!$M$75*IF(Inputs!$M$126&gt;0,Inputs!$M$126,P99*Inputs!$J$123)*$I$13</f>
        <v>17419801.052955914</v>
      </c>
      <c r="Q107" s="70">
        <f>Q80*Inputs!$M$75*IF(Inputs!$M$126&gt;0,Inputs!$M$126,Q99*Inputs!$J$123)*$I$13</f>
        <v>17735419.338908333</v>
      </c>
      <c r="R107" s="70">
        <f>R80*Inputs!$M$75*IF(Inputs!$M$126&gt;0,Inputs!$M$126,R99*Inputs!$J$123)*$I$13</f>
        <v>17833726.67387712</v>
      </c>
      <c r="S107" s="70">
        <f>S80*Inputs!$M$75*IF(Inputs!$M$126&gt;0,Inputs!$M$126,S99*Inputs!$J$123)*$I$13</f>
        <v>17979004.865438722</v>
      </c>
      <c r="T107" s="70">
        <f>T80*Inputs!$M$75*IF(Inputs!$M$126&gt;0,Inputs!$M$126,T99*Inputs!$J$123)*$I$13</f>
        <v>18255575.08988627</v>
      </c>
      <c r="U107" s="70">
        <f>U80*Inputs!$M$75*IF(Inputs!$M$126&gt;0,Inputs!$M$126,U99*Inputs!$J$123)*$I$13</f>
        <v>18479272.783848967</v>
      </c>
      <c r="V107" s="70">
        <f>V80*Inputs!$M$75*IF(Inputs!$M$126&gt;0,Inputs!$M$126,V99*Inputs!$J$123)*$I$13</f>
        <v>18479272.783848967</v>
      </c>
      <c r="W107" s="70">
        <f>W80*Inputs!$M$75*IF(Inputs!$M$126&gt;0,Inputs!$M$126,W99*Inputs!$J$123)*$I$13</f>
        <v>18479272.783848967</v>
      </c>
      <c r="X107" s="70">
        <f>X80*Inputs!$M$75*IF(Inputs!$M$126&gt;0,Inputs!$M$126,X99*Inputs!$J$123)*$I$13</f>
        <v>18479272.783848967</v>
      </c>
      <c r="Y107" s="70">
        <f>Y80*Inputs!$M$75*IF(Inputs!$M$126&gt;0,Inputs!$M$126,Y99*Inputs!$J$123)*$I$13</f>
        <v>18479272.783848967</v>
      </c>
      <c r="Z107" s="70">
        <f>Z80*Inputs!$M$75*IF(Inputs!$M$126&gt;0,Inputs!$M$126,Z99*Inputs!$J$123)*$I$13</f>
        <v>18479272.783848967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0.11922325384561903</v>
      </c>
      <c r="P114" s="56">
        <f>Inputs!P64*$I$9</f>
        <v>0.12667192865549454</v>
      </c>
      <c r="Q114" s="56">
        <f>Inputs!Q64*$I$9</f>
        <v>0.13462418305787271</v>
      </c>
      <c r="R114" s="56">
        <f>Inputs!R64*$I$9</f>
        <v>0.14311538195253171</v>
      </c>
      <c r="S114" s="56">
        <f>Inputs!S64*$I$9</f>
        <v>0.15218343169371037</v>
      </c>
      <c r="T114" s="56">
        <f>Inputs!T64*$I$9</f>
        <v>0.16186896541775905</v>
      </c>
      <c r="U114" s="56">
        <f>Inputs!U64*$I$9</f>
        <v>0.1722155420147975</v>
      </c>
      <c r="V114" s="56">
        <f>Inputs!V64*$I$9</f>
        <v>0.18326985975522087</v>
      </c>
      <c r="W114" s="56">
        <f>Inputs!W64*$I$9</f>
        <v>0.19508198565710669</v>
      </c>
      <c r="X114" s="56">
        <f>Inputs!X64*$I$9</f>
        <v>0.20770560176138408</v>
      </c>
      <c r="Y114" s="56">
        <f>Inputs!Y64*$I$9</f>
        <v>0.22119826956847824</v>
      </c>
      <c r="Z114" s="56">
        <f>Inputs!Z64*$I$9</f>
        <v>0.23556742834648872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6.4098523572913451E-4</v>
      </c>
      <c r="P115" s="56">
        <f>Inputs!P65*$I$9</f>
        <v>6.8103187449190599E-4</v>
      </c>
      <c r="Q115" s="56">
        <f>Inputs!Q65*$I$9</f>
        <v>7.237859304186704E-4</v>
      </c>
      <c r="R115" s="56">
        <f>Inputs!R65*$I$9</f>
        <v>7.6943753737920265E-4</v>
      </c>
      <c r="S115" s="56">
        <f>Inputs!S65*$I$9</f>
        <v>8.1819049297693748E-4</v>
      </c>
      <c r="T115" s="56">
        <f>Inputs!T65*$I$9</f>
        <v>8.7026325493418848E-4</v>
      </c>
      <c r="U115" s="56">
        <f>Inputs!U65*$I$9</f>
        <v>9.2589001083224446E-4</v>
      </c>
      <c r="V115" s="56">
        <f>Inputs!V65*$I$9</f>
        <v>9.8532182664097241E-4</v>
      </c>
      <c r="W115" s="56">
        <f>Inputs!W65*$I$9</f>
        <v>1.0488278798769176E-3</v>
      </c>
      <c r="X115" s="56">
        <f>Inputs!X65*$I$9</f>
        <v>1.116696783663355E-3</v>
      </c>
      <c r="Y115" s="56">
        <f>Inputs!Y65*$I$9</f>
        <v>1.1892380084326786E-3</v>
      </c>
      <c r="Z115" s="56">
        <f>Inputs!Z65*$I$9</f>
        <v>1.2664915502499394E-3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6.4098523572913451E-4</v>
      </c>
      <c r="P116" s="56">
        <f>Inputs!P66*$I$9</f>
        <v>6.8103187449190599E-4</v>
      </c>
      <c r="Q116" s="56">
        <f>Inputs!Q66*$I$9</f>
        <v>7.237859304186704E-4</v>
      </c>
      <c r="R116" s="56">
        <f>Inputs!R66*$I$9</f>
        <v>7.6943753737920265E-4</v>
      </c>
      <c r="S116" s="56">
        <f>Inputs!S66*$I$9</f>
        <v>8.1819049297693748E-4</v>
      </c>
      <c r="T116" s="56">
        <f>Inputs!T66*$I$9</f>
        <v>8.7026325493418848E-4</v>
      </c>
      <c r="U116" s="56">
        <f>Inputs!U66*$I$9</f>
        <v>9.2589001083224446E-4</v>
      </c>
      <c r="V116" s="56">
        <f>Inputs!V66*$I$9</f>
        <v>9.8532182664097241E-4</v>
      </c>
      <c r="W116" s="56">
        <f>Inputs!W66*$I$9</f>
        <v>1.0488278798769176E-3</v>
      </c>
      <c r="X116" s="56">
        <f>Inputs!X66*$I$9</f>
        <v>1.116696783663355E-3</v>
      </c>
      <c r="Y116" s="56">
        <f>Inputs!Y66*$I$9</f>
        <v>1.1892380084326786E-3</v>
      </c>
      <c r="Z116" s="56">
        <f>Inputs!Z66*$I$9</f>
        <v>1.2664915502499394E-3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110725.60637259195</v>
      </c>
      <c r="P119" s="70">
        <f t="shared" ref="P119:Z119" si="21">P103*P114*$T$37</f>
        <v>90226.287767239031</v>
      </c>
      <c r="Q119" s="70">
        <f t="shared" si="21"/>
        <v>128522.75284625722</v>
      </c>
      <c r="R119" s="70">
        <f t="shared" si="21"/>
        <v>147434.33016380711</v>
      </c>
      <c r="S119" s="70">
        <f t="shared" si="21"/>
        <v>173755.69739795497</v>
      </c>
      <c r="T119" s="70">
        <f t="shared" si="21"/>
        <v>219196.10086825874</v>
      </c>
      <c r="U119" s="70">
        <f t="shared" si="21"/>
        <v>262793.5975763899</v>
      </c>
      <c r="V119" s="70">
        <f t="shared" si="21"/>
        <v>279662.01661553071</v>
      </c>
      <c r="W119" s="70">
        <f t="shared" si="21"/>
        <v>297686.81870055455</v>
      </c>
      <c r="X119" s="70">
        <f t="shared" si="21"/>
        <v>316949.92034431483</v>
      </c>
      <c r="Y119" s="70">
        <f t="shared" si="21"/>
        <v>337539.15794997034</v>
      </c>
      <c r="Z119" s="70">
        <f t="shared" si="21"/>
        <v>359465.88352445577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70">
        <f>O104*O115*$T$27</f>
        <v>471.27834253567352</v>
      </c>
      <c r="P120" s="70">
        <f t="shared" ref="P120:Z120" si="24">P104*P115*$T$27</f>
        <v>384.02765850751382</v>
      </c>
      <c r="Q120" s="70">
        <f t="shared" si="24"/>
        <v>547.02784589580801</v>
      </c>
      <c r="R120" s="70">
        <f t="shared" si="24"/>
        <v>627.52067050007508</v>
      </c>
      <c r="S120" s="70">
        <f t="shared" si="24"/>
        <v>739.55157942677977</v>
      </c>
      <c r="T120" s="70">
        <f t="shared" si="24"/>
        <v>932.95831462744536</v>
      </c>
      <c r="U120" s="70">
        <f t="shared" si="24"/>
        <v>1118.5211366378601</v>
      </c>
      <c r="V120" s="70">
        <f t="shared" si="24"/>
        <v>1190.3177230499741</v>
      </c>
      <c r="W120" s="70">
        <f t="shared" si="24"/>
        <v>1267.0361907057654</v>
      </c>
      <c r="X120" s="70">
        <f t="shared" si="24"/>
        <v>1349.025198598114</v>
      </c>
      <c r="Y120" s="70">
        <f t="shared" si="24"/>
        <v>1436.6586023856264</v>
      </c>
      <c r="Z120" s="70">
        <f t="shared" si="24"/>
        <v>1529.9847193021192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22"/>
        <v>Network Performance</v>
      </c>
      <c r="E121" s="87"/>
      <c r="F121" s="87"/>
      <c r="G121" s="87"/>
      <c r="H121" s="87"/>
      <c r="I121" s="87"/>
      <c r="J121" s="86" t="str">
        <f t="shared" si="23"/>
        <v>Catastrophic</v>
      </c>
      <c r="K121" s="87"/>
      <c r="L121" s="87"/>
      <c r="M121" s="87"/>
      <c r="N121" s="87"/>
      <c r="O121" s="70">
        <f>O107*O116*$T$17</f>
        <v>2269.2962075593696</v>
      </c>
      <c r="P121" s="70">
        <f t="shared" ref="P121:Z121" si="25">P107*P116*$T$17</f>
        <v>2372.6879528741288</v>
      </c>
      <c r="Q121" s="70">
        <f t="shared" si="25"/>
        <v>2567.3293975154102</v>
      </c>
      <c r="R121" s="70">
        <f t="shared" si="25"/>
        <v>2744.3877468483624</v>
      </c>
      <c r="S121" s="70">
        <f t="shared" si="25"/>
        <v>2942.0501708176134</v>
      </c>
      <c r="T121" s="70">
        <f t="shared" si="25"/>
        <v>3177.4312396839832</v>
      </c>
      <c r="U121" s="70">
        <f t="shared" si="25"/>
        <v>3421.9548156019841</v>
      </c>
      <c r="V121" s="70">
        <f t="shared" si="25"/>
        <v>3641.6061628757743</v>
      </c>
      <c r="W121" s="70">
        <f t="shared" si="25"/>
        <v>3876.3152991103075</v>
      </c>
      <c r="X121" s="70">
        <f t="shared" si="25"/>
        <v>4127.1488964323826</v>
      </c>
      <c r="Y121" s="70">
        <f t="shared" si="25"/>
        <v>4395.2507125497496</v>
      </c>
      <c r="Z121" s="70">
        <f t="shared" si="25"/>
        <v>4680.7685671016789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34840.172050171721</v>
      </c>
      <c r="P122" s="88">
        <f t="shared" ref="P122:Z122" si="26">P105*P114*$T$44</f>
        <v>35874.49214920088</v>
      </c>
      <c r="Q122" s="88">
        <f t="shared" si="26"/>
        <v>39486.308821911982</v>
      </c>
      <c r="R122" s="88">
        <f t="shared" si="26"/>
        <v>42427.060134731008</v>
      </c>
      <c r="S122" s="88">
        <f t="shared" si="26"/>
        <v>45822.801367780012</v>
      </c>
      <c r="T122" s="88">
        <f t="shared" si="26"/>
        <v>50171.719480792584</v>
      </c>
      <c r="U122" s="88">
        <f t="shared" si="26"/>
        <v>68264.304554141738</v>
      </c>
      <c r="V122" s="88">
        <f t="shared" si="26"/>
        <v>72646.111817540019</v>
      </c>
      <c r="W122" s="88">
        <f t="shared" si="26"/>
        <v>77328.305715747629</v>
      </c>
      <c r="X122" s="88">
        <f t="shared" si="26"/>
        <v>82332.165206216348</v>
      </c>
      <c r="Y122" s="88">
        <f t="shared" si="26"/>
        <v>87680.507020523655</v>
      </c>
      <c r="Z122" s="88">
        <f t="shared" si="26"/>
        <v>93376.280000901024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187.31275295791247</v>
      </c>
      <c r="P123" s="70">
        <f t="shared" ref="P123:Z123" si="27">P105*P115*$T$34</f>
        <v>192.87361370538108</v>
      </c>
      <c r="Q123" s="70">
        <f t="shared" si="27"/>
        <v>212.29198291350528</v>
      </c>
      <c r="R123" s="70">
        <f t="shared" si="27"/>
        <v>228.10247384263982</v>
      </c>
      <c r="S123" s="70">
        <f t="shared" si="27"/>
        <v>246.35914713860217</v>
      </c>
      <c r="T123" s="70">
        <f t="shared" si="27"/>
        <v>269.74042731608915</v>
      </c>
      <c r="U123" s="70">
        <f t="shared" si="27"/>
        <v>367.01239007603073</v>
      </c>
      <c r="V123" s="70">
        <f t="shared" si="27"/>
        <v>390.57049364268829</v>
      </c>
      <c r="W123" s="70">
        <f t="shared" si="27"/>
        <v>415.74357911692272</v>
      </c>
      <c r="X123" s="70">
        <f t="shared" si="27"/>
        <v>442.64604949578671</v>
      </c>
      <c r="Y123" s="70">
        <f t="shared" si="27"/>
        <v>471.40057537915942</v>
      </c>
      <c r="Z123" s="70">
        <f t="shared" si="27"/>
        <v>502.0230107575324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8">SUMIF($J$49:$J$51,$J124,$V$49:$V$51)*O114</f>
        <v>56072.765206091957</v>
      </c>
      <c r="P124" s="88">
        <f t="shared" si="28"/>
        <v>59576.006228615253</v>
      </c>
      <c r="Q124" s="88">
        <f t="shared" si="28"/>
        <v>63316.08947228398</v>
      </c>
      <c r="R124" s="88">
        <f t="shared" si="28"/>
        <v>67309.647663163167</v>
      </c>
      <c r="S124" s="88">
        <f t="shared" si="28"/>
        <v>71574.50881745349</v>
      </c>
      <c r="T124" s="88">
        <f t="shared" si="28"/>
        <v>76129.783404301415</v>
      </c>
      <c r="U124" s="88">
        <f t="shared" si="28"/>
        <v>80995.957925622788</v>
      </c>
      <c r="V124" s="88">
        <f t="shared" si="28"/>
        <v>86194.995388355761</v>
      </c>
      <c r="W124" s="88">
        <f t="shared" si="28"/>
        <v>91750.443179932539</v>
      </c>
      <c r="X124" s="88">
        <f t="shared" si="28"/>
        <v>97687.548895765154</v>
      </c>
      <c r="Y124" s="88">
        <f t="shared" si="28"/>
        <v>104033.38470838827</v>
      </c>
      <c r="Z124" s="88">
        <f t="shared" si="28"/>
        <v>110791.44943468532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9">SUMIF($J$49:$J$51,$J125,$V$49:$V$51)*O115</f>
        <v>3160.679480045148</v>
      </c>
      <c r="P125" s="70">
        <f t="shared" si="29"/>
        <v>3358.1482863871397</v>
      </c>
      <c r="Q125" s="70">
        <f t="shared" si="29"/>
        <v>3568.9672877058074</v>
      </c>
      <c r="R125" s="70">
        <f t="shared" si="29"/>
        <v>3794.074028560934</v>
      </c>
      <c r="S125" s="70">
        <f t="shared" si="29"/>
        <v>4034.4734289839862</v>
      </c>
      <c r="T125" s="70">
        <f t="shared" si="29"/>
        <v>4291.2426976245342</v>
      </c>
      <c r="U125" s="70">
        <f t="shared" si="29"/>
        <v>4565.5366066074275</v>
      </c>
      <c r="V125" s="70">
        <f t="shared" si="29"/>
        <v>4858.5931548987337</v>
      </c>
      <c r="W125" s="70">
        <f t="shared" si="29"/>
        <v>5171.739648972316</v>
      </c>
      <c r="X125" s="70">
        <f t="shared" si="29"/>
        <v>5506.3992317112834</v>
      </c>
      <c r="Y125" s="70">
        <f t="shared" si="29"/>
        <v>5864.097892780962</v>
      </c>
      <c r="Z125" s="70">
        <f t="shared" si="29"/>
        <v>6245.0328516101981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30">SUMIF($J$49:$J$51,$J126,$V$49:$V$51)*O116</f>
        <v>3961.1361773767699</v>
      </c>
      <c r="P126" s="70">
        <f t="shared" si="30"/>
        <v>4208.6148722723046</v>
      </c>
      <c r="Q126" s="70">
        <f t="shared" si="30"/>
        <v>4472.8247607706744</v>
      </c>
      <c r="R126" s="70">
        <f t="shared" si="30"/>
        <v>4754.9408249278295</v>
      </c>
      <c r="S126" s="70">
        <f t="shared" si="30"/>
        <v>5056.2224854212354</v>
      </c>
      <c r="T126" s="70">
        <f t="shared" si="30"/>
        <v>5378.0197589733507</v>
      </c>
      <c r="U126" s="70">
        <f t="shared" si="30"/>
        <v>5721.7798690907839</v>
      </c>
      <c r="V126" s="70">
        <f t="shared" si="30"/>
        <v>6089.0543437038423</v>
      </c>
      <c r="W126" s="70">
        <f t="shared" si="30"/>
        <v>6481.5066357900505</v>
      </c>
      <c r="X126" s="70">
        <f t="shared" si="30"/>
        <v>6900.9203057500954</v>
      </c>
      <c r="Y126" s="70">
        <f t="shared" si="30"/>
        <v>7349.2078071901642</v>
      </c>
      <c r="Z126" s="70">
        <f t="shared" si="30"/>
        <v>7826.6163062716532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33470.803539823013</v>
      </c>
      <c r="P127" s="70">
        <f>Inputs!$J$27*$I$11</f>
        <v>33470.803539823013</v>
      </c>
      <c r="Q127" s="70">
        <f>Inputs!$J$27*$I$11</f>
        <v>33470.803539823013</v>
      </c>
      <c r="R127" s="70">
        <f>Inputs!$J$27*$I$11</f>
        <v>33470.803539823013</v>
      </c>
      <c r="S127" s="70">
        <f>Inputs!$J$27*$I$11</f>
        <v>33470.803539823013</v>
      </c>
      <c r="T127" s="70">
        <f>Inputs!$J$27*$I$11</f>
        <v>33470.803539823013</v>
      </c>
      <c r="U127" s="70">
        <f>Inputs!$J$27*$I$11</f>
        <v>33470.803539823013</v>
      </c>
      <c r="V127" s="70">
        <f>Inputs!$J$27*$I$11</f>
        <v>33470.803539823013</v>
      </c>
      <c r="W127" s="70">
        <f>Inputs!$J$27*$I$11</f>
        <v>33470.803539823013</v>
      </c>
      <c r="X127" s="70">
        <f>Inputs!$J$27*$I$11</f>
        <v>33470.803539823013</v>
      </c>
      <c r="Y127" s="70">
        <f>Inputs!$J$27*$I$11</f>
        <v>33470.803539823013</v>
      </c>
      <c r="Z127" s="70">
        <f>Inputs!$J$27*$I$11</f>
        <v>33470.803539823013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245159.0501291535</v>
      </c>
      <c r="P128" s="98">
        <f t="shared" ref="P128:Z128" si="31">SUM(P119:P127)</f>
        <v>229663.94206862466</v>
      </c>
      <c r="Q128" s="98">
        <f t="shared" si="31"/>
        <v>276164.39595507743</v>
      </c>
      <c r="R128" s="98">
        <f t="shared" si="31"/>
        <v>302790.86724620417</v>
      </c>
      <c r="S128" s="98">
        <f t="shared" si="31"/>
        <v>337642.46793479973</v>
      </c>
      <c r="T128" s="98">
        <f t="shared" si="31"/>
        <v>393017.79973140126</v>
      </c>
      <c r="U128" s="98">
        <f t="shared" si="31"/>
        <v>460719.46841399139</v>
      </c>
      <c r="V128" s="98">
        <f t="shared" si="31"/>
        <v>488144.06923942047</v>
      </c>
      <c r="W128" s="98">
        <f t="shared" si="31"/>
        <v>517448.71248975315</v>
      </c>
      <c r="X128" s="98">
        <f t="shared" si="31"/>
        <v>548766.577668107</v>
      </c>
      <c r="Y128" s="98">
        <f t="shared" si="31"/>
        <v>582240.46880899079</v>
      </c>
      <c r="Z128" s="98">
        <f t="shared" si="31"/>
        <v>617888.84195490833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Inputs!O22*'Base Case'!$I$10</f>
        <v>0</v>
      </c>
      <c r="P135" s="70">
        <f>Inputs!P22*'Base Case'!$I$10</f>
        <v>0</v>
      </c>
      <c r="Q135" s="70">
        <f>Inputs!Q22*'Base Case'!$I$10</f>
        <v>0</v>
      </c>
      <c r="R135" s="70">
        <f>Inputs!R22*'Base Case'!$I$10</f>
        <v>51812.389380530978</v>
      </c>
      <c r="S135" s="70">
        <f>Inputs!S22*'Base Case'!$I$10</f>
        <v>777185.84070796461</v>
      </c>
      <c r="T135" s="70">
        <f>Inputs!T22*'Base Case'!$I$10</f>
        <v>3054858.4778761063</v>
      </c>
      <c r="U135" s="70">
        <f>Inputs!U22*'Base Case'!$I$10</f>
        <v>0</v>
      </c>
      <c r="V135" s="70">
        <f>Inputs!V22*'Base Case'!$I$10</f>
        <v>0</v>
      </c>
      <c r="W135" s="70">
        <f>Inputs!W22*'Base Case'!$I$10</f>
        <v>0</v>
      </c>
      <c r="X135" s="70">
        <f>Inputs!X22*'Base Case'!$I$10</f>
        <v>0</v>
      </c>
      <c r="Y135" s="70">
        <f>Inputs!Y22*'Base Case'!$I$10</f>
        <v>0</v>
      </c>
      <c r="Z135" s="70">
        <f>Inputs!Z22*'Base Case'!$I$10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32">(P135&lt;&gt;0)*1</f>
        <v>0</v>
      </c>
      <c r="Q136" s="70">
        <f t="shared" si="32"/>
        <v>0</v>
      </c>
      <c r="R136" s="70">
        <f t="shared" si="32"/>
        <v>1</v>
      </c>
      <c r="S136" s="70">
        <f t="shared" si="32"/>
        <v>1</v>
      </c>
      <c r="T136" s="70">
        <f t="shared" si="32"/>
        <v>1</v>
      </c>
      <c r="U136" s="70">
        <f t="shared" si="32"/>
        <v>0</v>
      </c>
      <c r="V136" s="70">
        <f t="shared" si="32"/>
        <v>0</v>
      </c>
      <c r="W136" s="70">
        <f t="shared" si="32"/>
        <v>0</v>
      </c>
      <c r="X136" s="70">
        <f t="shared" si="32"/>
        <v>0</v>
      </c>
      <c r="Y136" s="70">
        <f t="shared" si="32"/>
        <v>0</v>
      </c>
      <c r="Z136" s="70">
        <f t="shared" si="32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1.0557562500000002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PMT(Inputs!$J$11,Inputs!$J$12,-SUMPRODUCT('Base Case'!O135:Z135,'Base Case'!O137:Z137),0,0)</f>
        <v>144760.29102283236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14921.968141592921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159682.25916442528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3">O2</f>
        <v>2019</v>
      </c>
      <c r="P146" s="86">
        <f t="shared" si="33"/>
        <v>2020</v>
      </c>
      <c r="Q146" s="86">
        <f t="shared" si="33"/>
        <v>2021</v>
      </c>
      <c r="R146" s="86">
        <f t="shared" si="33"/>
        <v>2022</v>
      </c>
      <c r="S146" s="86">
        <f t="shared" si="33"/>
        <v>2023</v>
      </c>
      <c r="T146" s="86">
        <f t="shared" si="33"/>
        <v>2024</v>
      </c>
      <c r="U146" s="86">
        <f t="shared" si="33"/>
        <v>2025</v>
      </c>
      <c r="V146" s="86">
        <f t="shared" si="33"/>
        <v>2026</v>
      </c>
      <c r="W146" s="86">
        <f t="shared" si="33"/>
        <v>2027</v>
      </c>
      <c r="X146" s="86">
        <f t="shared" si="33"/>
        <v>2028</v>
      </c>
      <c r="Y146" s="86">
        <f t="shared" si="33"/>
        <v>2029</v>
      </c>
      <c r="Z146" s="86">
        <f t="shared" si="33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245159.0501291535</v>
      </c>
      <c r="P147" s="70">
        <f t="shared" ref="P147:Z147" si="34">P128</f>
        <v>229663.94206862466</v>
      </c>
      <c r="Q147" s="70">
        <f t="shared" si="34"/>
        <v>276164.39595507743</v>
      </c>
      <c r="R147" s="70">
        <f t="shared" si="34"/>
        <v>302790.86724620417</v>
      </c>
      <c r="S147" s="70">
        <f t="shared" si="34"/>
        <v>337642.46793479973</v>
      </c>
      <c r="T147" s="70">
        <f t="shared" si="34"/>
        <v>393017.79973140126</v>
      </c>
      <c r="U147" s="70">
        <f t="shared" si="34"/>
        <v>460719.46841399139</v>
      </c>
      <c r="V147" s="70">
        <f t="shared" si="34"/>
        <v>488144.06923942047</v>
      </c>
      <c r="W147" s="70">
        <f t="shared" si="34"/>
        <v>517448.71248975315</v>
      </c>
      <c r="X147" s="70">
        <f t="shared" si="34"/>
        <v>548766.577668107</v>
      </c>
      <c r="Y147" s="70">
        <f t="shared" si="34"/>
        <v>582240.46880899079</v>
      </c>
      <c r="Z147" s="70">
        <f t="shared" si="34"/>
        <v>617888.84195490833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159682.25916442528</v>
      </c>
      <c r="P148" s="70">
        <f t="shared" ref="P148:Z148" si="35">$J$140</f>
        <v>159682.25916442528</v>
      </c>
      <c r="Q148" s="70">
        <f t="shared" si="35"/>
        <v>159682.25916442528</v>
      </c>
      <c r="R148" s="70">
        <f t="shared" si="35"/>
        <v>159682.25916442528</v>
      </c>
      <c r="S148" s="70">
        <f t="shared" si="35"/>
        <v>159682.25916442528</v>
      </c>
      <c r="T148" s="70">
        <f t="shared" si="35"/>
        <v>159682.25916442528</v>
      </c>
      <c r="U148" s="70">
        <f t="shared" si="35"/>
        <v>159682.25916442528</v>
      </c>
      <c r="V148" s="70">
        <f t="shared" si="35"/>
        <v>159682.25916442528</v>
      </c>
      <c r="W148" s="70">
        <f t="shared" si="35"/>
        <v>159682.25916442528</v>
      </c>
      <c r="X148" s="70">
        <f t="shared" si="35"/>
        <v>159682.25916442528</v>
      </c>
      <c r="Y148" s="70">
        <f t="shared" si="35"/>
        <v>159682.25916442528</v>
      </c>
      <c r="Z148" s="70">
        <f t="shared" si="35"/>
        <v>159682.25916442528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6">(P147&gt;=P148)</f>
        <v>1</v>
      </c>
      <c r="Q149" s="99" t="b">
        <f t="shared" si="36"/>
        <v>1</v>
      </c>
      <c r="R149" s="99" t="b">
        <f t="shared" si="36"/>
        <v>1</v>
      </c>
      <c r="S149" s="99" t="b">
        <f t="shared" si="36"/>
        <v>1</v>
      </c>
      <c r="T149" s="99" t="b">
        <f t="shared" si="36"/>
        <v>1</v>
      </c>
      <c r="U149" s="99" t="b">
        <f t="shared" si="36"/>
        <v>1</v>
      </c>
      <c r="V149" s="99" t="b">
        <f t="shared" si="36"/>
        <v>1</v>
      </c>
      <c r="W149" s="99" t="b">
        <f t="shared" si="36"/>
        <v>1</v>
      </c>
      <c r="X149" s="99" t="b">
        <f t="shared" si="36"/>
        <v>1</v>
      </c>
      <c r="Y149" s="99" t="b">
        <f t="shared" si="36"/>
        <v>1</v>
      </c>
      <c r="Z149" s="99" t="b">
        <f t="shared" si="36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Robinvale Transformer No.2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A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A: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30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A'!$I$8,Inputs!$D$52:$D$57,0),MATCH('Scenario A'!$D9,Inputs!$D$52:$O$52,0))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A'!$I$8,Inputs!$D$52:$D$57,0),MATCH('Scenario A'!$D10,Inputs!$D$52:$O$52,0))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A'!$I$8,Inputs!$D$52:$D$57,0),MATCH('Scenario A'!$D11,Inputs!$D$52:$O$52,0))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A'!$I$8,Inputs!$D$52:$D$57,0),MATCH('Scenario A'!$D12,Inputs!$D$52:$O$52,0))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A'!$I$8,Inputs!$D$52:$D$57,0),MATCH('Scenario A'!$D13,Inputs!$D$52:$O$52,0))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A'!$I$8,Inputs!$D$52:$D$57,0),MATCH('Scenario A'!$D14,Inputs!$D$52:$O$52,0))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26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A'!J17,Inputs!$D$64:$D$66,0))</f>
        <v>3</v>
      </c>
      <c r="J17" s="100" t="s">
        <v>41</v>
      </c>
      <c r="K17" s="101" t="str">
        <f>'Base Case'!K17</f>
        <v>Unserved energy</v>
      </c>
      <c r="L17" s="102"/>
      <c r="M17" s="102"/>
      <c r="N17" s="103"/>
      <c r="O17" s="63">
        <f>O107</f>
        <v>15134890.394598456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3026978.0789196915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A'!J18,Inputs!$D$64:$D$66,0))</f>
        <v>3</v>
      </c>
      <c r="J18" s="104" t="s">
        <v>41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A'!J19,Inputs!$D$64:$D$66,0))</f>
        <v>3</v>
      </c>
      <c r="J19" s="104" t="s">
        <v>41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18253999.002410229</v>
      </c>
      <c r="R19" s="71">
        <v>0</v>
      </c>
      <c r="S19" s="72">
        <v>0</v>
      </c>
      <c r="T19" s="73">
        <f>'Base Case'!$T19</f>
        <v>0.2</v>
      </c>
      <c r="U19" s="74">
        <f t="shared" si="0"/>
        <v>3650799.8004820459</v>
      </c>
      <c r="V19" s="75">
        <f t="shared" si="1"/>
        <v>3650799.8004820459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A'!J20,Inputs!$D$64:$D$66,0))</f>
        <v>3</v>
      </c>
      <c r="J20" s="104" t="s">
        <v>41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12816727.136283187</v>
      </c>
      <c r="S20" s="72">
        <v>0</v>
      </c>
      <c r="T20" s="73">
        <f>'Base Case'!$T20</f>
        <v>0.2</v>
      </c>
      <c r="U20" s="74">
        <f t="shared" si="0"/>
        <v>2563345.4272566377</v>
      </c>
      <c r="V20" s="75">
        <f t="shared" si="1"/>
        <v>2563345.4272566377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A'!J21,Inputs!$D$64:$D$66,0))</f>
        <v>3</v>
      </c>
      <c r="J21" s="104" t="s">
        <v>41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2314770.307964602</v>
      </c>
      <c r="T21" s="73">
        <f>'Base Case'!$T21</f>
        <v>0.2</v>
      </c>
      <c r="U21" s="74">
        <f t="shared" si="0"/>
        <v>462954.06159292045</v>
      </c>
      <c r="V21" s="75">
        <f t="shared" si="1"/>
        <v>462954.06159292045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A'!J22,Inputs!$D$64:$D$66,0))</f>
        <v>3</v>
      </c>
      <c r="J22" s="104" t="s">
        <v>41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0.2</v>
      </c>
      <c r="U22" s="74">
        <f t="shared" si="0"/>
        <v>11398.725663716818</v>
      </c>
      <c r="V22" s="75">
        <f t="shared" si="1"/>
        <v>11398.725663716818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A'!J23,Inputs!$D$64:$D$66,0))</f>
        <v>3</v>
      </c>
      <c r="J23" s="104" t="s">
        <v>41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A'!J24,Inputs!$D$64:$D$66,0))</f>
        <v>3</v>
      </c>
      <c r="J24" s="104" t="s">
        <v>41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A'!J25,Inputs!$D$64:$D$66,0))</f>
        <v>3</v>
      </c>
      <c r="J25" s="104" t="s">
        <v>41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A'!J26,Inputs!$D$64:$D$66,0))</f>
        <v>3</v>
      </c>
      <c r="J26" s="108" t="s">
        <v>41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A'!J27,Inputs!$D$64:$D$66,0))</f>
        <v>2</v>
      </c>
      <c r="J27" s="100" t="s">
        <v>40</v>
      </c>
      <c r="K27" s="101" t="str">
        <f>'Base Case'!K27</f>
        <v>Unserved energy</v>
      </c>
      <c r="L27" s="102"/>
      <c r="M27" s="102"/>
      <c r="N27" s="103"/>
      <c r="O27" s="63">
        <f>O104</f>
        <v>233421.06550164317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177400.00978124881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A'!J28,Inputs!$D$64:$D$66,0))</f>
        <v>2</v>
      </c>
      <c r="J28" s="104" t="s">
        <v>40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A'!J29,Inputs!$D$64:$D$66,0))</f>
        <v>2</v>
      </c>
      <c r="J29" s="104" t="s">
        <v>40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1228594.6511801605</v>
      </c>
      <c r="R29" s="71">
        <v>0</v>
      </c>
      <c r="S29" s="72">
        <v>0</v>
      </c>
      <c r="T29" s="73">
        <f>'Base Case'!$T29</f>
        <v>0.8</v>
      </c>
      <c r="U29" s="74">
        <f t="shared" si="0"/>
        <v>982875.72094412846</v>
      </c>
      <c r="V29" s="75">
        <f t="shared" si="1"/>
        <v>982875.72094412846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A'!J30,Inputs!$D$64:$D$66,0))</f>
        <v>2</v>
      </c>
      <c r="J30" s="104" t="s">
        <v>40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4272242.3787610624</v>
      </c>
      <c r="S30" s="72">
        <v>0</v>
      </c>
      <c r="T30" s="73">
        <f>'Base Case'!$T30</f>
        <v>0.8</v>
      </c>
      <c r="U30" s="74">
        <f t="shared" si="0"/>
        <v>3417793.9030088503</v>
      </c>
      <c r="V30" s="75">
        <f t="shared" si="1"/>
        <v>3417793.9030088503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A'!J31,Inputs!$D$64:$D$66,0))</f>
        <v>2</v>
      </c>
      <c r="J31" s="104" t="s">
        <v>40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0.8</v>
      </c>
      <c r="U31" s="74">
        <f t="shared" si="0"/>
        <v>623887.48800000013</v>
      </c>
      <c r="V31" s="75">
        <f t="shared" si="1"/>
        <v>623887.48800000013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A'!J32,Inputs!$D$64:$D$66,0))</f>
        <v>2</v>
      </c>
      <c r="J32" s="104" t="s">
        <v>40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0.8</v>
      </c>
      <c r="U32" s="74">
        <f t="shared" si="0"/>
        <v>45594.90265486727</v>
      </c>
      <c r="V32" s="75">
        <f t="shared" si="1"/>
        <v>45594.90265486727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A'!J33,Inputs!$D$64:$D$66,0))</f>
        <v>2</v>
      </c>
      <c r="J33" s="104" t="s">
        <v>40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A'!J34,Inputs!$D$64:$D$66,0))</f>
        <v>2</v>
      </c>
      <c r="J34" s="104" t="s">
        <v>40</v>
      </c>
      <c r="K34" s="105" t="str">
        <f>'Base Case'!K34</f>
        <v>Coincident outage risk</v>
      </c>
      <c r="L34" s="106"/>
      <c r="M34" s="106"/>
      <c r="N34" s="107"/>
      <c r="O34" s="74">
        <f>O105</f>
        <v>5937833.5288220244</v>
      </c>
      <c r="P34" s="71">
        <v>0</v>
      </c>
      <c r="Q34" s="70">
        <f>Inputs!$L$161*$I$11</f>
        <v>4745708.8259561602</v>
      </c>
      <c r="R34" s="71">
        <v>0</v>
      </c>
      <c r="S34" s="72">
        <v>0</v>
      </c>
      <c r="T34" s="73">
        <f>'Base Case'!$T34</f>
        <v>0.04</v>
      </c>
      <c r="U34" s="74">
        <f t="shared" si="0"/>
        <v>427341.69419112743</v>
      </c>
      <c r="V34" s="75">
        <f t="shared" si="1"/>
        <v>189828.35303824642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A'!J35,Inputs!$D$64:$D$66,0))</f>
        <v>2</v>
      </c>
      <c r="J35" s="104" t="s">
        <v>40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A'!J36,Inputs!$D$64:$D$66,0))</f>
        <v>2</v>
      </c>
      <c r="J36" s="108" t="s">
        <v>40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A'!J37,Inputs!$D$64:$D$66,0))</f>
        <v>1</v>
      </c>
      <c r="J37" s="100" t="s">
        <v>39</v>
      </c>
      <c r="K37" s="101" t="str">
        <f>'Base Case'!K37</f>
        <v>Unserved energy</v>
      </c>
      <c r="L37" s="102"/>
      <c r="M37" s="102"/>
      <c r="N37" s="103"/>
      <c r="O37" s="63">
        <f>O103</f>
        <v>233421.06550164317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224084.22288157744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A'!J38,Inputs!$D$64:$D$66,0))</f>
        <v>1</v>
      </c>
      <c r="J38" s="104" t="s">
        <v>39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A'!J39,Inputs!$D$64:$D$66,0))</f>
        <v>1</v>
      </c>
      <c r="J39" s="104" t="s">
        <v>39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295106.95168534579</v>
      </c>
      <c r="R39" s="71">
        <v>0</v>
      </c>
      <c r="S39" s="72">
        <v>0</v>
      </c>
      <c r="T39" s="73">
        <f>'Base Case'!$T39</f>
        <v>1</v>
      </c>
      <c r="U39" s="74">
        <f t="shared" si="0"/>
        <v>295106.95168534579</v>
      </c>
      <c r="V39" s="75">
        <f t="shared" si="1"/>
        <v>295106.95168534579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A'!J40,Inputs!$D$64:$D$66,0))</f>
        <v>1</v>
      </c>
      <c r="J40" s="104" t="s">
        <v>39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36817.883893805316</v>
      </c>
      <c r="S40" s="72">
        <v>0</v>
      </c>
      <c r="T40" s="73">
        <f>'Base Case'!$T40</f>
        <v>1</v>
      </c>
      <c r="U40" s="74">
        <f t="shared" si="0"/>
        <v>36817.883893805316</v>
      </c>
      <c r="V40" s="75">
        <f t="shared" si="1"/>
        <v>36817.883893805316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A'!J41,Inputs!$D$64:$D$66,0))</f>
        <v>1</v>
      </c>
      <c r="J41" s="104" t="s">
        <v>39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A'!J42,Inputs!$D$64:$D$66,0))</f>
        <v>1</v>
      </c>
      <c r="J42" s="104" t="s">
        <v>39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A'!J43,Inputs!$D$64:$D$66,0))</f>
        <v>1</v>
      </c>
      <c r="J43" s="104" t="s">
        <v>39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A'!J44,Inputs!$D$64:$D$66,0))</f>
        <v>1</v>
      </c>
      <c r="J44" s="104" t="s">
        <v>39</v>
      </c>
      <c r="K44" s="105" t="str">
        <f>'Base Case'!K44</f>
        <v>Coincident outage risk</v>
      </c>
      <c r="L44" s="106"/>
      <c r="M44" s="106"/>
      <c r="N44" s="107"/>
      <c r="O44" s="74">
        <f>O105</f>
        <v>5937833.5288220244</v>
      </c>
      <c r="P44" s="71">
        <v>0</v>
      </c>
      <c r="Q44" s="70">
        <f>SUM(Inputs!$J$161,Inputs!$L$161*(Inputs!$J$128/Inputs!$L$128))*$I$11</f>
        <v>1236715.8457242665</v>
      </c>
      <c r="R44" s="71">
        <v>0</v>
      </c>
      <c r="S44" s="72">
        <v>0</v>
      </c>
      <c r="T44" s="73">
        <f>'Base Case'!$T44</f>
        <v>0.04</v>
      </c>
      <c r="U44" s="74">
        <f t="shared" si="0"/>
        <v>286981.97498185164</v>
      </c>
      <c r="V44" s="75">
        <f t="shared" si="1"/>
        <v>49468.633828970662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A'!J45,Inputs!$D$64:$D$66,0))</f>
        <v>1</v>
      </c>
      <c r="J45" s="104" t="s">
        <v>39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A'!J46,Inputs!$D$64:$D$66,0))</f>
        <v>1</v>
      </c>
      <c r="J46" s="108" t="s">
        <v>39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A'!J49,Inputs!$D$64:$D$66,0))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6171254.5943236677</v>
      </c>
      <c r="P49" s="70">
        <f t="shared" ref="P49:V49" si="2">SUMIF($I$17:$I$46,$I49,P$17:P$46)</f>
        <v>8261.6387603969597</v>
      </c>
      <c r="Q49" s="70">
        <f t="shared" si="2"/>
        <v>1588816.4257281963</v>
      </c>
      <c r="R49" s="70">
        <f t="shared" si="2"/>
        <v>36817.883893805316</v>
      </c>
      <c r="S49" s="70">
        <f t="shared" si="2"/>
        <v>57169.790442477875</v>
      </c>
      <c r="T49" s="56">
        <f>U49/SUM(O49:S49)</f>
        <v>0.12279022604735676</v>
      </c>
      <c r="U49" s="70">
        <f t="shared" si="2"/>
        <v>965416.09096403909</v>
      </c>
      <c r="V49" s="70">
        <f t="shared" si="2"/>
        <v>503818.52692958066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A'!J50,Inputs!$D$64:$D$66,0))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6171254.5943236677</v>
      </c>
      <c r="P50" s="70">
        <f t="shared" si="3"/>
        <v>28915.735661389357</v>
      </c>
      <c r="Q50" s="70">
        <f t="shared" si="3"/>
        <v>6031297.105454905</v>
      </c>
      <c r="R50" s="70">
        <f t="shared" si="3"/>
        <v>4272242.3787610624</v>
      </c>
      <c r="S50" s="70">
        <f t="shared" si="3"/>
        <v>779859.3600000001</v>
      </c>
      <c r="T50" s="56">
        <f t="shared" ref="T50:T51" si="4">U50/SUM(O50:S50)</f>
        <v>0.32967879780379555</v>
      </c>
      <c r="U50" s="70">
        <f t="shared" si="3"/>
        <v>5698026.3071093336</v>
      </c>
      <c r="V50" s="70">
        <f t="shared" si="3"/>
        <v>5283112.9561752044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A'!J51,Inputs!$D$64:$D$66,0))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15134890.394598456</v>
      </c>
      <c r="P51" s="70">
        <f t="shared" si="3"/>
        <v>28915.735661389357</v>
      </c>
      <c r="Q51" s="70">
        <f t="shared" si="3"/>
        <v>18310992.630728815</v>
      </c>
      <c r="R51" s="70">
        <f t="shared" si="3"/>
        <v>12816727.136283187</v>
      </c>
      <c r="S51" s="70">
        <f t="shared" si="3"/>
        <v>2314770.307964602</v>
      </c>
      <c r="T51" s="56">
        <f t="shared" si="4"/>
        <v>0.19999999999999998</v>
      </c>
      <c r="U51" s="70">
        <f t="shared" si="3"/>
        <v>9721259.2410472892</v>
      </c>
      <c r="V51" s="70">
        <f t="shared" si="3"/>
        <v>6694281.1621275991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16384701.639120661</v>
      </c>
      <c r="V52" s="88">
        <f>SUM(V49:V51)</f>
        <v>12481212.645232383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A: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31.5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20.399999999999999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10.6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ht="13.15" x14ac:dyDescent="0.4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ht="13.15" x14ac:dyDescent="0.4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22.613799999999998</v>
      </c>
      <c r="P69" s="70">
        <f>Inputs!P185*$I$12</f>
        <v>22.474149999999998</v>
      </c>
      <c r="Q69" s="70">
        <f>Inputs!Q185*$I$12</f>
        <v>22.797149999999998</v>
      </c>
      <c r="R69" s="70">
        <f>Inputs!R185*$I$12</f>
        <v>22.774349999999998</v>
      </c>
      <c r="S69" s="70">
        <f>Inputs!S185*$I$12</f>
        <v>22.7316</v>
      </c>
      <c r="T69" s="70">
        <f>Inputs!T185*$I$12</f>
        <v>23.6265</v>
      </c>
      <c r="U69" s="70">
        <f>Inputs!U185*$I$12</f>
        <v>23.775649999999999</v>
      </c>
      <c r="V69" s="70">
        <f>Inputs!V185*$I$12</f>
        <v>23.775649999999999</v>
      </c>
      <c r="W69" s="70">
        <f>Inputs!W185*$I$12</f>
        <v>23.775649999999999</v>
      </c>
      <c r="X69" s="70">
        <f>Inputs!X185*$I$12</f>
        <v>23.775649999999999</v>
      </c>
      <c r="Y69" s="70">
        <f>Inputs!Y185*$I$12</f>
        <v>23.775649999999999</v>
      </c>
      <c r="Z69" s="70">
        <f>Inputs!Z185*$I$12</f>
        <v>23.775649999999999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ht="13.15" x14ac:dyDescent="0.4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20.024099999999997</v>
      </c>
      <c r="P70" s="70">
        <f>Inputs!P186*$I$12</f>
        <v>19.610849999999999</v>
      </c>
      <c r="Q70" s="70">
        <f>Inputs!Q186*$I$12</f>
        <v>20.00225</v>
      </c>
      <c r="R70" s="70">
        <f>Inputs!R186*$I$12</f>
        <v>20.177050000000001</v>
      </c>
      <c r="S70" s="70">
        <f>Inputs!S186*$I$12</f>
        <v>20.439250000000001</v>
      </c>
      <c r="T70" s="70">
        <f>Inputs!T186*$I$12</f>
        <v>20.52</v>
      </c>
      <c r="U70" s="70">
        <f>Inputs!U186*$I$12</f>
        <v>20.831599999999998</v>
      </c>
      <c r="V70" s="70">
        <f>Inputs!V186*$I$12</f>
        <v>20.831599999999998</v>
      </c>
      <c r="W70" s="70">
        <f>Inputs!W186*$I$12</f>
        <v>20.831599999999998</v>
      </c>
      <c r="X70" s="70">
        <f>Inputs!X186*$I$12</f>
        <v>20.831599999999998</v>
      </c>
      <c r="Y70" s="70">
        <f>Inputs!Y186*$I$12</f>
        <v>20.831599999999998</v>
      </c>
      <c r="Z70" s="70">
        <f>Inputs!Z186*$I$12</f>
        <v>20.831599999999998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ht="13.15" x14ac:dyDescent="0.4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20.801009999999998</v>
      </c>
      <c r="P71" s="70">
        <f>Inputs!P187*$I$12</f>
        <v>20.469839999999998</v>
      </c>
      <c r="Q71" s="70">
        <f>Inputs!Q187*$I$12</f>
        <v>20.840719999999997</v>
      </c>
      <c r="R71" s="70">
        <f>Inputs!R187*$I$12</f>
        <v>20.956240000000001</v>
      </c>
      <c r="S71" s="70">
        <f>Inputs!S187*$I$12</f>
        <v>21.126954999999999</v>
      </c>
      <c r="T71" s="70">
        <f>Inputs!T187*$I$12</f>
        <v>21.45195</v>
      </c>
      <c r="U71" s="70">
        <f>Inputs!U187*$I$12</f>
        <v>21.714815000000002</v>
      </c>
      <c r="V71" s="70">
        <f>Inputs!V187*$I$12</f>
        <v>21.714815000000002</v>
      </c>
      <c r="W71" s="70">
        <f>Inputs!W187*$I$12</f>
        <v>21.714815000000002</v>
      </c>
      <c r="X71" s="70">
        <f>Inputs!X187*$I$12</f>
        <v>21.714815000000002</v>
      </c>
      <c r="Y71" s="70">
        <f>Inputs!Y187*$I$12</f>
        <v>21.714815000000002</v>
      </c>
      <c r="Z71" s="70">
        <f>Inputs!Z187*$I$12</f>
        <v>21.714815000000002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ht="13.15" x14ac:dyDescent="0.4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ht="13.15" x14ac:dyDescent="0.4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ht="13.15" x14ac:dyDescent="0.4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ht="13.15" x14ac:dyDescent="0.4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96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96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0.40100999999999942</v>
      </c>
      <c r="P77" s="70">
        <f t="shared" si="5"/>
        <v>6.9839999999999236E-2</v>
      </c>
      <c r="Q77" s="70">
        <f t="shared" si="5"/>
        <v>0.44071999999999889</v>
      </c>
      <c r="R77" s="70">
        <f t="shared" si="5"/>
        <v>0.55624000000000251</v>
      </c>
      <c r="S77" s="70">
        <f t="shared" si="5"/>
        <v>0.72695500000000024</v>
      </c>
      <c r="T77" s="70">
        <f t="shared" si="5"/>
        <v>1.0519500000000015</v>
      </c>
      <c r="U77" s="70">
        <f t="shared" si="5"/>
        <v>1.314815000000003</v>
      </c>
      <c r="V77" s="70">
        <f t="shared" si="5"/>
        <v>1.314815000000003</v>
      </c>
      <c r="W77" s="70">
        <f t="shared" si="5"/>
        <v>1.314815000000003</v>
      </c>
      <c r="X77" s="70">
        <f t="shared" si="5"/>
        <v>1.314815000000003</v>
      </c>
      <c r="Y77" s="70">
        <f t="shared" si="5"/>
        <v>1.314815000000003</v>
      </c>
      <c r="Z77" s="70">
        <f t="shared" si="5"/>
        <v>1.314815000000003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96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10.201009999999998</v>
      </c>
      <c r="P78" s="70">
        <f t="shared" si="5"/>
        <v>9.8698399999999982</v>
      </c>
      <c r="Q78" s="70">
        <f t="shared" si="5"/>
        <v>10.240719999999998</v>
      </c>
      <c r="R78" s="70">
        <f t="shared" si="5"/>
        <v>10.356240000000001</v>
      </c>
      <c r="S78" s="70">
        <f t="shared" si="5"/>
        <v>10.526954999999999</v>
      </c>
      <c r="T78" s="70">
        <f t="shared" si="5"/>
        <v>10.85195</v>
      </c>
      <c r="U78" s="70">
        <f t="shared" si="5"/>
        <v>11.114815000000002</v>
      </c>
      <c r="V78" s="70">
        <f t="shared" si="5"/>
        <v>11.114815000000002</v>
      </c>
      <c r="W78" s="70">
        <f t="shared" si="5"/>
        <v>11.114815000000002</v>
      </c>
      <c r="X78" s="70">
        <f t="shared" si="5"/>
        <v>11.114815000000002</v>
      </c>
      <c r="Y78" s="70">
        <f t="shared" si="5"/>
        <v>11.114815000000002</v>
      </c>
      <c r="Z78" s="70">
        <f t="shared" si="5"/>
        <v>11.114815000000002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96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20.801009999999998</v>
      </c>
      <c r="P79" s="70">
        <f t="shared" si="5"/>
        <v>20.469839999999998</v>
      </c>
      <c r="Q79" s="70">
        <f t="shared" si="5"/>
        <v>20.840719999999997</v>
      </c>
      <c r="R79" s="70">
        <f t="shared" si="5"/>
        <v>20.956240000000001</v>
      </c>
      <c r="S79" s="70">
        <f t="shared" si="5"/>
        <v>21.126954999999999</v>
      </c>
      <c r="T79" s="70">
        <f t="shared" si="5"/>
        <v>21.45195</v>
      </c>
      <c r="U79" s="70">
        <f t="shared" si="5"/>
        <v>21.714815000000002</v>
      </c>
      <c r="V79" s="70">
        <f t="shared" si="5"/>
        <v>21.714815000000002</v>
      </c>
      <c r="W79" s="70">
        <f t="shared" si="5"/>
        <v>21.714815000000002</v>
      </c>
      <c r="X79" s="70">
        <f t="shared" si="5"/>
        <v>21.714815000000002</v>
      </c>
      <c r="Y79" s="70">
        <f t="shared" si="5"/>
        <v>21.714815000000002</v>
      </c>
      <c r="Z79" s="70">
        <f t="shared" si="5"/>
        <v>21.714815000000002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9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20.801009999999998</v>
      </c>
      <c r="P80" s="70">
        <f t="shared" si="5"/>
        <v>20.469839999999998</v>
      </c>
      <c r="Q80" s="70">
        <f t="shared" si="5"/>
        <v>20.840719999999997</v>
      </c>
      <c r="R80" s="70">
        <f t="shared" si="5"/>
        <v>20.956240000000001</v>
      </c>
      <c r="S80" s="70">
        <f t="shared" si="5"/>
        <v>21.126954999999999</v>
      </c>
      <c r="T80" s="70">
        <f t="shared" si="5"/>
        <v>21.45195</v>
      </c>
      <c r="U80" s="70">
        <f t="shared" si="5"/>
        <v>21.714815000000002</v>
      </c>
      <c r="V80" s="70">
        <f t="shared" si="5"/>
        <v>21.714815000000002</v>
      </c>
      <c r="W80" s="70">
        <f t="shared" si="5"/>
        <v>21.714815000000002</v>
      </c>
      <c r="X80" s="70">
        <f t="shared" si="5"/>
        <v>21.714815000000002</v>
      </c>
      <c r="Y80" s="70">
        <f t="shared" si="5"/>
        <v>21.714815000000002</v>
      </c>
      <c r="Z80" s="70">
        <f t="shared" si="5"/>
        <v>21.714815000000002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2</v>
      </c>
      <c r="P88" s="70">
        <f>ROUNDUP(ROUNDUP(P77/Inputs!$J$114,0)/(Inputs!$J$118*Inputs!$J$115*Inputs!$J$114),0)+1</f>
        <v>2</v>
      </c>
      <c r="Q88" s="70">
        <f>ROUNDUP(ROUNDUP(Q77/Inputs!$J$114,0)/(Inputs!$J$118*Inputs!$J$115*Inputs!$J$114),0)+1</f>
        <v>2</v>
      </c>
      <c r="R88" s="70">
        <f>ROUNDUP(ROUNDUP(R77/Inputs!$J$114,0)/(Inputs!$J$118*Inputs!$J$115*Inputs!$J$114),0)+1</f>
        <v>2</v>
      </c>
      <c r="S88" s="70">
        <f>ROUNDUP(ROUNDUP(S77/Inputs!$J$114,0)/(Inputs!$J$118*Inputs!$J$115*Inputs!$J$114),0)+1</f>
        <v>2</v>
      </c>
      <c r="T88" s="70">
        <f>ROUNDUP(ROUNDUP(T77/Inputs!$J$114,0)/(Inputs!$J$118*Inputs!$J$115*Inputs!$J$114),0)+1</f>
        <v>2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2</v>
      </c>
      <c r="P90" s="93">
        <f t="shared" ref="P90:Z90" si="10">IFERROR((P88-P89)/P88,0)*MAX(0,P88)</f>
        <v>2</v>
      </c>
      <c r="Q90" s="93">
        <f t="shared" si="10"/>
        <v>2</v>
      </c>
      <c r="R90" s="93">
        <f t="shared" si="10"/>
        <v>2</v>
      </c>
      <c r="S90" s="93">
        <f t="shared" si="10"/>
        <v>2</v>
      </c>
      <c r="T90" s="93">
        <f t="shared" si="10"/>
        <v>2</v>
      </c>
      <c r="U90" s="93">
        <f t="shared" si="10"/>
        <v>2</v>
      </c>
      <c r="V90" s="93">
        <f t="shared" si="10"/>
        <v>2</v>
      </c>
      <c r="W90" s="93">
        <f t="shared" si="10"/>
        <v>2</v>
      </c>
      <c r="X90" s="93">
        <f t="shared" si="10"/>
        <v>2</v>
      </c>
      <c r="Y90" s="93">
        <f t="shared" si="10"/>
        <v>2</v>
      </c>
      <c r="Z90" s="93">
        <f t="shared" si="10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2</v>
      </c>
      <c r="P91" s="70">
        <f>ROUNDUP(ROUNDUP(P78/Inputs!$J$114,0)/(Inputs!$J$118*Inputs!$J$115*Inputs!$J$114),0)+1</f>
        <v>2</v>
      </c>
      <c r="Q91" s="70">
        <f>ROUNDUP(ROUNDUP(Q78/Inputs!$J$114,0)/(Inputs!$J$118*Inputs!$J$115*Inputs!$J$114),0)+1</f>
        <v>2</v>
      </c>
      <c r="R91" s="70">
        <f>ROUNDUP(ROUNDUP(R78/Inputs!$J$114,0)/(Inputs!$J$118*Inputs!$J$115*Inputs!$J$114),0)+1</f>
        <v>2</v>
      </c>
      <c r="S91" s="70">
        <f>ROUNDUP(ROUNDUP(S78/Inputs!$J$114,0)/(Inputs!$J$118*Inputs!$J$115*Inputs!$J$114),0)+1</f>
        <v>2</v>
      </c>
      <c r="T91" s="70">
        <f>ROUNDUP(ROUNDUP(T78/Inputs!$J$114,0)/(Inputs!$J$118*Inputs!$J$115*Inputs!$J$114),0)+1</f>
        <v>2</v>
      </c>
      <c r="U91" s="70">
        <f>ROUNDUP(ROUNDUP(U78/Inputs!$J$114,0)/(Inputs!$J$118*Inputs!$J$115*Inputs!$J$114),0)+1</f>
        <v>2</v>
      </c>
      <c r="V91" s="70">
        <f>ROUNDUP(ROUNDUP(V78/Inputs!$J$114,0)/(Inputs!$J$118*Inputs!$J$115*Inputs!$J$114),0)+1</f>
        <v>2</v>
      </c>
      <c r="W91" s="70">
        <f>ROUNDUP(ROUNDUP(W78/Inputs!$J$114,0)/(Inputs!$J$118*Inputs!$J$115*Inputs!$J$114),0)+1</f>
        <v>2</v>
      </c>
      <c r="X91" s="70">
        <f>ROUNDUP(ROUNDUP(X78/Inputs!$J$114,0)/(Inputs!$J$118*Inputs!$J$115*Inputs!$J$114),0)+1</f>
        <v>2</v>
      </c>
      <c r="Y91" s="70">
        <f>ROUNDUP(ROUNDUP(Y78/Inputs!$J$114,0)/(Inputs!$J$118*Inputs!$J$115*Inputs!$J$114),0)+1</f>
        <v>2</v>
      </c>
      <c r="Z91" s="70">
        <f>ROUNDUP(ROUNDUP(Z78/Inputs!$J$114,0)/(Inputs!$J$118*Inputs!$J$115*Inputs!$J$114),0)+1</f>
        <v>2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</v>
      </c>
      <c r="P92" s="70">
        <f t="shared" ref="P92:Z92" si="11">MAX(0,((P91-1)-1)/2)</f>
        <v>0</v>
      </c>
      <c r="Q92" s="70">
        <f t="shared" si="11"/>
        <v>0</v>
      </c>
      <c r="R92" s="70">
        <f t="shared" si="11"/>
        <v>0</v>
      </c>
      <c r="S92" s="70">
        <f t="shared" si="11"/>
        <v>0</v>
      </c>
      <c r="T92" s="70">
        <f t="shared" si="11"/>
        <v>0</v>
      </c>
      <c r="U92" s="70">
        <f t="shared" si="11"/>
        <v>0</v>
      </c>
      <c r="V92" s="70">
        <f t="shared" si="11"/>
        <v>0</v>
      </c>
      <c r="W92" s="70">
        <f t="shared" si="11"/>
        <v>0</v>
      </c>
      <c r="X92" s="70">
        <f t="shared" si="11"/>
        <v>0</v>
      </c>
      <c r="Y92" s="70">
        <f t="shared" si="11"/>
        <v>0</v>
      </c>
      <c r="Z92" s="70">
        <f t="shared" si="11"/>
        <v>0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</v>
      </c>
      <c r="P93" s="93">
        <f t="shared" ref="P93:Z93" si="12">IFERROR((P91-P92)/P91,0)*MAX(0,P91)</f>
        <v>2</v>
      </c>
      <c r="Q93" s="93">
        <f t="shared" si="12"/>
        <v>2</v>
      </c>
      <c r="R93" s="93">
        <f t="shared" si="12"/>
        <v>2</v>
      </c>
      <c r="S93" s="93">
        <f t="shared" si="12"/>
        <v>2</v>
      </c>
      <c r="T93" s="93">
        <f t="shared" si="12"/>
        <v>2</v>
      </c>
      <c r="U93" s="93">
        <f t="shared" si="12"/>
        <v>2</v>
      </c>
      <c r="V93" s="93">
        <f t="shared" si="12"/>
        <v>2</v>
      </c>
      <c r="W93" s="93">
        <f t="shared" si="12"/>
        <v>2</v>
      </c>
      <c r="X93" s="93">
        <f t="shared" si="12"/>
        <v>2</v>
      </c>
      <c r="Y93" s="93">
        <f t="shared" si="12"/>
        <v>2</v>
      </c>
      <c r="Z93" s="93">
        <f t="shared" si="12"/>
        <v>2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3</v>
      </c>
      <c r="V94" s="70">
        <f>ROUNDUP(ROUNDUP(V79/Inputs!$J$114,0)/(Inputs!$J$118*Inputs!$J$115*Inputs!$J$114),0)+1</f>
        <v>3</v>
      </c>
      <c r="W94" s="70">
        <f>ROUNDUP(ROUNDUP(W79/Inputs!$J$114,0)/(Inputs!$J$118*Inputs!$J$115*Inputs!$J$114),0)+1</f>
        <v>3</v>
      </c>
      <c r="X94" s="70">
        <f>ROUNDUP(ROUNDUP(X79/Inputs!$J$114,0)/(Inputs!$J$118*Inputs!$J$115*Inputs!$J$114),0)+1</f>
        <v>3</v>
      </c>
      <c r="Y94" s="70">
        <f>ROUNDUP(ROUNDUP(Y79/Inputs!$J$114,0)/(Inputs!$J$118*Inputs!$J$115*Inputs!$J$114),0)+1</f>
        <v>3</v>
      </c>
      <c r="Z94" s="70">
        <f>ROUNDUP(ROUNDUP(Z79/Inputs!$J$114,0)/(Inputs!$J$118*Inputs!$J$115*Inputs!$J$114),0)+1</f>
        <v>3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3">MAX(0,((P94-1)-1)/2)</f>
        <v>0.5</v>
      </c>
      <c r="Q95" s="70">
        <f t="shared" si="13"/>
        <v>0.5</v>
      </c>
      <c r="R95" s="70">
        <f t="shared" si="13"/>
        <v>0.5</v>
      </c>
      <c r="S95" s="70">
        <f t="shared" si="13"/>
        <v>0.5</v>
      </c>
      <c r="T95" s="70">
        <f t="shared" si="13"/>
        <v>0.5</v>
      </c>
      <c r="U95" s="70">
        <f t="shared" si="13"/>
        <v>0.5</v>
      </c>
      <c r="V95" s="70">
        <f t="shared" si="13"/>
        <v>0.5</v>
      </c>
      <c r="W95" s="70">
        <f t="shared" si="13"/>
        <v>0.5</v>
      </c>
      <c r="X95" s="70">
        <f t="shared" si="13"/>
        <v>0.5</v>
      </c>
      <c r="Y95" s="70">
        <f t="shared" si="13"/>
        <v>0.5</v>
      </c>
      <c r="Z95" s="70">
        <f t="shared" si="13"/>
        <v>0.5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4">IFERROR((P94-P95)/P94,0)*MAX(0,P94)</f>
        <v>2.5</v>
      </c>
      <c r="Q96" s="93">
        <f t="shared" si="14"/>
        <v>2.5</v>
      </c>
      <c r="R96" s="93">
        <f t="shared" si="14"/>
        <v>2.5</v>
      </c>
      <c r="S96" s="93">
        <f t="shared" si="14"/>
        <v>2.5</v>
      </c>
      <c r="T96" s="93">
        <f t="shared" si="14"/>
        <v>2.5</v>
      </c>
      <c r="U96" s="93">
        <f t="shared" si="14"/>
        <v>2.5</v>
      </c>
      <c r="V96" s="93">
        <f t="shared" si="14"/>
        <v>2.5</v>
      </c>
      <c r="W96" s="93">
        <f t="shared" si="14"/>
        <v>2.5</v>
      </c>
      <c r="X96" s="93">
        <f t="shared" si="14"/>
        <v>2.5</v>
      </c>
      <c r="Y96" s="93">
        <f t="shared" si="14"/>
        <v>2.5</v>
      </c>
      <c r="Z96" s="93">
        <f t="shared" si="14"/>
        <v>2.5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3</v>
      </c>
      <c r="V97" s="70">
        <f>ROUNDUP(ROUNDUP(V80/Inputs!$J$114,0)/(Inputs!$J$118*Inputs!$J$115*Inputs!$J$114),0)+1</f>
        <v>3</v>
      </c>
      <c r="W97" s="70">
        <f>ROUNDUP(ROUNDUP(W80/Inputs!$J$114,0)/(Inputs!$J$118*Inputs!$J$115*Inputs!$J$114),0)+1</f>
        <v>3</v>
      </c>
      <c r="X97" s="70">
        <f>ROUNDUP(ROUNDUP(X80/Inputs!$J$114,0)/(Inputs!$J$118*Inputs!$J$115*Inputs!$J$114),0)+1</f>
        <v>3</v>
      </c>
      <c r="Y97" s="70">
        <f>ROUNDUP(ROUNDUP(Y80/Inputs!$J$114,0)/(Inputs!$J$118*Inputs!$J$115*Inputs!$J$114),0)+1</f>
        <v>3</v>
      </c>
      <c r="Z97" s="70">
        <f>ROUNDUP(ROUNDUP(Z80/Inputs!$J$114,0)/(Inputs!$J$118*Inputs!$J$115*Inputs!$J$114),0)+1</f>
        <v>3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5">MAX(0,((P97-1)-1)/2)</f>
        <v>0.5</v>
      </c>
      <c r="Q98" s="70">
        <f t="shared" si="15"/>
        <v>0.5</v>
      </c>
      <c r="R98" s="70">
        <f t="shared" si="15"/>
        <v>0.5</v>
      </c>
      <c r="S98" s="70">
        <f t="shared" si="15"/>
        <v>0.5</v>
      </c>
      <c r="T98" s="70">
        <f t="shared" si="15"/>
        <v>0.5</v>
      </c>
      <c r="U98" s="70">
        <f t="shared" si="15"/>
        <v>0.5</v>
      </c>
      <c r="V98" s="70">
        <f t="shared" si="15"/>
        <v>0.5</v>
      </c>
      <c r="W98" s="70">
        <f t="shared" si="15"/>
        <v>0.5</v>
      </c>
      <c r="X98" s="70">
        <f t="shared" si="15"/>
        <v>0.5</v>
      </c>
      <c r="Y98" s="70">
        <f t="shared" si="15"/>
        <v>0.5</v>
      </c>
      <c r="Z98" s="70">
        <f t="shared" si="15"/>
        <v>0.5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16">IFERROR((P97-P98)/P97,0)*MAX(0,P97)</f>
        <v>2.5</v>
      </c>
      <c r="Q99" s="93">
        <f t="shared" si="16"/>
        <v>2.5</v>
      </c>
      <c r="R99" s="93">
        <f t="shared" si="16"/>
        <v>2.5</v>
      </c>
      <c r="S99" s="93">
        <f t="shared" si="16"/>
        <v>2.5</v>
      </c>
      <c r="T99" s="93">
        <f t="shared" si="16"/>
        <v>2.5</v>
      </c>
      <c r="U99" s="93">
        <f t="shared" si="16"/>
        <v>2.5</v>
      </c>
      <c r="V99" s="93">
        <f t="shared" si="16"/>
        <v>2.5</v>
      </c>
      <c r="W99" s="93">
        <f t="shared" si="16"/>
        <v>2.5</v>
      </c>
      <c r="X99" s="93">
        <f t="shared" si="16"/>
        <v>2.5</v>
      </c>
      <c r="Y99" s="93">
        <f t="shared" si="16"/>
        <v>2.5</v>
      </c>
      <c r="Z99" s="93">
        <f t="shared" si="16"/>
        <v>2.5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233421.06550164317</v>
      </c>
      <c r="P103" s="70">
        <f>P77*Inputs!$M$75*IF(Inputs!$J$126&gt;0,Inputs!$J$126,P90*Inputs!$J$123)*$I$13</f>
        <v>40652.670044723585</v>
      </c>
      <c r="Q103" s="70">
        <f>Q77*Inputs!$M$75*IF(Inputs!$J$126&gt;0,Inputs!$J$126,Q90*Inputs!$J$123)*$I$13</f>
        <v>256535.57763617884</v>
      </c>
      <c r="R103" s="70">
        <f>R77*Inputs!$M$75*IF(Inputs!$J$126&gt;0,Inputs!$J$126,R90*Inputs!$J$123)*$I$13</f>
        <v>323777.79475483095</v>
      </c>
      <c r="S103" s="70">
        <f>S77*Inputs!$M$75*IF(Inputs!$J$126&gt;0,Inputs!$J$126,S90*Inputs!$J$123)*$I$13</f>
        <v>423148.07778296631</v>
      </c>
      <c r="T103" s="70">
        <f>T77*Inputs!$M$75*IF(Inputs!$J$126&gt;0,Inputs!$J$126,T90*Inputs!$J$123)*$I$13</f>
        <v>612322.11130509025</v>
      </c>
      <c r="U103" s="70">
        <f>U77*Inputs!$M$75*IF(Inputs!$J$126&gt;0,Inputs!$J$126,U90*Inputs!$J$123)*$I$13</f>
        <v>765331.33397557191</v>
      </c>
      <c r="V103" s="70">
        <f>V77*Inputs!$M$75*IF(Inputs!$J$126&gt;0,Inputs!$J$126,V90*Inputs!$J$123)*$I$13</f>
        <v>765331.33397557191</v>
      </c>
      <c r="W103" s="70">
        <f>W77*Inputs!$M$75*IF(Inputs!$J$126&gt;0,Inputs!$J$126,W90*Inputs!$J$123)*$I$13</f>
        <v>765331.33397557191</v>
      </c>
      <c r="X103" s="70">
        <f>X77*Inputs!$M$75*IF(Inputs!$J$126&gt;0,Inputs!$J$126,X90*Inputs!$J$123)*$I$13</f>
        <v>765331.33397557191</v>
      </c>
      <c r="Y103" s="70">
        <f>Y77*Inputs!$M$75*IF(Inputs!$J$126&gt;0,Inputs!$J$126,Y90*Inputs!$J$123)*$I$13</f>
        <v>765331.33397557191</v>
      </c>
      <c r="Z103" s="70">
        <f>Z77*Inputs!$M$75*IF(Inputs!$J$126&gt;0,Inputs!$J$126,Z90*Inputs!$J$123)*$I$13</f>
        <v>765331.33397557191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233421.06550164317</v>
      </c>
      <c r="P104" s="70">
        <f>P77*Inputs!$M$75*IF(Inputs!$K$126&gt;0,Inputs!$K$126,P90*Inputs!$J$123)*$I$13</f>
        <v>40652.670044723585</v>
      </c>
      <c r="Q104" s="70">
        <f>Q77*Inputs!$M$75*IF(Inputs!$K$126&gt;0,Inputs!$K$126,Q90*Inputs!$J$123)*$I$13</f>
        <v>256535.57763617884</v>
      </c>
      <c r="R104" s="70">
        <f>R77*Inputs!$M$75*IF(Inputs!$K$126&gt;0,Inputs!$K$126,R90*Inputs!$J$123)*$I$13</f>
        <v>323777.79475483095</v>
      </c>
      <c r="S104" s="70">
        <f>S77*Inputs!$M$75*IF(Inputs!$K$126&gt;0,Inputs!$K$126,S90*Inputs!$J$123)*$I$13</f>
        <v>423148.07778296631</v>
      </c>
      <c r="T104" s="70">
        <f>T77*Inputs!$M$75*IF(Inputs!$K$126&gt;0,Inputs!$K$126,T90*Inputs!$J$123)*$I$13</f>
        <v>612322.11130509025</v>
      </c>
      <c r="U104" s="70">
        <f>U77*Inputs!$M$75*IF(Inputs!$K$126&gt;0,Inputs!$K$126,U90*Inputs!$J$123)*$I$13</f>
        <v>765331.33397557191</v>
      </c>
      <c r="V104" s="70">
        <f>V77*Inputs!$M$75*IF(Inputs!$K$126&gt;0,Inputs!$K$126,V90*Inputs!$J$123)*$I$13</f>
        <v>765331.33397557191</v>
      </c>
      <c r="W104" s="70">
        <f>W77*Inputs!$M$75*IF(Inputs!$K$126&gt;0,Inputs!$K$126,W90*Inputs!$J$123)*$I$13</f>
        <v>765331.33397557191</v>
      </c>
      <c r="X104" s="70">
        <f>X77*Inputs!$M$75*IF(Inputs!$K$126&gt;0,Inputs!$K$126,X90*Inputs!$J$123)*$I$13</f>
        <v>765331.33397557191</v>
      </c>
      <c r="Y104" s="70">
        <f>Y77*Inputs!$M$75*IF(Inputs!$K$126&gt;0,Inputs!$K$126,Y90*Inputs!$J$123)*$I$13</f>
        <v>765331.33397557191</v>
      </c>
      <c r="Z104" s="70">
        <f>Z77*Inputs!$M$75*IF(Inputs!$K$126&gt;0,Inputs!$K$126,Z90*Inputs!$J$123)*$I$13</f>
        <v>765331.33397557191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5937833.5288220244</v>
      </c>
      <c r="P105" s="70">
        <f>P78*Inputs!$M$75*IF(Inputs!$M$126&gt;0,Inputs!$M$126,P93*Inputs!$J$123)*$I$13</f>
        <v>5745065.133365104</v>
      </c>
      <c r="Q105" s="70">
        <f>Q78*Inputs!$M$75*IF(Inputs!$M$126&gt;0,Inputs!$M$126,Q93*Inputs!$J$123)*$I$13</f>
        <v>5960948.0409565605</v>
      </c>
      <c r="R105" s="70">
        <f>R78*Inputs!$M$75*IF(Inputs!$M$126&gt;0,Inputs!$M$126,R93*Inputs!$J$123)*$I$13</f>
        <v>6028190.2580752121</v>
      </c>
      <c r="S105" s="70">
        <f>S78*Inputs!$M$75*IF(Inputs!$M$126&gt;0,Inputs!$M$126,S93*Inputs!$J$123)*$I$13</f>
        <v>6127560.5411033472</v>
      </c>
      <c r="T105" s="70">
        <f>T78*Inputs!$M$75*IF(Inputs!$M$126&gt;0,Inputs!$M$126,T93*Inputs!$J$123)*$I$13</f>
        <v>6316734.5746254716</v>
      </c>
      <c r="U105" s="70">
        <f>U78*Inputs!$M$75*IF(Inputs!$M$126&gt;0,Inputs!$M$126,U93*Inputs!$J$123)*$I$13</f>
        <v>6469743.7972959531</v>
      </c>
      <c r="V105" s="70">
        <f>V78*Inputs!$M$75*IF(Inputs!$M$126&gt;0,Inputs!$M$126,V93*Inputs!$J$123)*$I$13</f>
        <v>6469743.7972959531</v>
      </c>
      <c r="W105" s="70">
        <f>W78*Inputs!$M$75*IF(Inputs!$M$126&gt;0,Inputs!$M$126,W93*Inputs!$J$123)*$I$13</f>
        <v>6469743.7972959531</v>
      </c>
      <c r="X105" s="70">
        <f>X78*Inputs!$M$75*IF(Inputs!$M$126&gt;0,Inputs!$M$126,X93*Inputs!$J$123)*$I$13</f>
        <v>6469743.7972959531</v>
      </c>
      <c r="Y105" s="70">
        <f>Y78*Inputs!$M$75*IF(Inputs!$M$126&gt;0,Inputs!$M$126,Y93*Inputs!$J$123)*$I$13</f>
        <v>6469743.7972959531</v>
      </c>
      <c r="Z105" s="70">
        <f>Z78*Inputs!$M$75*IF(Inputs!$M$126&gt;0,Inputs!$M$126,Z93*Inputs!$J$123)*$I$13</f>
        <v>6469743.7972959531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15134890.394598456</v>
      </c>
      <c r="P106" s="70">
        <f>P79*Inputs!$M$75*IF(Inputs!$M$126&gt;0,Inputs!$M$126,P96*Inputs!$J$123)*$I$13</f>
        <v>14893929.900277307</v>
      </c>
      <c r="Q106" s="70">
        <f>Q79*Inputs!$M$75*IF(Inputs!$M$126&gt;0,Inputs!$M$126,Q96*Inputs!$J$123)*$I$13</f>
        <v>15163783.534766626</v>
      </c>
      <c r="R106" s="70">
        <f>R79*Inputs!$M$75*IF(Inputs!$M$126&gt;0,Inputs!$M$126,R96*Inputs!$J$123)*$I$13</f>
        <v>15247836.306164939</v>
      </c>
      <c r="S106" s="70">
        <f>S79*Inputs!$M$75*IF(Inputs!$M$126&gt;0,Inputs!$M$126,S96*Inputs!$J$123)*$I$13</f>
        <v>15372049.159950107</v>
      </c>
      <c r="T106" s="70">
        <f>T79*Inputs!$M$75*IF(Inputs!$M$126&gt;0,Inputs!$M$126,T96*Inputs!$J$123)*$I$13</f>
        <v>15608516.701852765</v>
      </c>
      <c r="U106" s="70">
        <f>U79*Inputs!$M$75*IF(Inputs!$M$126&gt;0,Inputs!$M$126,U96*Inputs!$J$123)*$I$13</f>
        <v>15799778.230190866</v>
      </c>
      <c r="V106" s="70">
        <f>V79*Inputs!$M$75*IF(Inputs!$M$126&gt;0,Inputs!$M$126,V96*Inputs!$J$123)*$I$13</f>
        <v>15799778.230190866</v>
      </c>
      <c r="W106" s="70">
        <f>W79*Inputs!$M$75*IF(Inputs!$M$126&gt;0,Inputs!$M$126,W96*Inputs!$J$123)*$I$13</f>
        <v>15799778.230190866</v>
      </c>
      <c r="X106" s="70">
        <f>X79*Inputs!$M$75*IF(Inputs!$M$126&gt;0,Inputs!$M$126,X96*Inputs!$J$123)*$I$13</f>
        <v>15799778.230190866</v>
      </c>
      <c r="Y106" s="70">
        <f>Y79*Inputs!$M$75*IF(Inputs!$M$126&gt;0,Inputs!$M$126,Y96*Inputs!$J$123)*$I$13</f>
        <v>15799778.230190866</v>
      </c>
      <c r="Z106" s="70">
        <f>Z79*Inputs!$M$75*IF(Inputs!$M$126&gt;0,Inputs!$M$126,Z96*Inputs!$J$123)*$I$13</f>
        <v>15799778.230190866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15134890.394598456</v>
      </c>
      <c r="P107" s="70">
        <f>P80*Inputs!$M$75*IF(Inputs!$M$126&gt;0,Inputs!$M$126,P99*Inputs!$J$123)*$I$13</f>
        <v>14893929.900277307</v>
      </c>
      <c r="Q107" s="70">
        <f>Q80*Inputs!$M$75*IF(Inputs!$M$126&gt;0,Inputs!$M$126,Q99*Inputs!$J$123)*$I$13</f>
        <v>15163783.534766626</v>
      </c>
      <c r="R107" s="70">
        <f>R80*Inputs!$M$75*IF(Inputs!$M$126&gt;0,Inputs!$M$126,R99*Inputs!$J$123)*$I$13</f>
        <v>15247836.306164939</v>
      </c>
      <c r="S107" s="70">
        <f>S80*Inputs!$M$75*IF(Inputs!$M$126&gt;0,Inputs!$M$126,S99*Inputs!$J$123)*$I$13</f>
        <v>15372049.159950107</v>
      </c>
      <c r="T107" s="70">
        <f>T80*Inputs!$M$75*IF(Inputs!$M$126&gt;0,Inputs!$M$126,T99*Inputs!$J$123)*$I$13</f>
        <v>15608516.701852765</v>
      </c>
      <c r="U107" s="70">
        <f>U80*Inputs!$M$75*IF(Inputs!$M$126&gt;0,Inputs!$M$126,U99*Inputs!$J$123)*$I$13</f>
        <v>15799778.230190866</v>
      </c>
      <c r="V107" s="70">
        <f>V80*Inputs!$M$75*IF(Inputs!$M$126&gt;0,Inputs!$M$126,V99*Inputs!$J$123)*$I$13</f>
        <v>15799778.230190866</v>
      </c>
      <c r="W107" s="70">
        <f>W80*Inputs!$M$75*IF(Inputs!$M$126&gt;0,Inputs!$M$126,W99*Inputs!$J$123)*$I$13</f>
        <v>15799778.230190866</v>
      </c>
      <c r="X107" s="70">
        <f>X80*Inputs!$M$75*IF(Inputs!$M$126&gt;0,Inputs!$M$126,X99*Inputs!$J$123)*$I$13</f>
        <v>15799778.230190866</v>
      </c>
      <c r="Y107" s="70">
        <f>Y80*Inputs!$M$75*IF(Inputs!$M$126&gt;0,Inputs!$M$126,Y99*Inputs!$J$123)*$I$13</f>
        <v>15799778.230190866</v>
      </c>
      <c r="Z107" s="70">
        <f>Z80*Inputs!$M$75*IF(Inputs!$M$126&gt;0,Inputs!$M$126,Z99*Inputs!$J$123)*$I$13</f>
        <v>15799778.230190866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0.10730092846105713</v>
      </c>
      <c r="P114" s="56">
        <f>Inputs!P64*$I$9</f>
        <v>0.11400473578994509</v>
      </c>
      <c r="Q114" s="56">
        <f>Inputs!Q64*$I$9</f>
        <v>0.12116176475208544</v>
      </c>
      <c r="R114" s="56">
        <f>Inputs!R64*$I$9</f>
        <v>0.12880384375727855</v>
      </c>
      <c r="S114" s="56">
        <f>Inputs!S64*$I$9</f>
        <v>0.13696508852433933</v>
      </c>
      <c r="T114" s="56">
        <f>Inputs!T64*$I$9</f>
        <v>0.14568206887598315</v>
      </c>
      <c r="U114" s="56">
        <f>Inputs!U64*$I$9</f>
        <v>0.15499398781331775</v>
      </c>
      <c r="V114" s="56">
        <f>Inputs!V64*$I$9</f>
        <v>0.1649428737796988</v>
      </c>
      <c r="W114" s="56">
        <f>Inputs!W64*$I$9</f>
        <v>0.17557378709139601</v>
      </c>
      <c r="X114" s="56">
        <f>Inputs!X64*$I$9</f>
        <v>0.18693504158524568</v>
      </c>
      <c r="Y114" s="56">
        <f>Inputs!Y64*$I$9</f>
        <v>0.19907844261163041</v>
      </c>
      <c r="Z114" s="56">
        <f>Inputs!Z64*$I$9</f>
        <v>0.21201068551183985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5.7688671215622113E-4</v>
      </c>
      <c r="P115" s="56">
        <f>Inputs!P65*$I$9</f>
        <v>6.1292868704271536E-4</v>
      </c>
      <c r="Q115" s="56">
        <f>Inputs!Q65*$I$9</f>
        <v>6.5140733737680337E-4</v>
      </c>
      <c r="R115" s="56">
        <f>Inputs!R65*$I$9</f>
        <v>6.9249378364128237E-4</v>
      </c>
      <c r="S115" s="56">
        <f>Inputs!S65*$I$9</f>
        <v>7.3637144367924372E-4</v>
      </c>
      <c r="T115" s="56">
        <f>Inputs!T65*$I$9</f>
        <v>7.8323692944076966E-4</v>
      </c>
      <c r="U115" s="56">
        <f>Inputs!U65*$I$9</f>
        <v>8.3330100974902E-4</v>
      </c>
      <c r="V115" s="56">
        <f>Inputs!V65*$I$9</f>
        <v>8.8678964397687521E-4</v>
      </c>
      <c r="W115" s="56">
        <f>Inputs!W65*$I$9</f>
        <v>9.439450918892259E-4</v>
      </c>
      <c r="X115" s="56">
        <f>Inputs!X65*$I$9</f>
        <v>1.0050271052970195E-3</v>
      </c>
      <c r="Y115" s="56">
        <f>Inputs!Y65*$I$9</f>
        <v>1.0703142075894109E-3</v>
      </c>
      <c r="Z115" s="56">
        <f>Inputs!Z65*$I$9</f>
        <v>1.1398423952249455E-3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5.7688671215622113E-4</v>
      </c>
      <c r="P116" s="56">
        <f>Inputs!P66*$I$9</f>
        <v>6.1292868704271536E-4</v>
      </c>
      <c r="Q116" s="56">
        <f>Inputs!Q66*$I$9</f>
        <v>6.5140733737680337E-4</v>
      </c>
      <c r="R116" s="56">
        <f>Inputs!R66*$I$9</f>
        <v>6.9249378364128237E-4</v>
      </c>
      <c r="S116" s="56">
        <f>Inputs!S66*$I$9</f>
        <v>7.3637144367924372E-4</v>
      </c>
      <c r="T116" s="56">
        <f>Inputs!T66*$I$9</f>
        <v>7.8323692944076966E-4</v>
      </c>
      <c r="U116" s="56">
        <f>Inputs!U66*$I$9</f>
        <v>8.3330100974902E-4</v>
      </c>
      <c r="V116" s="56">
        <f>Inputs!V66*$I$9</f>
        <v>8.8678964397687521E-4</v>
      </c>
      <c r="W116" s="56">
        <f>Inputs!W66*$I$9</f>
        <v>9.439450918892259E-4</v>
      </c>
      <c r="X116" s="56">
        <f>Inputs!X66*$I$9</f>
        <v>1.0050271052970195E-3</v>
      </c>
      <c r="Y116" s="56">
        <f>Inputs!Y66*$I$9</f>
        <v>1.0703142075894109E-3</v>
      </c>
      <c r="Z116" s="56">
        <f>Inputs!Z66*$I$9</f>
        <v>1.1398423952249455E-3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24044.44516866772</v>
      </c>
      <c r="P119" s="70">
        <f t="shared" ref="P119:Z119" si="17">P103*P114*$T$37</f>
        <v>4449.2130313003463</v>
      </c>
      <c r="Q119" s="70">
        <f t="shared" si="17"/>
        <v>29839.011175771248</v>
      </c>
      <c r="R119" s="70">
        <f t="shared" si="17"/>
        <v>40035.671508170351</v>
      </c>
      <c r="S119" s="70">
        <f t="shared" si="17"/>
        <v>55638.253375150081</v>
      </c>
      <c r="T119" s="70">
        <f t="shared" si="17"/>
        <v>85636.177913698149</v>
      </c>
      <c r="U119" s="70">
        <f t="shared" si="17"/>
        <v>113876.8852333056</v>
      </c>
      <c r="V119" s="70">
        <f t="shared" si="17"/>
        <v>121186.51163479801</v>
      </c>
      <c r="W119" s="70">
        <f t="shared" si="17"/>
        <v>128997.23585836909</v>
      </c>
      <c r="X119" s="70">
        <f t="shared" si="17"/>
        <v>137344.55495348648</v>
      </c>
      <c r="Y119" s="70">
        <f t="shared" si="17"/>
        <v>146266.53124774891</v>
      </c>
      <c r="Z119" s="70">
        <f t="shared" si="17"/>
        <v>155768.08392945776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102.33970837918611</v>
      </c>
      <c r="P120" s="70">
        <f t="shared" ref="P120:Z120" si="20">P104*P115*$T$27</f>
        <v>18.937062633222798</v>
      </c>
      <c r="Q120" s="70">
        <f t="shared" si="20"/>
        <v>127.00295975350664</v>
      </c>
      <c r="R120" s="70">
        <f t="shared" si="20"/>
        <v>170.40272371309061</v>
      </c>
      <c r="S120" s="70">
        <f t="shared" si="20"/>
        <v>236.81156230462625</v>
      </c>
      <c r="T120" s="70">
        <f t="shared" si="20"/>
        <v>364.49090061833897</v>
      </c>
      <c r="U120" s="70">
        <f t="shared" si="20"/>
        <v>484.69104377975054</v>
      </c>
      <c r="V120" s="70">
        <f t="shared" si="20"/>
        <v>515.80280489721372</v>
      </c>
      <c r="W120" s="70">
        <f t="shared" si="20"/>
        <v>549.04737484520911</v>
      </c>
      <c r="X120" s="70">
        <f t="shared" si="20"/>
        <v>584.57583873571741</v>
      </c>
      <c r="Y120" s="70">
        <f t="shared" si="20"/>
        <v>622.55020020323241</v>
      </c>
      <c r="Z120" s="70">
        <f t="shared" si="20"/>
        <v>662.99139665315806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1746.223431716935</v>
      </c>
      <c r="P121" s="70">
        <f t="shared" ref="P121:Z121" si="21">P107*P116*$T$17</f>
        <v>1825.783379736642</v>
      </c>
      <c r="Q121" s="70">
        <f t="shared" si="21"/>
        <v>1975.5599713881079</v>
      </c>
      <c r="R121" s="70">
        <f t="shared" si="21"/>
        <v>2111.8063711998147</v>
      </c>
      <c r="S121" s="70">
        <f t="shared" si="21"/>
        <v>2263.9076064441533</v>
      </c>
      <c r="T121" s="70">
        <f t="shared" si="21"/>
        <v>2445.0333389368257</v>
      </c>
      <c r="U121" s="70">
        <f t="shared" si="21"/>
        <v>2633.1942306057267</v>
      </c>
      <c r="V121" s="70">
        <f t="shared" si="21"/>
        <v>2802.2159423329085</v>
      </c>
      <c r="W121" s="70">
        <f t="shared" si="21"/>
        <v>2982.8246226653819</v>
      </c>
      <c r="X121" s="70">
        <f t="shared" si="21"/>
        <v>3175.8410758047185</v>
      </c>
      <c r="Y121" s="70">
        <f t="shared" si="21"/>
        <v>3382.1454233070322</v>
      </c>
      <c r="Z121" s="70">
        <f t="shared" si="21"/>
        <v>3601.8514123847417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25485.402027591939</v>
      </c>
      <c r="P122" s="88">
        <f t="shared" ref="P122:Z122" si="22">P105*P114*$T$44</f>
        <v>26198.585305012573</v>
      </c>
      <c r="Q122" s="88">
        <f t="shared" si="22"/>
        <v>28889.559369511335</v>
      </c>
      <c r="R122" s="88">
        <f t="shared" si="22"/>
        <v>31058.16304561073</v>
      </c>
      <c r="S122" s="88">
        <f t="shared" si="22"/>
        <v>33570.474878018744</v>
      </c>
      <c r="T122" s="88">
        <f t="shared" si="22"/>
        <v>36809.398454875678</v>
      </c>
      <c r="U122" s="88">
        <f t="shared" si="22"/>
        <v>40110.855650935082</v>
      </c>
      <c r="V122" s="88">
        <f t="shared" si="22"/>
        <v>42685.525381775027</v>
      </c>
      <c r="W122" s="88">
        <f t="shared" si="22"/>
        <v>45436.696800092788</v>
      </c>
      <c r="X122" s="88">
        <f t="shared" si="22"/>
        <v>48376.873031736177</v>
      </c>
      <c r="Y122" s="88">
        <f t="shared" si="22"/>
        <v>51519.460770477366</v>
      </c>
      <c r="Z122" s="88">
        <f t="shared" si="22"/>
        <v>54866.192702027562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137.0182904709244</v>
      </c>
      <c r="P123" s="70">
        <f t="shared" ref="P123:Z123" si="23">P105*P115*$T$34</f>
        <v>140.85260916673423</v>
      </c>
      <c r="Q123" s="70">
        <f t="shared" si="23"/>
        <v>155.32021166403942</v>
      </c>
      <c r="R123" s="70">
        <f t="shared" si="23"/>
        <v>166.97937121296087</v>
      </c>
      <c r="S123" s="70">
        <f t="shared" si="23"/>
        <v>180.48642407536957</v>
      </c>
      <c r="T123" s="70">
        <f t="shared" si="23"/>
        <v>197.89999169288004</v>
      </c>
      <c r="U123" s="70">
        <f t="shared" si="23"/>
        <v>215.64976156416705</v>
      </c>
      <c r="V123" s="70">
        <f t="shared" si="23"/>
        <v>229.49207194502699</v>
      </c>
      <c r="W123" s="70">
        <f t="shared" si="23"/>
        <v>244.28331612953113</v>
      </c>
      <c r="X123" s="70">
        <f t="shared" si="23"/>
        <v>260.09071522438796</v>
      </c>
      <c r="Y123" s="70">
        <f t="shared" si="23"/>
        <v>276.98634822837295</v>
      </c>
      <c r="Z123" s="70">
        <f t="shared" si="23"/>
        <v>294.97953065606214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54060.195715426118</v>
      </c>
      <c r="P124" s="88">
        <f t="shared" si="24"/>
        <v>57437.698048686179</v>
      </c>
      <c r="Q124" s="88">
        <f t="shared" si="24"/>
        <v>61043.541837584075</v>
      </c>
      <c r="R124" s="88">
        <f t="shared" si="24"/>
        <v>64893.762824659942</v>
      </c>
      <c r="S124" s="88">
        <f t="shared" si="24"/>
        <v>69005.549141112264</v>
      </c>
      <c r="T124" s="88">
        <f t="shared" si="24"/>
        <v>73397.325341151532</v>
      </c>
      <c r="U124" s="88">
        <f t="shared" si="24"/>
        <v>78088.842623047123</v>
      </c>
      <c r="V124" s="88">
        <f t="shared" si="24"/>
        <v>83101.275695219607</v>
      </c>
      <c r="W124" s="88">
        <f t="shared" si="24"/>
        <v>88457.32677983497</v>
      </c>
      <c r="X124" s="88">
        <f t="shared" si="24"/>
        <v>94181.337282998385</v>
      </c>
      <c r="Y124" s="88">
        <f t="shared" si="24"/>
        <v>100299.4077000267</v>
      </c>
      <c r="Z124" s="88">
        <f t="shared" si="24"/>
        <v>106814.91126790574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3047.7576632378477</v>
      </c>
      <c r="P125" s="70">
        <f t="shared" si="25"/>
        <v>3238.1714877268264</v>
      </c>
      <c r="Q125" s="70">
        <f t="shared" si="25"/>
        <v>3441.4585438429822</v>
      </c>
      <c r="R125" s="70">
        <f t="shared" si="25"/>
        <v>3658.5228804260478</v>
      </c>
      <c r="S125" s="70">
        <f t="shared" si="25"/>
        <v>3890.3335146592522</v>
      </c>
      <c r="T125" s="70">
        <f t="shared" si="25"/>
        <v>4137.9291696834143</v>
      </c>
      <c r="U125" s="70">
        <f t="shared" si="25"/>
        <v>4402.4233609989278</v>
      </c>
      <c r="V125" s="70">
        <f t="shared" si="25"/>
        <v>4685.0098574962258</v>
      </c>
      <c r="W125" s="70">
        <f t="shared" si="25"/>
        <v>4986.9685448779628</v>
      </c>
      <c r="X125" s="70">
        <f t="shared" si="25"/>
        <v>5309.6717213019447</v>
      </c>
      <c r="Y125" s="70">
        <f t="shared" si="25"/>
        <v>5654.5908572940143</v>
      </c>
      <c r="Z125" s="70">
        <f t="shared" si="25"/>
        <v>6021.9161262106873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3861.8418498691176</v>
      </c>
      <c r="P126" s="70">
        <f t="shared" si="26"/>
        <v>4103.1169633976524</v>
      </c>
      <c r="Q126" s="70">
        <f t="shared" si="26"/>
        <v>4360.7038674732321</v>
      </c>
      <c r="R126" s="70">
        <f t="shared" si="26"/>
        <v>4635.7480907203017</v>
      </c>
      <c r="S126" s="70">
        <f t="shared" si="26"/>
        <v>4929.4774837506657</v>
      </c>
      <c r="T126" s="70">
        <f t="shared" si="26"/>
        <v>5243.2082222380077</v>
      </c>
      <c r="U126" s="70">
        <f t="shared" si="26"/>
        <v>5578.3512519447713</v>
      </c>
      <c r="V126" s="70">
        <f t="shared" si="26"/>
        <v>5936.4192084442357</v>
      </c>
      <c r="W126" s="70">
        <f t="shared" si="26"/>
        <v>6319.0338467168503</v>
      </c>
      <c r="X126" s="70">
        <f t="shared" si="26"/>
        <v>6727.9340184174689</v>
      </c>
      <c r="Y126" s="70">
        <f t="shared" si="26"/>
        <v>7164.9842374233222</v>
      </c>
      <c r="Z126" s="70">
        <f t="shared" si="26"/>
        <v>7630.4254741487539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36817.883893805316</v>
      </c>
      <c r="P127" s="70">
        <f>Inputs!$J$27*$I$11</f>
        <v>36817.883893805316</v>
      </c>
      <c r="Q127" s="70">
        <f>Inputs!$J$27*$I$11</f>
        <v>36817.883893805316</v>
      </c>
      <c r="R127" s="70">
        <f>Inputs!$J$27*$I$11</f>
        <v>36817.883893805316</v>
      </c>
      <c r="S127" s="70">
        <f>Inputs!$J$27*$I$11</f>
        <v>36817.883893805316</v>
      </c>
      <c r="T127" s="70">
        <f>Inputs!$J$27*$I$11</f>
        <v>36817.883893805316</v>
      </c>
      <c r="U127" s="70">
        <f>Inputs!$J$27*$I$11</f>
        <v>36817.883893805316</v>
      </c>
      <c r="V127" s="70">
        <f>Inputs!$J$27*$I$11</f>
        <v>36817.883893805316</v>
      </c>
      <c r="W127" s="70">
        <f>Inputs!$J$27*$I$11</f>
        <v>36817.883893805316</v>
      </c>
      <c r="X127" s="70">
        <f>Inputs!$J$27*$I$11</f>
        <v>36817.883893805316</v>
      </c>
      <c r="Y127" s="70">
        <f>Inputs!$J$27*$I$11</f>
        <v>36817.883893805316</v>
      </c>
      <c r="Z127" s="70">
        <f>Inputs!$J$27*$I$11</f>
        <v>36817.883893805316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149303.10774916509</v>
      </c>
      <c r="P128" s="98">
        <f t="shared" ref="P128:Z128" si="27">SUM(P119:P127)</f>
        <v>134230.24178146551</v>
      </c>
      <c r="Q128" s="98">
        <f t="shared" si="27"/>
        <v>166650.04183079384</v>
      </c>
      <c r="R128" s="98">
        <f t="shared" si="27"/>
        <v>183548.94070951859</v>
      </c>
      <c r="S128" s="98">
        <f t="shared" si="27"/>
        <v>206533.17787932049</v>
      </c>
      <c r="T128" s="98">
        <f t="shared" si="27"/>
        <v>245049.34722670016</v>
      </c>
      <c r="U128" s="98">
        <f t="shared" si="27"/>
        <v>282208.77704998647</v>
      </c>
      <c r="V128" s="98">
        <f t="shared" si="27"/>
        <v>297960.13649071357</v>
      </c>
      <c r="W128" s="98">
        <f t="shared" si="27"/>
        <v>314791.30103733711</v>
      </c>
      <c r="X128" s="98">
        <f t="shared" si="27"/>
        <v>332778.76253151067</v>
      </c>
      <c r="Y128" s="98">
        <f t="shared" si="27"/>
        <v>352004.54067851434</v>
      </c>
      <c r="Z128" s="98">
        <f t="shared" si="27"/>
        <v>372479.23573324981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A'!$I$10</f>
        <v>0</v>
      </c>
      <c r="P135" s="70">
        <f>Inputs!P22*'Scenario A'!$I$10</f>
        <v>0</v>
      </c>
      <c r="Q135" s="70">
        <f>Inputs!Q22*'Scenario A'!$I$10</f>
        <v>0</v>
      </c>
      <c r="R135" s="70">
        <f>Inputs!R22*'Scenario A'!$I$10</f>
        <v>56993.62831858408</v>
      </c>
      <c r="S135" s="70">
        <f>Inputs!S22*'Scenario A'!$I$10</f>
        <v>854904.42477876111</v>
      </c>
      <c r="T135" s="70">
        <f>Inputs!T22*'Scenario A'!$I$10</f>
        <v>3360344.325663717</v>
      </c>
      <c r="U135" s="70">
        <f>Inputs!U22*'Scenario A'!$I$10</f>
        <v>0</v>
      </c>
      <c r="V135" s="70">
        <f>Inputs!V22*'Scenario A'!$I$10</f>
        <v>0</v>
      </c>
      <c r="W135" s="70">
        <f>Inputs!W22*'Scenario A'!$I$10</f>
        <v>0</v>
      </c>
      <c r="X135" s="70">
        <f>Inputs!X22*'Scenario A'!$I$10</f>
        <v>0</v>
      </c>
      <c r="Y135" s="70">
        <f>Inputs!Y22*'Scenario A'!$I$10</f>
        <v>0</v>
      </c>
      <c r="Z135" s="70">
        <f>Inputs!Z22*'Scenario A'!$I$10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0</v>
      </c>
      <c r="R136" s="70">
        <f t="shared" si="28"/>
        <v>1</v>
      </c>
      <c r="S136" s="70">
        <f t="shared" si="28"/>
        <v>1</v>
      </c>
      <c r="T136" s="70">
        <f t="shared" si="28"/>
        <v>1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1.0557562500000002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A'!O135:Z135,'Scenario A'!O137:Z137),0,0)</f>
        <v>159236.32012511557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16414.164955752214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175650.48508086777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149303.10774916509</v>
      </c>
      <c r="P147" s="70">
        <f t="shared" ref="P147:Z147" si="30">P128</f>
        <v>134230.24178146551</v>
      </c>
      <c r="Q147" s="70">
        <f t="shared" si="30"/>
        <v>166650.04183079384</v>
      </c>
      <c r="R147" s="70">
        <f t="shared" si="30"/>
        <v>183548.94070951859</v>
      </c>
      <c r="S147" s="70">
        <f t="shared" si="30"/>
        <v>206533.17787932049</v>
      </c>
      <c r="T147" s="70">
        <f t="shared" si="30"/>
        <v>245049.34722670016</v>
      </c>
      <c r="U147" s="70">
        <f t="shared" si="30"/>
        <v>282208.77704998647</v>
      </c>
      <c r="V147" s="70">
        <f t="shared" si="30"/>
        <v>297960.13649071357</v>
      </c>
      <c r="W147" s="70">
        <f t="shared" si="30"/>
        <v>314791.30103733711</v>
      </c>
      <c r="X147" s="70">
        <f t="shared" si="30"/>
        <v>332778.76253151067</v>
      </c>
      <c r="Y147" s="70">
        <f t="shared" si="30"/>
        <v>352004.54067851434</v>
      </c>
      <c r="Z147" s="70">
        <f t="shared" si="30"/>
        <v>372479.23573324981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175650.48508086777</v>
      </c>
      <c r="P148" s="70">
        <f t="shared" ref="P148:Z148" si="31">$J$140</f>
        <v>175650.48508086777</v>
      </c>
      <c r="Q148" s="70">
        <f t="shared" si="31"/>
        <v>175650.48508086777</v>
      </c>
      <c r="R148" s="70">
        <f t="shared" si="31"/>
        <v>175650.48508086777</v>
      </c>
      <c r="S148" s="70">
        <f t="shared" si="31"/>
        <v>175650.48508086777</v>
      </c>
      <c r="T148" s="70">
        <f t="shared" si="31"/>
        <v>175650.48508086777</v>
      </c>
      <c r="U148" s="70">
        <f t="shared" si="31"/>
        <v>175650.48508086777</v>
      </c>
      <c r="V148" s="70">
        <f t="shared" si="31"/>
        <v>175650.48508086777</v>
      </c>
      <c r="W148" s="70">
        <f t="shared" si="31"/>
        <v>175650.48508086777</v>
      </c>
      <c r="X148" s="70">
        <f t="shared" si="31"/>
        <v>175650.48508086777</v>
      </c>
      <c r="Y148" s="70">
        <f t="shared" si="31"/>
        <v>175650.48508086777</v>
      </c>
      <c r="Z148" s="70">
        <f t="shared" si="31"/>
        <v>175650.48508086777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2">(P147&gt;=P148)</f>
        <v>0</v>
      </c>
      <c r="Q149" s="99" t="b">
        <f t="shared" si="32"/>
        <v>0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10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.125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Robinvale Transformer No.2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B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B'!$I$8,Inputs!$D$52:$D$57,0),MATCH('Scenario B'!$D9,Inputs!$D$52:$O$52,0))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B'!$I$8,Inputs!$D$52:$D$57,0),MATCH('Scenario B'!$D10,Inputs!$D$52:$O$52,0))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B'!$I$8,Inputs!$D$52:$D$57,0),MATCH('Scenario B'!$D11,Inputs!$D$52:$O$52,0))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B'!$I$8,Inputs!$D$52:$D$57,0),MATCH('Scenario B'!$D12,Inputs!$D$52:$O$52,0))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B'!$I$8,Inputs!$D$52:$D$57,0),MATCH('Scenario B'!$D13,Inputs!$D$52:$O$52,0))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B'!$I$8,Inputs!$D$52:$D$57,0),MATCH('Scenario B'!$D14,Inputs!$D$52:$O$52,0))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26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B'!J17,Inputs!$D$64:$D$66,0))</f>
        <v>3</v>
      </c>
      <c r="J17" s="100" t="s">
        <v>41</v>
      </c>
      <c r="K17" s="101" t="str">
        <f>'Base Case'!K17</f>
        <v>Unserved energy</v>
      </c>
      <c r="L17" s="102"/>
      <c r="M17" s="102"/>
      <c r="N17" s="103"/>
      <c r="O17" s="63">
        <f>O107</f>
        <v>15134890.394598456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3026978.0789196915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B'!J18,Inputs!$D$64:$D$66,0))</f>
        <v>3</v>
      </c>
      <c r="J18" s="104" t="s">
        <v>41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B'!J19,Inputs!$D$64:$D$66,0))</f>
        <v>3</v>
      </c>
      <c r="J19" s="104" t="s">
        <v>41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14935090.092881095</v>
      </c>
      <c r="R19" s="71">
        <v>0</v>
      </c>
      <c r="S19" s="72">
        <v>0</v>
      </c>
      <c r="T19" s="73">
        <f>'Base Case'!$T19</f>
        <v>0.2</v>
      </c>
      <c r="U19" s="74">
        <f t="shared" si="0"/>
        <v>2987018.0185762192</v>
      </c>
      <c r="V19" s="75">
        <f t="shared" si="1"/>
        <v>2987018.0185762192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B'!J20,Inputs!$D$64:$D$66,0))</f>
        <v>3</v>
      </c>
      <c r="J20" s="104" t="s">
        <v>41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10486413.111504424</v>
      </c>
      <c r="S20" s="72">
        <v>0</v>
      </c>
      <c r="T20" s="73">
        <f>'Base Case'!$T20</f>
        <v>0.2</v>
      </c>
      <c r="U20" s="74">
        <f t="shared" si="0"/>
        <v>2097282.6223008852</v>
      </c>
      <c r="V20" s="75">
        <f t="shared" si="1"/>
        <v>2097282.6223008852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B'!J21,Inputs!$D$64:$D$66,0))</f>
        <v>3</v>
      </c>
      <c r="J21" s="104" t="s">
        <v>41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2314770.307964602</v>
      </c>
      <c r="T21" s="73">
        <f>'Base Case'!$T21</f>
        <v>0.2</v>
      </c>
      <c r="U21" s="74">
        <f t="shared" si="0"/>
        <v>462954.06159292045</v>
      </c>
      <c r="V21" s="75">
        <f t="shared" si="1"/>
        <v>462954.06159292045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B'!J22,Inputs!$D$64:$D$66,0))</f>
        <v>3</v>
      </c>
      <c r="J22" s="104" t="s">
        <v>41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0.2</v>
      </c>
      <c r="U22" s="74">
        <f t="shared" si="0"/>
        <v>9326.2300884955766</v>
      </c>
      <c r="V22" s="75">
        <f t="shared" si="1"/>
        <v>9326.2300884955766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B'!J23,Inputs!$D$64:$D$66,0))</f>
        <v>3</v>
      </c>
      <c r="J23" s="104" t="s">
        <v>41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B'!J24,Inputs!$D$64:$D$66,0))</f>
        <v>3</v>
      </c>
      <c r="J24" s="104" t="s">
        <v>41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B'!J25,Inputs!$D$64:$D$66,0))</f>
        <v>3</v>
      </c>
      <c r="J25" s="104" t="s">
        <v>41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B'!J26,Inputs!$D$64:$D$66,0))</f>
        <v>3</v>
      </c>
      <c r="J26" s="108" t="s">
        <v>41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B'!J27,Inputs!$D$64:$D$66,0))</f>
        <v>2</v>
      </c>
      <c r="J27" s="100" t="s">
        <v>40</v>
      </c>
      <c r="K27" s="101" t="str">
        <f>'Base Case'!K27</f>
        <v>Unserved energy</v>
      </c>
      <c r="L27" s="102"/>
      <c r="M27" s="102"/>
      <c r="N27" s="103"/>
      <c r="O27" s="63">
        <f>O104</f>
        <v>233421.06550164317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177400.00978124881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B'!J28,Inputs!$D$64:$D$66,0))</f>
        <v>2</v>
      </c>
      <c r="J28" s="104" t="s">
        <v>40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B'!J29,Inputs!$D$64:$D$66,0))</f>
        <v>2</v>
      </c>
      <c r="J29" s="104" t="s">
        <v>40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1005213.8055110404</v>
      </c>
      <c r="R29" s="71">
        <v>0</v>
      </c>
      <c r="S29" s="72">
        <v>0</v>
      </c>
      <c r="T29" s="73">
        <f>'Base Case'!$T29</f>
        <v>0.8</v>
      </c>
      <c r="U29" s="74">
        <f t="shared" si="0"/>
        <v>804171.04440883233</v>
      </c>
      <c r="V29" s="75">
        <f t="shared" si="1"/>
        <v>804171.04440883233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B'!J30,Inputs!$D$64:$D$66,0))</f>
        <v>2</v>
      </c>
      <c r="J30" s="104" t="s">
        <v>40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3495471.0371681419</v>
      </c>
      <c r="S30" s="72">
        <v>0</v>
      </c>
      <c r="T30" s="73">
        <f>'Base Case'!$T30</f>
        <v>0.8</v>
      </c>
      <c r="U30" s="74">
        <f t="shared" si="0"/>
        <v>2796376.8297345135</v>
      </c>
      <c r="V30" s="75">
        <f t="shared" si="1"/>
        <v>2796376.8297345135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B'!J31,Inputs!$D$64:$D$66,0))</f>
        <v>2</v>
      </c>
      <c r="J31" s="104" t="s">
        <v>40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0.8</v>
      </c>
      <c r="U31" s="74">
        <f t="shared" si="0"/>
        <v>623887.48800000013</v>
      </c>
      <c r="V31" s="75">
        <f t="shared" si="1"/>
        <v>623887.48800000013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B'!J32,Inputs!$D$64:$D$66,0))</f>
        <v>2</v>
      </c>
      <c r="J32" s="104" t="s">
        <v>40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0.8</v>
      </c>
      <c r="U32" s="74">
        <f t="shared" si="0"/>
        <v>37304.920353982307</v>
      </c>
      <c r="V32" s="75">
        <f t="shared" si="1"/>
        <v>37304.920353982307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B'!J33,Inputs!$D$64:$D$66,0))</f>
        <v>2</v>
      </c>
      <c r="J33" s="104" t="s">
        <v>40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B'!J34,Inputs!$D$64:$D$66,0))</f>
        <v>2</v>
      </c>
      <c r="J34" s="104" t="s">
        <v>40</v>
      </c>
      <c r="K34" s="105" t="str">
        <f>'Base Case'!K34</f>
        <v>Coincident outage risk</v>
      </c>
      <c r="L34" s="106"/>
      <c r="M34" s="106"/>
      <c r="N34" s="107"/>
      <c r="O34" s="74">
        <f>O105</f>
        <v>5937833.5288220244</v>
      </c>
      <c r="P34" s="71">
        <v>0</v>
      </c>
      <c r="Q34" s="70">
        <f>Inputs!$L$161*$I$11</f>
        <v>3882852.6757823126</v>
      </c>
      <c r="R34" s="71">
        <v>0</v>
      </c>
      <c r="S34" s="72">
        <v>0</v>
      </c>
      <c r="T34" s="73">
        <f>'Base Case'!$T34</f>
        <v>0.04</v>
      </c>
      <c r="U34" s="74">
        <f t="shared" si="0"/>
        <v>392827.4481841735</v>
      </c>
      <c r="V34" s="75">
        <f t="shared" si="1"/>
        <v>155314.10703129251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B'!J35,Inputs!$D$64:$D$66,0))</f>
        <v>2</v>
      </c>
      <c r="J35" s="104" t="s">
        <v>40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B'!J36,Inputs!$D$64:$D$66,0))</f>
        <v>2</v>
      </c>
      <c r="J36" s="108" t="s">
        <v>40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B'!J37,Inputs!$D$64:$D$66,0))</f>
        <v>1</v>
      </c>
      <c r="J37" s="100" t="s">
        <v>39</v>
      </c>
      <c r="K37" s="101" t="str">
        <f>'Base Case'!K37</f>
        <v>Unserved energy</v>
      </c>
      <c r="L37" s="102"/>
      <c r="M37" s="102"/>
      <c r="N37" s="103"/>
      <c r="O37" s="63">
        <f>O103</f>
        <v>233421.06550164317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224084.22288157744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B'!J38,Inputs!$D$64:$D$66,0))</f>
        <v>1</v>
      </c>
      <c r="J38" s="104" t="s">
        <v>39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B'!J39,Inputs!$D$64:$D$66,0))</f>
        <v>1</v>
      </c>
      <c r="J39" s="104" t="s">
        <v>39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241451.14228801019</v>
      </c>
      <c r="R39" s="71">
        <v>0</v>
      </c>
      <c r="S39" s="72">
        <v>0</v>
      </c>
      <c r="T39" s="73">
        <f>'Base Case'!$T39</f>
        <v>1</v>
      </c>
      <c r="U39" s="74">
        <f t="shared" si="0"/>
        <v>241451.14228801019</v>
      </c>
      <c r="V39" s="75">
        <f t="shared" si="1"/>
        <v>241451.14228801019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B'!J40,Inputs!$D$64:$D$66,0))</f>
        <v>1</v>
      </c>
      <c r="J40" s="104" t="s">
        <v>39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30123.723185840714</v>
      </c>
      <c r="S40" s="72">
        <v>0</v>
      </c>
      <c r="T40" s="73">
        <f>'Base Case'!$T40</f>
        <v>1</v>
      </c>
      <c r="U40" s="74">
        <f t="shared" si="0"/>
        <v>30123.723185840714</v>
      </c>
      <c r="V40" s="75">
        <f t="shared" si="1"/>
        <v>30123.723185840714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B'!J41,Inputs!$D$64:$D$66,0))</f>
        <v>1</v>
      </c>
      <c r="J41" s="104" t="s">
        <v>39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B'!J42,Inputs!$D$64:$D$66,0))</f>
        <v>1</v>
      </c>
      <c r="J42" s="104" t="s">
        <v>39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B'!J43,Inputs!$D$64:$D$66,0))</f>
        <v>1</v>
      </c>
      <c r="J43" s="104" t="s">
        <v>39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B'!J44,Inputs!$D$64:$D$66,0))</f>
        <v>1</v>
      </c>
      <c r="J44" s="104" t="s">
        <v>39</v>
      </c>
      <c r="K44" s="105" t="str">
        <f>'Base Case'!K44</f>
        <v>Coincident outage risk</v>
      </c>
      <c r="L44" s="106"/>
      <c r="M44" s="106"/>
      <c r="N44" s="107"/>
      <c r="O44" s="74">
        <f>O105</f>
        <v>5937833.5288220244</v>
      </c>
      <c r="P44" s="71">
        <v>0</v>
      </c>
      <c r="Q44" s="70">
        <f>SUM(Inputs!$J$161,Inputs!$L$161*(Inputs!$J$128/Inputs!$L$128))*$I$11</f>
        <v>1011858.4192289452</v>
      </c>
      <c r="R44" s="71">
        <v>0</v>
      </c>
      <c r="S44" s="72">
        <v>0</v>
      </c>
      <c r="T44" s="73">
        <f>'Base Case'!$T44</f>
        <v>0.04</v>
      </c>
      <c r="U44" s="74">
        <f t="shared" si="0"/>
        <v>277987.67792203877</v>
      </c>
      <c r="V44" s="75">
        <f t="shared" si="1"/>
        <v>40474.33676915781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B'!J45,Inputs!$D$64:$D$66,0))</f>
        <v>1</v>
      </c>
      <c r="J45" s="104" t="s">
        <v>39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B'!J46,Inputs!$D$64:$D$66,0))</f>
        <v>1</v>
      </c>
      <c r="J46" s="108" t="s">
        <v>39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B'!J49,Inputs!$D$64:$D$66,0))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6171254.5943236677</v>
      </c>
      <c r="P49" s="70">
        <f t="shared" ref="P49:V49" si="2">SUMIF($I$17:$I$46,$I49,P$17:P$46)</f>
        <v>8261.6387603969597</v>
      </c>
      <c r="Q49" s="70">
        <f t="shared" si="2"/>
        <v>1299940.7119594333</v>
      </c>
      <c r="R49" s="70">
        <f t="shared" si="2"/>
        <v>30123.723185840714</v>
      </c>
      <c r="S49" s="70">
        <f t="shared" si="2"/>
        <v>57169.790442477875</v>
      </c>
      <c r="T49" s="56">
        <f>U49/SUM(O49:S49)</f>
        <v>0.1170528023568901</v>
      </c>
      <c r="U49" s="70">
        <f t="shared" si="2"/>
        <v>885709.3459228198</v>
      </c>
      <c r="V49" s="70">
        <f t="shared" si="2"/>
        <v>424111.78188836138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B'!J50,Inputs!$D$64:$D$66,0))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6171254.5943236677</v>
      </c>
      <c r="P50" s="70">
        <f t="shared" si="3"/>
        <v>28915.735661389357</v>
      </c>
      <c r="Q50" s="70">
        <f t="shared" si="3"/>
        <v>4934697.6317358306</v>
      </c>
      <c r="R50" s="70">
        <f t="shared" si="3"/>
        <v>3495471.0371681419</v>
      </c>
      <c r="S50" s="70">
        <f t="shared" si="3"/>
        <v>779859.3600000001</v>
      </c>
      <c r="T50" s="56">
        <f t="shared" ref="T50:T51" si="4">U50/SUM(O50:S50)</f>
        <v>0.31505761417998268</v>
      </c>
      <c r="U50" s="70">
        <f t="shared" si="3"/>
        <v>4855100.328991862</v>
      </c>
      <c r="V50" s="70">
        <f t="shared" si="3"/>
        <v>4440186.9780577319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B'!J51,Inputs!$D$64:$D$66,0))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15134890.394598456</v>
      </c>
      <c r="P51" s="70">
        <f t="shared" si="3"/>
        <v>28915.735661389357</v>
      </c>
      <c r="Q51" s="70">
        <f t="shared" si="3"/>
        <v>14981721.243323572</v>
      </c>
      <c r="R51" s="70">
        <f t="shared" si="3"/>
        <v>10486413.111504424</v>
      </c>
      <c r="S51" s="70">
        <f t="shared" si="3"/>
        <v>2314770.307964602</v>
      </c>
      <c r="T51" s="56">
        <f t="shared" si="4"/>
        <v>0.2</v>
      </c>
      <c r="U51" s="70">
        <f t="shared" si="3"/>
        <v>8589342.1586104892</v>
      </c>
      <c r="V51" s="70">
        <f t="shared" si="3"/>
        <v>5562364.0796907991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14330151.833525172</v>
      </c>
      <c r="V52" s="88">
        <f>SUM(V49:V51)</f>
        <v>10426662.839636892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B: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31.5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20.399999999999999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10.6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ht="13.15" x14ac:dyDescent="0.4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ht="13.15" x14ac:dyDescent="0.4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22.613799999999998</v>
      </c>
      <c r="P69" s="70">
        <f>Inputs!P185*$I$12</f>
        <v>22.474149999999998</v>
      </c>
      <c r="Q69" s="70">
        <f>Inputs!Q185*$I$12</f>
        <v>22.797149999999998</v>
      </c>
      <c r="R69" s="70">
        <f>Inputs!R185*$I$12</f>
        <v>22.774349999999998</v>
      </c>
      <c r="S69" s="70">
        <f>Inputs!S185*$I$12</f>
        <v>22.7316</v>
      </c>
      <c r="T69" s="70">
        <f>Inputs!T185*$I$12</f>
        <v>23.6265</v>
      </c>
      <c r="U69" s="70">
        <f>Inputs!U185*$I$12</f>
        <v>23.775649999999999</v>
      </c>
      <c r="V69" s="70">
        <f>Inputs!V185*$I$12</f>
        <v>23.775649999999999</v>
      </c>
      <c r="W69" s="70">
        <f>Inputs!W185*$I$12</f>
        <v>23.775649999999999</v>
      </c>
      <c r="X69" s="70">
        <f>Inputs!X185*$I$12</f>
        <v>23.775649999999999</v>
      </c>
      <c r="Y69" s="70">
        <f>Inputs!Y185*$I$12</f>
        <v>23.775649999999999</v>
      </c>
      <c r="Z69" s="70">
        <f>Inputs!Z185*$I$12</f>
        <v>23.775649999999999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ht="13.15" x14ac:dyDescent="0.4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20.024099999999997</v>
      </c>
      <c r="P70" s="70">
        <f>Inputs!P186*$I$12</f>
        <v>19.610849999999999</v>
      </c>
      <c r="Q70" s="70">
        <f>Inputs!Q186*$I$12</f>
        <v>20.00225</v>
      </c>
      <c r="R70" s="70">
        <f>Inputs!R186*$I$12</f>
        <v>20.177050000000001</v>
      </c>
      <c r="S70" s="70">
        <f>Inputs!S186*$I$12</f>
        <v>20.439250000000001</v>
      </c>
      <c r="T70" s="70">
        <f>Inputs!T186*$I$12</f>
        <v>20.52</v>
      </c>
      <c r="U70" s="70">
        <f>Inputs!U186*$I$12</f>
        <v>20.831599999999998</v>
      </c>
      <c r="V70" s="70">
        <f>Inputs!V186*$I$12</f>
        <v>20.831599999999998</v>
      </c>
      <c r="W70" s="70">
        <f>Inputs!W186*$I$12</f>
        <v>20.831599999999998</v>
      </c>
      <c r="X70" s="70">
        <f>Inputs!X186*$I$12</f>
        <v>20.831599999999998</v>
      </c>
      <c r="Y70" s="70">
        <f>Inputs!Y186*$I$12</f>
        <v>20.831599999999998</v>
      </c>
      <c r="Z70" s="70">
        <f>Inputs!Z186*$I$12</f>
        <v>20.831599999999998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ht="13.15" x14ac:dyDescent="0.4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20.801009999999998</v>
      </c>
      <c r="P71" s="70">
        <f>Inputs!P187*$I$12</f>
        <v>20.469839999999998</v>
      </c>
      <c r="Q71" s="70">
        <f>Inputs!Q187*$I$12</f>
        <v>20.840719999999997</v>
      </c>
      <c r="R71" s="70">
        <f>Inputs!R187*$I$12</f>
        <v>20.956240000000001</v>
      </c>
      <c r="S71" s="70">
        <f>Inputs!S187*$I$12</f>
        <v>21.126954999999999</v>
      </c>
      <c r="T71" s="70">
        <f>Inputs!T187*$I$12</f>
        <v>21.45195</v>
      </c>
      <c r="U71" s="70">
        <f>Inputs!U187*$I$12</f>
        <v>21.714815000000002</v>
      </c>
      <c r="V71" s="70">
        <f>Inputs!V187*$I$12</f>
        <v>21.714815000000002</v>
      </c>
      <c r="W71" s="70">
        <f>Inputs!W187*$I$12</f>
        <v>21.714815000000002</v>
      </c>
      <c r="X71" s="70">
        <f>Inputs!X187*$I$12</f>
        <v>21.714815000000002</v>
      </c>
      <c r="Y71" s="70">
        <f>Inputs!Y187*$I$12</f>
        <v>21.714815000000002</v>
      </c>
      <c r="Z71" s="70">
        <f>Inputs!Z187*$I$12</f>
        <v>21.714815000000002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ht="13.15" x14ac:dyDescent="0.4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ht="13.15" x14ac:dyDescent="0.4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ht="13.15" x14ac:dyDescent="0.4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ht="13.15" x14ac:dyDescent="0.4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ht="13.15" x14ac:dyDescent="0.4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ht="13.15" x14ac:dyDescent="0.4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0.40100999999999942</v>
      </c>
      <c r="P77" s="70">
        <f t="shared" si="5"/>
        <v>6.9839999999999236E-2</v>
      </c>
      <c r="Q77" s="70">
        <f t="shared" si="5"/>
        <v>0.44071999999999889</v>
      </c>
      <c r="R77" s="70">
        <f t="shared" si="5"/>
        <v>0.55624000000000251</v>
      </c>
      <c r="S77" s="70">
        <f t="shared" si="5"/>
        <v>0.72695500000000024</v>
      </c>
      <c r="T77" s="70">
        <f t="shared" si="5"/>
        <v>1.0519500000000015</v>
      </c>
      <c r="U77" s="70">
        <f t="shared" si="5"/>
        <v>1.314815000000003</v>
      </c>
      <c r="V77" s="70">
        <f t="shared" si="5"/>
        <v>1.314815000000003</v>
      </c>
      <c r="W77" s="70">
        <f t="shared" si="5"/>
        <v>1.314815000000003</v>
      </c>
      <c r="X77" s="70">
        <f t="shared" si="5"/>
        <v>1.314815000000003</v>
      </c>
      <c r="Y77" s="70">
        <f t="shared" si="5"/>
        <v>1.314815000000003</v>
      </c>
      <c r="Z77" s="70">
        <f t="shared" si="5"/>
        <v>1.314815000000003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ht="13.15" x14ac:dyDescent="0.4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10.201009999999998</v>
      </c>
      <c r="P78" s="70">
        <f t="shared" si="5"/>
        <v>9.8698399999999982</v>
      </c>
      <c r="Q78" s="70">
        <f t="shared" si="5"/>
        <v>10.240719999999998</v>
      </c>
      <c r="R78" s="70">
        <f t="shared" si="5"/>
        <v>10.356240000000001</v>
      </c>
      <c r="S78" s="70">
        <f t="shared" si="5"/>
        <v>10.526954999999999</v>
      </c>
      <c r="T78" s="70">
        <f t="shared" si="5"/>
        <v>10.85195</v>
      </c>
      <c r="U78" s="70">
        <f t="shared" si="5"/>
        <v>11.114815000000002</v>
      </c>
      <c r="V78" s="70">
        <f t="shared" si="5"/>
        <v>11.114815000000002</v>
      </c>
      <c r="W78" s="70">
        <f t="shared" si="5"/>
        <v>11.114815000000002</v>
      </c>
      <c r="X78" s="70">
        <f t="shared" si="5"/>
        <v>11.114815000000002</v>
      </c>
      <c r="Y78" s="70">
        <f t="shared" si="5"/>
        <v>11.114815000000002</v>
      </c>
      <c r="Z78" s="70">
        <f t="shared" si="5"/>
        <v>11.114815000000002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ht="13.15" x14ac:dyDescent="0.4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20.801009999999998</v>
      </c>
      <c r="P79" s="70">
        <f t="shared" si="5"/>
        <v>20.469839999999998</v>
      </c>
      <c r="Q79" s="70">
        <f t="shared" si="5"/>
        <v>20.840719999999997</v>
      </c>
      <c r="R79" s="70">
        <f t="shared" si="5"/>
        <v>20.956240000000001</v>
      </c>
      <c r="S79" s="70">
        <f t="shared" si="5"/>
        <v>21.126954999999999</v>
      </c>
      <c r="T79" s="70">
        <f t="shared" si="5"/>
        <v>21.45195</v>
      </c>
      <c r="U79" s="70">
        <f t="shared" si="5"/>
        <v>21.714815000000002</v>
      </c>
      <c r="V79" s="70">
        <f t="shared" si="5"/>
        <v>21.714815000000002</v>
      </c>
      <c r="W79" s="70">
        <f t="shared" si="5"/>
        <v>21.714815000000002</v>
      </c>
      <c r="X79" s="70">
        <f t="shared" si="5"/>
        <v>21.714815000000002</v>
      </c>
      <c r="Y79" s="70">
        <f t="shared" si="5"/>
        <v>21.714815000000002</v>
      </c>
      <c r="Z79" s="70">
        <f t="shared" si="5"/>
        <v>21.714815000000002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ht="13.15" x14ac:dyDescent="0.4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20.801009999999998</v>
      </c>
      <c r="P80" s="70">
        <f t="shared" si="5"/>
        <v>20.469839999999998</v>
      </c>
      <c r="Q80" s="70">
        <f t="shared" si="5"/>
        <v>20.840719999999997</v>
      </c>
      <c r="R80" s="70">
        <f t="shared" si="5"/>
        <v>20.956240000000001</v>
      </c>
      <c r="S80" s="70">
        <f t="shared" si="5"/>
        <v>21.126954999999999</v>
      </c>
      <c r="T80" s="70">
        <f t="shared" si="5"/>
        <v>21.45195</v>
      </c>
      <c r="U80" s="70">
        <f t="shared" si="5"/>
        <v>21.714815000000002</v>
      </c>
      <c r="V80" s="70">
        <f t="shared" si="5"/>
        <v>21.714815000000002</v>
      </c>
      <c r="W80" s="70">
        <f t="shared" si="5"/>
        <v>21.714815000000002</v>
      </c>
      <c r="X80" s="70">
        <f t="shared" si="5"/>
        <v>21.714815000000002</v>
      </c>
      <c r="Y80" s="70">
        <f t="shared" si="5"/>
        <v>21.714815000000002</v>
      </c>
      <c r="Z80" s="70">
        <f t="shared" si="5"/>
        <v>21.714815000000002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ht="13.15" x14ac:dyDescent="0.4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2</v>
      </c>
      <c r="P88" s="70">
        <f>ROUNDUP(ROUNDUP(P77/Inputs!$J$114,0)/(Inputs!$J$118*Inputs!$J$115*Inputs!$J$114),0)+1</f>
        <v>2</v>
      </c>
      <c r="Q88" s="70">
        <f>ROUNDUP(ROUNDUP(Q77/Inputs!$J$114,0)/(Inputs!$J$118*Inputs!$J$115*Inputs!$J$114),0)+1</f>
        <v>2</v>
      </c>
      <c r="R88" s="70">
        <f>ROUNDUP(ROUNDUP(R77/Inputs!$J$114,0)/(Inputs!$J$118*Inputs!$J$115*Inputs!$J$114),0)+1</f>
        <v>2</v>
      </c>
      <c r="S88" s="70">
        <f>ROUNDUP(ROUNDUP(S77/Inputs!$J$114,0)/(Inputs!$J$118*Inputs!$J$115*Inputs!$J$114),0)+1</f>
        <v>2</v>
      </c>
      <c r="T88" s="70">
        <f>ROUNDUP(ROUNDUP(T77/Inputs!$J$114,0)/(Inputs!$J$118*Inputs!$J$115*Inputs!$J$114),0)+1</f>
        <v>2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2</v>
      </c>
      <c r="P90" s="93">
        <f t="shared" ref="P90:Z90" si="10">IFERROR((P88-P89)/P88,0)*MAX(0,P88)</f>
        <v>2</v>
      </c>
      <c r="Q90" s="93">
        <f t="shared" si="10"/>
        <v>2</v>
      </c>
      <c r="R90" s="93">
        <f t="shared" si="10"/>
        <v>2</v>
      </c>
      <c r="S90" s="93">
        <f t="shared" si="10"/>
        <v>2</v>
      </c>
      <c r="T90" s="93">
        <f t="shared" si="10"/>
        <v>2</v>
      </c>
      <c r="U90" s="93">
        <f t="shared" si="10"/>
        <v>2</v>
      </c>
      <c r="V90" s="93">
        <f t="shared" si="10"/>
        <v>2</v>
      </c>
      <c r="W90" s="93">
        <f t="shared" si="10"/>
        <v>2</v>
      </c>
      <c r="X90" s="93">
        <f t="shared" si="10"/>
        <v>2</v>
      </c>
      <c r="Y90" s="93">
        <f t="shared" si="10"/>
        <v>2</v>
      </c>
      <c r="Z90" s="93">
        <f t="shared" si="10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2</v>
      </c>
      <c r="P91" s="70">
        <f>ROUNDUP(ROUNDUP(P78/Inputs!$J$114,0)/(Inputs!$J$118*Inputs!$J$115*Inputs!$J$114),0)+1</f>
        <v>2</v>
      </c>
      <c r="Q91" s="70">
        <f>ROUNDUP(ROUNDUP(Q78/Inputs!$J$114,0)/(Inputs!$J$118*Inputs!$J$115*Inputs!$J$114),0)+1</f>
        <v>2</v>
      </c>
      <c r="R91" s="70">
        <f>ROUNDUP(ROUNDUP(R78/Inputs!$J$114,0)/(Inputs!$J$118*Inputs!$J$115*Inputs!$J$114),0)+1</f>
        <v>2</v>
      </c>
      <c r="S91" s="70">
        <f>ROUNDUP(ROUNDUP(S78/Inputs!$J$114,0)/(Inputs!$J$118*Inputs!$J$115*Inputs!$J$114),0)+1</f>
        <v>2</v>
      </c>
      <c r="T91" s="70">
        <f>ROUNDUP(ROUNDUP(T78/Inputs!$J$114,0)/(Inputs!$J$118*Inputs!$J$115*Inputs!$J$114),0)+1</f>
        <v>2</v>
      </c>
      <c r="U91" s="70">
        <f>ROUNDUP(ROUNDUP(U78/Inputs!$J$114,0)/(Inputs!$J$118*Inputs!$J$115*Inputs!$J$114),0)+1</f>
        <v>2</v>
      </c>
      <c r="V91" s="70">
        <f>ROUNDUP(ROUNDUP(V78/Inputs!$J$114,0)/(Inputs!$J$118*Inputs!$J$115*Inputs!$J$114),0)+1</f>
        <v>2</v>
      </c>
      <c r="W91" s="70">
        <f>ROUNDUP(ROUNDUP(W78/Inputs!$J$114,0)/(Inputs!$J$118*Inputs!$J$115*Inputs!$J$114),0)+1</f>
        <v>2</v>
      </c>
      <c r="X91" s="70">
        <f>ROUNDUP(ROUNDUP(X78/Inputs!$J$114,0)/(Inputs!$J$118*Inputs!$J$115*Inputs!$J$114),0)+1</f>
        <v>2</v>
      </c>
      <c r="Y91" s="70">
        <f>ROUNDUP(ROUNDUP(Y78/Inputs!$J$114,0)/(Inputs!$J$118*Inputs!$J$115*Inputs!$J$114),0)+1</f>
        <v>2</v>
      </c>
      <c r="Z91" s="70">
        <f>ROUNDUP(ROUNDUP(Z78/Inputs!$J$114,0)/(Inputs!$J$118*Inputs!$J$115*Inputs!$J$114),0)+1</f>
        <v>2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</v>
      </c>
      <c r="P92" s="70">
        <f t="shared" ref="P92:Z92" si="11">MAX(0,((P91-1)-1)/2)</f>
        <v>0</v>
      </c>
      <c r="Q92" s="70">
        <f t="shared" si="11"/>
        <v>0</v>
      </c>
      <c r="R92" s="70">
        <f t="shared" si="11"/>
        <v>0</v>
      </c>
      <c r="S92" s="70">
        <f t="shared" si="11"/>
        <v>0</v>
      </c>
      <c r="T92" s="70">
        <f t="shared" si="11"/>
        <v>0</v>
      </c>
      <c r="U92" s="70">
        <f t="shared" si="11"/>
        <v>0</v>
      </c>
      <c r="V92" s="70">
        <f t="shared" si="11"/>
        <v>0</v>
      </c>
      <c r="W92" s="70">
        <f t="shared" si="11"/>
        <v>0</v>
      </c>
      <c r="X92" s="70">
        <f t="shared" si="11"/>
        <v>0</v>
      </c>
      <c r="Y92" s="70">
        <f t="shared" si="11"/>
        <v>0</v>
      </c>
      <c r="Z92" s="70">
        <f t="shared" si="11"/>
        <v>0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</v>
      </c>
      <c r="P93" s="93">
        <f t="shared" ref="P93:Z93" si="12">IFERROR((P91-P92)/P91,0)*MAX(0,P91)</f>
        <v>2</v>
      </c>
      <c r="Q93" s="93">
        <f t="shared" si="12"/>
        <v>2</v>
      </c>
      <c r="R93" s="93">
        <f t="shared" si="12"/>
        <v>2</v>
      </c>
      <c r="S93" s="93">
        <f t="shared" si="12"/>
        <v>2</v>
      </c>
      <c r="T93" s="93">
        <f t="shared" si="12"/>
        <v>2</v>
      </c>
      <c r="U93" s="93">
        <f t="shared" si="12"/>
        <v>2</v>
      </c>
      <c r="V93" s="93">
        <f t="shared" si="12"/>
        <v>2</v>
      </c>
      <c r="W93" s="93">
        <f t="shared" si="12"/>
        <v>2</v>
      </c>
      <c r="X93" s="93">
        <f t="shared" si="12"/>
        <v>2</v>
      </c>
      <c r="Y93" s="93">
        <f t="shared" si="12"/>
        <v>2</v>
      </c>
      <c r="Z93" s="93">
        <f t="shared" si="12"/>
        <v>2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3</v>
      </c>
      <c r="V94" s="70">
        <f>ROUNDUP(ROUNDUP(V79/Inputs!$J$114,0)/(Inputs!$J$118*Inputs!$J$115*Inputs!$J$114),0)+1</f>
        <v>3</v>
      </c>
      <c r="W94" s="70">
        <f>ROUNDUP(ROUNDUP(W79/Inputs!$J$114,0)/(Inputs!$J$118*Inputs!$J$115*Inputs!$J$114),0)+1</f>
        <v>3</v>
      </c>
      <c r="X94" s="70">
        <f>ROUNDUP(ROUNDUP(X79/Inputs!$J$114,0)/(Inputs!$J$118*Inputs!$J$115*Inputs!$J$114),0)+1</f>
        <v>3</v>
      </c>
      <c r="Y94" s="70">
        <f>ROUNDUP(ROUNDUP(Y79/Inputs!$J$114,0)/(Inputs!$J$118*Inputs!$J$115*Inputs!$J$114),0)+1</f>
        <v>3</v>
      </c>
      <c r="Z94" s="70">
        <f>ROUNDUP(ROUNDUP(Z79/Inputs!$J$114,0)/(Inputs!$J$118*Inputs!$J$115*Inputs!$J$114),0)+1</f>
        <v>3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3">MAX(0,((P94-1)-1)/2)</f>
        <v>0.5</v>
      </c>
      <c r="Q95" s="70">
        <f t="shared" si="13"/>
        <v>0.5</v>
      </c>
      <c r="R95" s="70">
        <f t="shared" si="13"/>
        <v>0.5</v>
      </c>
      <c r="S95" s="70">
        <f t="shared" si="13"/>
        <v>0.5</v>
      </c>
      <c r="T95" s="70">
        <f t="shared" si="13"/>
        <v>0.5</v>
      </c>
      <c r="U95" s="70">
        <f t="shared" si="13"/>
        <v>0.5</v>
      </c>
      <c r="V95" s="70">
        <f t="shared" si="13"/>
        <v>0.5</v>
      </c>
      <c r="W95" s="70">
        <f t="shared" si="13"/>
        <v>0.5</v>
      </c>
      <c r="X95" s="70">
        <f t="shared" si="13"/>
        <v>0.5</v>
      </c>
      <c r="Y95" s="70">
        <f t="shared" si="13"/>
        <v>0.5</v>
      </c>
      <c r="Z95" s="70">
        <f t="shared" si="13"/>
        <v>0.5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4">IFERROR((P94-P95)/P94,0)*MAX(0,P94)</f>
        <v>2.5</v>
      </c>
      <c r="Q96" s="93">
        <f t="shared" si="14"/>
        <v>2.5</v>
      </c>
      <c r="R96" s="93">
        <f t="shared" si="14"/>
        <v>2.5</v>
      </c>
      <c r="S96" s="93">
        <f t="shared" si="14"/>
        <v>2.5</v>
      </c>
      <c r="T96" s="93">
        <f t="shared" si="14"/>
        <v>2.5</v>
      </c>
      <c r="U96" s="93">
        <f t="shared" si="14"/>
        <v>2.5</v>
      </c>
      <c r="V96" s="93">
        <f t="shared" si="14"/>
        <v>2.5</v>
      </c>
      <c r="W96" s="93">
        <f t="shared" si="14"/>
        <v>2.5</v>
      </c>
      <c r="X96" s="93">
        <f t="shared" si="14"/>
        <v>2.5</v>
      </c>
      <c r="Y96" s="93">
        <f t="shared" si="14"/>
        <v>2.5</v>
      </c>
      <c r="Z96" s="93">
        <f t="shared" si="14"/>
        <v>2.5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3</v>
      </c>
      <c r="V97" s="70">
        <f>ROUNDUP(ROUNDUP(V80/Inputs!$J$114,0)/(Inputs!$J$118*Inputs!$J$115*Inputs!$J$114),0)+1</f>
        <v>3</v>
      </c>
      <c r="W97" s="70">
        <f>ROUNDUP(ROUNDUP(W80/Inputs!$J$114,0)/(Inputs!$J$118*Inputs!$J$115*Inputs!$J$114),0)+1</f>
        <v>3</v>
      </c>
      <c r="X97" s="70">
        <f>ROUNDUP(ROUNDUP(X80/Inputs!$J$114,0)/(Inputs!$J$118*Inputs!$J$115*Inputs!$J$114),0)+1</f>
        <v>3</v>
      </c>
      <c r="Y97" s="70">
        <f>ROUNDUP(ROUNDUP(Y80/Inputs!$J$114,0)/(Inputs!$J$118*Inputs!$J$115*Inputs!$J$114),0)+1</f>
        <v>3</v>
      </c>
      <c r="Z97" s="70">
        <f>ROUNDUP(ROUNDUP(Z80/Inputs!$J$114,0)/(Inputs!$J$118*Inputs!$J$115*Inputs!$J$114),0)+1</f>
        <v>3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5">MAX(0,((P97-1)-1)/2)</f>
        <v>0.5</v>
      </c>
      <c r="Q98" s="70">
        <f t="shared" si="15"/>
        <v>0.5</v>
      </c>
      <c r="R98" s="70">
        <f t="shared" si="15"/>
        <v>0.5</v>
      </c>
      <c r="S98" s="70">
        <f t="shared" si="15"/>
        <v>0.5</v>
      </c>
      <c r="T98" s="70">
        <f t="shared" si="15"/>
        <v>0.5</v>
      </c>
      <c r="U98" s="70">
        <f t="shared" si="15"/>
        <v>0.5</v>
      </c>
      <c r="V98" s="70">
        <f t="shared" si="15"/>
        <v>0.5</v>
      </c>
      <c r="W98" s="70">
        <f t="shared" si="15"/>
        <v>0.5</v>
      </c>
      <c r="X98" s="70">
        <f t="shared" si="15"/>
        <v>0.5</v>
      </c>
      <c r="Y98" s="70">
        <f t="shared" si="15"/>
        <v>0.5</v>
      </c>
      <c r="Z98" s="70">
        <f t="shared" si="15"/>
        <v>0.5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16">IFERROR((P97-P98)/P97,0)*MAX(0,P97)</f>
        <v>2.5</v>
      </c>
      <c r="Q99" s="93">
        <f t="shared" si="16"/>
        <v>2.5</v>
      </c>
      <c r="R99" s="93">
        <f t="shared" si="16"/>
        <v>2.5</v>
      </c>
      <c r="S99" s="93">
        <f t="shared" si="16"/>
        <v>2.5</v>
      </c>
      <c r="T99" s="93">
        <f t="shared" si="16"/>
        <v>2.5</v>
      </c>
      <c r="U99" s="93">
        <f t="shared" si="16"/>
        <v>2.5</v>
      </c>
      <c r="V99" s="93">
        <f t="shared" si="16"/>
        <v>2.5</v>
      </c>
      <c r="W99" s="93">
        <f t="shared" si="16"/>
        <v>2.5</v>
      </c>
      <c r="X99" s="93">
        <f t="shared" si="16"/>
        <v>2.5</v>
      </c>
      <c r="Y99" s="93">
        <f t="shared" si="16"/>
        <v>2.5</v>
      </c>
      <c r="Z99" s="93">
        <f t="shared" si="16"/>
        <v>2.5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233421.06550164317</v>
      </c>
      <c r="P103" s="70">
        <f>P77*Inputs!$M$75*IF(Inputs!$J$126&gt;0,Inputs!$J$126,P90*Inputs!$J$123)*$I$13</f>
        <v>40652.670044723585</v>
      </c>
      <c r="Q103" s="70">
        <f>Q77*Inputs!$M$75*IF(Inputs!$J$126&gt;0,Inputs!$J$126,Q90*Inputs!$J$123)*$I$13</f>
        <v>256535.57763617884</v>
      </c>
      <c r="R103" s="70">
        <f>R77*Inputs!$M$75*IF(Inputs!$J$126&gt;0,Inputs!$J$126,R90*Inputs!$J$123)*$I$13</f>
        <v>323777.79475483095</v>
      </c>
      <c r="S103" s="70">
        <f>S77*Inputs!$M$75*IF(Inputs!$J$126&gt;0,Inputs!$J$126,S90*Inputs!$J$123)*$I$13</f>
        <v>423148.07778296631</v>
      </c>
      <c r="T103" s="70">
        <f>T77*Inputs!$M$75*IF(Inputs!$J$126&gt;0,Inputs!$J$126,T90*Inputs!$J$123)*$I$13</f>
        <v>612322.11130509025</v>
      </c>
      <c r="U103" s="70">
        <f>U77*Inputs!$M$75*IF(Inputs!$J$126&gt;0,Inputs!$J$126,U90*Inputs!$J$123)*$I$13</f>
        <v>765331.33397557191</v>
      </c>
      <c r="V103" s="70">
        <f>V77*Inputs!$M$75*IF(Inputs!$J$126&gt;0,Inputs!$J$126,V90*Inputs!$J$123)*$I$13</f>
        <v>765331.33397557191</v>
      </c>
      <c r="W103" s="70">
        <f>W77*Inputs!$M$75*IF(Inputs!$J$126&gt;0,Inputs!$J$126,W90*Inputs!$J$123)*$I$13</f>
        <v>765331.33397557191</v>
      </c>
      <c r="X103" s="70">
        <f>X77*Inputs!$M$75*IF(Inputs!$J$126&gt;0,Inputs!$J$126,X90*Inputs!$J$123)*$I$13</f>
        <v>765331.33397557191</v>
      </c>
      <c r="Y103" s="70">
        <f>Y77*Inputs!$M$75*IF(Inputs!$J$126&gt;0,Inputs!$J$126,Y90*Inputs!$J$123)*$I$13</f>
        <v>765331.33397557191</v>
      </c>
      <c r="Z103" s="70">
        <f>Z77*Inputs!$M$75*IF(Inputs!$J$126&gt;0,Inputs!$J$126,Z90*Inputs!$J$123)*$I$13</f>
        <v>765331.33397557191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233421.06550164317</v>
      </c>
      <c r="P104" s="70">
        <f>P77*Inputs!$M$75*IF(Inputs!$K$126&gt;0,Inputs!$K$126,P90*Inputs!$J$123)*$I$13</f>
        <v>40652.670044723585</v>
      </c>
      <c r="Q104" s="70">
        <f>Q77*Inputs!$M$75*IF(Inputs!$K$126&gt;0,Inputs!$K$126,Q90*Inputs!$J$123)*$I$13</f>
        <v>256535.57763617884</v>
      </c>
      <c r="R104" s="70">
        <f>R77*Inputs!$M$75*IF(Inputs!$K$126&gt;0,Inputs!$K$126,R90*Inputs!$J$123)*$I$13</f>
        <v>323777.79475483095</v>
      </c>
      <c r="S104" s="70">
        <f>S77*Inputs!$M$75*IF(Inputs!$K$126&gt;0,Inputs!$K$126,S90*Inputs!$J$123)*$I$13</f>
        <v>423148.07778296631</v>
      </c>
      <c r="T104" s="70">
        <f>T77*Inputs!$M$75*IF(Inputs!$K$126&gt;0,Inputs!$K$126,T90*Inputs!$J$123)*$I$13</f>
        <v>612322.11130509025</v>
      </c>
      <c r="U104" s="70">
        <f>U77*Inputs!$M$75*IF(Inputs!$K$126&gt;0,Inputs!$K$126,U90*Inputs!$J$123)*$I$13</f>
        <v>765331.33397557191</v>
      </c>
      <c r="V104" s="70">
        <f>V77*Inputs!$M$75*IF(Inputs!$K$126&gt;0,Inputs!$K$126,V90*Inputs!$J$123)*$I$13</f>
        <v>765331.33397557191</v>
      </c>
      <c r="W104" s="70">
        <f>W77*Inputs!$M$75*IF(Inputs!$K$126&gt;0,Inputs!$K$126,W90*Inputs!$J$123)*$I$13</f>
        <v>765331.33397557191</v>
      </c>
      <c r="X104" s="70">
        <f>X77*Inputs!$M$75*IF(Inputs!$K$126&gt;0,Inputs!$K$126,X90*Inputs!$J$123)*$I$13</f>
        <v>765331.33397557191</v>
      </c>
      <c r="Y104" s="70">
        <f>Y77*Inputs!$M$75*IF(Inputs!$K$126&gt;0,Inputs!$K$126,Y90*Inputs!$J$123)*$I$13</f>
        <v>765331.33397557191</v>
      </c>
      <c r="Z104" s="70">
        <f>Z77*Inputs!$M$75*IF(Inputs!$K$126&gt;0,Inputs!$K$126,Z90*Inputs!$J$123)*$I$13</f>
        <v>765331.33397557191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5937833.5288220244</v>
      </c>
      <c r="P105" s="70">
        <f>P78*Inputs!$M$75*IF(Inputs!$M$126&gt;0,Inputs!$M$126,P93*Inputs!$J$123)*$I$13</f>
        <v>5745065.133365104</v>
      </c>
      <c r="Q105" s="70">
        <f>Q78*Inputs!$M$75*IF(Inputs!$M$126&gt;0,Inputs!$M$126,Q93*Inputs!$J$123)*$I$13</f>
        <v>5960948.0409565605</v>
      </c>
      <c r="R105" s="70">
        <f>R78*Inputs!$M$75*IF(Inputs!$M$126&gt;0,Inputs!$M$126,R93*Inputs!$J$123)*$I$13</f>
        <v>6028190.2580752121</v>
      </c>
      <c r="S105" s="70">
        <f>S78*Inputs!$M$75*IF(Inputs!$M$126&gt;0,Inputs!$M$126,S93*Inputs!$J$123)*$I$13</f>
        <v>6127560.5411033472</v>
      </c>
      <c r="T105" s="70">
        <f>T78*Inputs!$M$75*IF(Inputs!$M$126&gt;0,Inputs!$M$126,T93*Inputs!$J$123)*$I$13</f>
        <v>6316734.5746254716</v>
      </c>
      <c r="U105" s="70">
        <f>U78*Inputs!$M$75*IF(Inputs!$M$126&gt;0,Inputs!$M$126,U93*Inputs!$J$123)*$I$13</f>
        <v>6469743.7972959531</v>
      </c>
      <c r="V105" s="70">
        <f>V78*Inputs!$M$75*IF(Inputs!$M$126&gt;0,Inputs!$M$126,V93*Inputs!$J$123)*$I$13</f>
        <v>6469743.7972959531</v>
      </c>
      <c r="W105" s="70">
        <f>W78*Inputs!$M$75*IF(Inputs!$M$126&gt;0,Inputs!$M$126,W93*Inputs!$J$123)*$I$13</f>
        <v>6469743.7972959531</v>
      </c>
      <c r="X105" s="70">
        <f>X78*Inputs!$M$75*IF(Inputs!$M$126&gt;0,Inputs!$M$126,X93*Inputs!$J$123)*$I$13</f>
        <v>6469743.7972959531</v>
      </c>
      <c r="Y105" s="70">
        <f>Y78*Inputs!$M$75*IF(Inputs!$M$126&gt;0,Inputs!$M$126,Y93*Inputs!$J$123)*$I$13</f>
        <v>6469743.7972959531</v>
      </c>
      <c r="Z105" s="70">
        <f>Z78*Inputs!$M$75*IF(Inputs!$M$126&gt;0,Inputs!$M$126,Z93*Inputs!$J$123)*$I$13</f>
        <v>6469743.7972959531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15134890.394598456</v>
      </c>
      <c r="P106" s="70">
        <f>P79*Inputs!$M$75*IF(Inputs!$M$126&gt;0,Inputs!$M$126,P96*Inputs!$J$123)*$I$13</f>
        <v>14893929.900277307</v>
      </c>
      <c r="Q106" s="70">
        <f>Q79*Inputs!$M$75*IF(Inputs!$M$126&gt;0,Inputs!$M$126,Q96*Inputs!$J$123)*$I$13</f>
        <v>15163783.534766626</v>
      </c>
      <c r="R106" s="70">
        <f>R79*Inputs!$M$75*IF(Inputs!$M$126&gt;0,Inputs!$M$126,R96*Inputs!$J$123)*$I$13</f>
        <v>15247836.306164939</v>
      </c>
      <c r="S106" s="70">
        <f>S79*Inputs!$M$75*IF(Inputs!$M$126&gt;0,Inputs!$M$126,S96*Inputs!$J$123)*$I$13</f>
        <v>15372049.159950107</v>
      </c>
      <c r="T106" s="70">
        <f>T79*Inputs!$M$75*IF(Inputs!$M$126&gt;0,Inputs!$M$126,T96*Inputs!$J$123)*$I$13</f>
        <v>15608516.701852765</v>
      </c>
      <c r="U106" s="70">
        <f>U79*Inputs!$M$75*IF(Inputs!$M$126&gt;0,Inputs!$M$126,U96*Inputs!$J$123)*$I$13</f>
        <v>15799778.230190866</v>
      </c>
      <c r="V106" s="70">
        <f>V79*Inputs!$M$75*IF(Inputs!$M$126&gt;0,Inputs!$M$126,V96*Inputs!$J$123)*$I$13</f>
        <v>15799778.230190866</v>
      </c>
      <c r="W106" s="70">
        <f>W79*Inputs!$M$75*IF(Inputs!$M$126&gt;0,Inputs!$M$126,W96*Inputs!$J$123)*$I$13</f>
        <v>15799778.230190866</v>
      </c>
      <c r="X106" s="70">
        <f>X79*Inputs!$M$75*IF(Inputs!$M$126&gt;0,Inputs!$M$126,X96*Inputs!$J$123)*$I$13</f>
        <v>15799778.230190866</v>
      </c>
      <c r="Y106" s="70">
        <f>Y79*Inputs!$M$75*IF(Inputs!$M$126&gt;0,Inputs!$M$126,Y96*Inputs!$J$123)*$I$13</f>
        <v>15799778.230190866</v>
      </c>
      <c r="Z106" s="70">
        <f>Z79*Inputs!$M$75*IF(Inputs!$M$126&gt;0,Inputs!$M$126,Z96*Inputs!$J$123)*$I$13</f>
        <v>15799778.230190866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15134890.394598456</v>
      </c>
      <c r="P107" s="70">
        <f>P80*Inputs!$M$75*IF(Inputs!$M$126&gt;0,Inputs!$M$126,P99*Inputs!$J$123)*$I$13</f>
        <v>14893929.900277307</v>
      </c>
      <c r="Q107" s="70">
        <f>Q80*Inputs!$M$75*IF(Inputs!$M$126&gt;0,Inputs!$M$126,Q99*Inputs!$J$123)*$I$13</f>
        <v>15163783.534766626</v>
      </c>
      <c r="R107" s="70">
        <f>R80*Inputs!$M$75*IF(Inputs!$M$126&gt;0,Inputs!$M$126,R99*Inputs!$J$123)*$I$13</f>
        <v>15247836.306164939</v>
      </c>
      <c r="S107" s="70">
        <f>S80*Inputs!$M$75*IF(Inputs!$M$126&gt;0,Inputs!$M$126,S99*Inputs!$J$123)*$I$13</f>
        <v>15372049.159950107</v>
      </c>
      <c r="T107" s="70">
        <f>T80*Inputs!$M$75*IF(Inputs!$M$126&gt;0,Inputs!$M$126,T99*Inputs!$J$123)*$I$13</f>
        <v>15608516.701852765</v>
      </c>
      <c r="U107" s="70">
        <f>U80*Inputs!$M$75*IF(Inputs!$M$126&gt;0,Inputs!$M$126,U99*Inputs!$J$123)*$I$13</f>
        <v>15799778.230190866</v>
      </c>
      <c r="V107" s="70">
        <f>V80*Inputs!$M$75*IF(Inputs!$M$126&gt;0,Inputs!$M$126,V99*Inputs!$J$123)*$I$13</f>
        <v>15799778.230190866</v>
      </c>
      <c r="W107" s="70">
        <f>W80*Inputs!$M$75*IF(Inputs!$M$126&gt;0,Inputs!$M$126,W99*Inputs!$J$123)*$I$13</f>
        <v>15799778.230190866</v>
      </c>
      <c r="X107" s="70">
        <f>X80*Inputs!$M$75*IF(Inputs!$M$126&gt;0,Inputs!$M$126,X99*Inputs!$J$123)*$I$13</f>
        <v>15799778.230190866</v>
      </c>
      <c r="Y107" s="70">
        <f>Y80*Inputs!$M$75*IF(Inputs!$M$126&gt;0,Inputs!$M$126,Y99*Inputs!$J$123)*$I$13</f>
        <v>15799778.230190866</v>
      </c>
      <c r="Z107" s="70">
        <f>Z80*Inputs!$M$75*IF(Inputs!$M$126&gt;0,Inputs!$M$126,Z99*Inputs!$J$123)*$I$13</f>
        <v>15799778.230190866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0.10730092846105713</v>
      </c>
      <c r="P114" s="56">
        <f>Inputs!P64*$I$9</f>
        <v>0.11400473578994509</v>
      </c>
      <c r="Q114" s="56">
        <f>Inputs!Q64*$I$9</f>
        <v>0.12116176475208544</v>
      </c>
      <c r="R114" s="56">
        <f>Inputs!R64*$I$9</f>
        <v>0.12880384375727855</v>
      </c>
      <c r="S114" s="56">
        <f>Inputs!S64*$I$9</f>
        <v>0.13696508852433933</v>
      </c>
      <c r="T114" s="56">
        <f>Inputs!T64*$I$9</f>
        <v>0.14568206887598315</v>
      </c>
      <c r="U114" s="56">
        <f>Inputs!U64*$I$9</f>
        <v>0.15499398781331775</v>
      </c>
      <c r="V114" s="56">
        <f>Inputs!V64*$I$9</f>
        <v>0.1649428737796988</v>
      </c>
      <c r="W114" s="56">
        <f>Inputs!W64*$I$9</f>
        <v>0.17557378709139601</v>
      </c>
      <c r="X114" s="56">
        <f>Inputs!X64*$I$9</f>
        <v>0.18693504158524568</v>
      </c>
      <c r="Y114" s="56">
        <f>Inputs!Y64*$I$9</f>
        <v>0.19907844261163041</v>
      </c>
      <c r="Z114" s="56">
        <f>Inputs!Z64*$I$9</f>
        <v>0.21201068551183985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5.7688671215622113E-4</v>
      </c>
      <c r="P115" s="56">
        <f>Inputs!P65*$I$9</f>
        <v>6.1292868704271536E-4</v>
      </c>
      <c r="Q115" s="56">
        <f>Inputs!Q65*$I$9</f>
        <v>6.5140733737680337E-4</v>
      </c>
      <c r="R115" s="56">
        <f>Inputs!R65*$I$9</f>
        <v>6.9249378364128237E-4</v>
      </c>
      <c r="S115" s="56">
        <f>Inputs!S65*$I$9</f>
        <v>7.3637144367924372E-4</v>
      </c>
      <c r="T115" s="56">
        <f>Inputs!T65*$I$9</f>
        <v>7.8323692944076966E-4</v>
      </c>
      <c r="U115" s="56">
        <f>Inputs!U65*$I$9</f>
        <v>8.3330100974902E-4</v>
      </c>
      <c r="V115" s="56">
        <f>Inputs!V65*$I$9</f>
        <v>8.8678964397687521E-4</v>
      </c>
      <c r="W115" s="56">
        <f>Inputs!W65*$I$9</f>
        <v>9.439450918892259E-4</v>
      </c>
      <c r="X115" s="56">
        <f>Inputs!X65*$I$9</f>
        <v>1.0050271052970195E-3</v>
      </c>
      <c r="Y115" s="56">
        <f>Inputs!Y65*$I$9</f>
        <v>1.0703142075894109E-3</v>
      </c>
      <c r="Z115" s="56">
        <f>Inputs!Z65*$I$9</f>
        <v>1.1398423952249455E-3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5.7688671215622113E-4</v>
      </c>
      <c r="P116" s="56">
        <f>Inputs!P66*$I$9</f>
        <v>6.1292868704271536E-4</v>
      </c>
      <c r="Q116" s="56">
        <f>Inputs!Q66*$I$9</f>
        <v>6.5140733737680337E-4</v>
      </c>
      <c r="R116" s="56">
        <f>Inputs!R66*$I$9</f>
        <v>6.9249378364128237E-4</v>
      </c>
      <c r="S116" s="56">
        <f>Inputs!S66*$I$9</f>
        <v>7.3637144367924372E-4</v>
      </c>
      <c r="T116" s="56">
        <f>Inputs!T66*$I$9</f>
        <v>7.8323692944076966E-4</v>
      </c>
      <c r="U116" s="56">
        <f>Inputs!U66*$I$9</f>
        <v>8.3330100974902E-4</v>
      </c>
      <c r="V116" s="56">
        <f>Inputs!V66*$I$9</f>
        <v>8.8678964397687521E-4</v>
      </c>
      <c r="W116" s="56">
        <f>Inputs!W66*$I$9</f>
        <v>9.439450918892259E-4</v>
      </c>
      <c r="X116" s="56">
        <f>Inputs!X66*$I$9</f>
        <v>1.0050271052970195E-3</v>
      </c>
      <c r="Y116" s="56">
        <f>Inputs!Y66*$I$9</f>
        <v>1.0703142075894109E-3</v>
      </c>
      <c r="Z116" s="56">
        <f>Inputs!Z66*$I$9</f>
        <v>1.1398423952249455E-3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24044.44516866772</v>
      </c>
      <c r="P119" s="70">
        <f t="shared" ref="P119:Z119" si="17">P103*P114*$T$37</f>
        <v>4449.2130313003463</v>
      </c>
      <c r="Q119" s="70">
        <f t="shared" si="17"/>
        <v>29839.011175771248</v>
      </c>
      <c r="R119" s="70">
        <f t="shared" si="17"/>
        <v>40035.671508170351</v>
      </c>
      <c r="S119" s="70">
        <f t="shared" si="17"/>
        <v>55638.253375150081</v>
      </c>
      <c r="T119" s="70">
        <f t="shared" si="17"/>
        <v>85636.177913698149</v>
      </c>
      <c r="U119" s="70">
        <f t="shared" si="17"/>
        <v>113876.8852333056</v>
      </c>
      <c r="V119" s="70">
        <f t="shared" si="17"/>
        <v>121186.51163479801</v>
      </c>
      <c r="W119" s="70">
        <f t="shared" si="17"/>
        <v>128997.23585836909</v>
      </c>
      <c r="X119" s="70">
        <f t="shared" si="17"/>
        <v>137344.55495348648</v>
      </c>
      <c r="Y119" s="70">
        <f t="shared" si="17"/>
        <v>146266.53124774891</v>
      </c>
      <c r="Z119" s="70">
        <f t="shared" si="17"/>
        <v>155768.08392945776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102.33970837918611</v>
      </c>
      <c r="P120" s="70">
        <f t="shared" ref="P120:Z120" si="20">P104*P115*$T$27</f>
        <v>18.937062633222798</v>
      </c>
      <c r="Q120" s="70">
        <f t="shared" si="20"/>
        <v>127.00295975350664</v>
      </c>
      <c r="R120" s="70">
        <f t="shared" si="20"/>
        <v>170.40272371309061</v>
      </c>
      <c r="S120" s="70">
        <f t="shared" si="20"/>
        <v>236.81156230462625</v>
      </c>
      <c r="T120" s="70">
        <f t="shared" si="20"/>
        <v>364.49090061833897</v>
      </c>
      <c r="U120" s="70">
        <f t="shared" si="20"/>
        <v>484.69104377975054</v>
      </c>
      <c r="V120" s="70">
        <f t="shared" si="20"/>
        <v>515.80280489721372</v>
      </c>
      <c r="W120" s="70">
        <f t="shared" si="20"/>
        <v>549.04737484520911</v>
      </c>
      <c r="X120" s="70">
        <f t="shared" si="20"/>
        <v>584.57583873571741</v>
      </c>
      <c r="Y120" s="70">
        <f t="shared" si="20"/>
        <v>622.55020020323241</v>
      </c>
      <c r="Z120" s="70">
        <f t="shared" si="20"/>
        <v>662.99139665315806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1746.223431716935</v>
      </c>
      <c r="P121" s="70">
        <f t="shared" ref="P121:Z121" si="21">P107*P116*$T$17</f>
        <v>1825.783379736642</v>
      </c>
      <c r="Q121" s="70">
        <f t="shared" si="21"/>
        <v>1975.5599713881079</v>
      </c>
      <c r="R121" s="70">
        <f t="shared" si="21"/>
        <v>2111.8063711998147</v>
      </c>
      <c r="S121" s="70">
        <f t="shared" si="21"/>
        <v>2263.9076064441533</v>
      </c>
      <c r="T121" s="70">
        <f t="shared" si="21"/>
        <v>2445.0333389368257</v>
      </c>
      <c r="U121" s="70">
        <f t="shared" si="21"/>
        <v>2633.1942306057267</v>
      </c>
      <c r="V121" s="70">
        <f t="shared" si="21"/>
        <v>2802.2159423329085</v>
      </c>
      <c r="W121" s="70">
        <f t="shared" si="21"/>
        <v>2982.8246226653819</v>
      </c>
      <c r="X121" s="70">
        <f t="shared" si="21"/>
        <v>3175.8410758047185</v>
      </c>
      <c r="Y121" s="70">
        <f t="shared" si="21"/>
        <v>3382.1454233070322</v>
      </c>
      <c r="Z121" s="70">
        <f t="shared" si="21"/>
        <v>3601.8514123847417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25485.402027591939</v>
      </c>
      <c r="P122" s="88">
        <f t="shared" ref="P122:Z122" si="22">P105*P114*$T$44</f>
        <v>26198.585305012573</v>
      </c>
      <c r="Q122" s="88">
        <f t="shared" si="22"/>
        <v>28889.559369511335</v>
      </c>
      <c r="R122" s="88">
        <f t="shared" si="22"/>
        <v>31058.16304561073</v>
      </c>
      <c r="S122" s="88">
        <f t="shared" si="22"/>
        <v>33570.474878018744</v>
      </c>
      <c r="T122" s="88">
        <f t="shared" si="22"/>
        <v>36809.398454875678</v>
      </c>
      <c r="U122" s="88">
        <f t="shared" si="22"/>
        <v>40110.855650935082</v>
      </c>
      <c r="V122" s="88">
        <f t="shared" si="22"/>
        <v>42685.525381775027</v>
      </c>
      <c r="W122" s="88">
        <f t="shared" si="22"/>
        <v>45436.696800092788</v>
      </c>
      <c r="X122" s="88">
        <f t="shared" si="22"/>
        <v>48376.873031736177</v>
      </c>
      <c r="Y122" s="88">
        <f t="shared" si="22"/>
        <v>51519.460770477366</v>
      </c>
      <c r="Z122" s="88">
        <f t="shared" si="22"/>
        <v>54866.192702027562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137.0182904709244</v>
      </c>
      <c r="P123" s="70">
        <f t="shared" ref="P123:Z123" si="23">P105*P115*$T$34</f>
        <v>140.85260916673423</v>
      </c>
      <c r="Q123" s="70">
        <f t="shared" si="23"/>
        <v>155.32021166403942</v>
      </c>
      <c r="R123" s="70">
        <f t="shared" si="23"/>
        <v>166.97937121296087</v>
      </c>
      <c r="S123" s="70">
        <f t="shared" si="23"/>
        <v>180.48642407536957</v>
      </c>
      <c r="T123" s="70">
        <f t="shared" si="23"/>
        <v>197.89999169288004</v>
      </c>
      <c r="U123" s="70">
        <f t="shared" si="23"/>
        <v>215.64976156416705</v>
      </c>
      <c r="V123" s="70">
        <f t="shared" si="23"/>
        <v>229.49207194502699</v>
      </c>
      <c r="W123" s="70">
        <f t="shared" si="23"/>
        <v>244.28331612953113</v>
      </c>
      <c r="X123" s="70">
        <f t="shared" si="23"/>
        <v>260.09071522438796</v>
      </c>
      <c r="Y123" s="70">
        <f t="shared" si="23"/>
        <v>276.98634822837295</v>
      </c>
      <c r="Z123" s="70">
        <f t="shared" si="23"/>
        <v>294.97953065606214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45507.587967894528</v>
      </c>
      <c r="P124" s="88">
        <f t="shared" si="24"/>
        <v>48350.751639585462</v>
      </c>
      <c r="Q124" s="88">
        <f t="shared" si="24"/>
        <v>51386.131945745416</v>
      </c>
      <c r="R124" s="88">
        <f t="shared" si="24"/>
        <v>54627.227689969499</v>
      </c>
      <c r="S124" s="88">
        <f t="shared" si="24"/>
        <v>58088.507750554709</v>
      </c>
      <c r="T124" s="88">
        <f t="shared" si="24"/>
        <v>61785.481820176203</v>
      </c>
      <c r="U124" s="88">
        <f t="shared" si="24"/>
        <v>65734.776353489156</v>
      </c>
      <c r="V124" s="88">
        <f t="shared" si="24"/>
        <v>69954.216108495137</v>
      </c>
      <c r="W124" s="88">
        <f t="shared" si="24"/>
        <v>74462.911696219744</v>
      </c>
      <c r="X124" s="88">
        <f t="shared" si="24"/>
        <v>79281.353584093478</v>
      </c>
      <c r="Y124" s="88">
        <f t="shared" si="24"/>
        <v>84431.513031578463</v>
      </c>
      <c r="Z124" s="88">
        <f t="shared" si="24"/>
        <v>89916.229611799397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2561.4848671305922</v>
      </c>
      <c r="P125" s="70">
        <f t="shared" si="25"/>
        <v>2721.5179746850877</v>
      </c>
      <c r="Q125" s="70">
        <f t="shared" si="25"/>
        <v>2892.3703768317419</v>
      </c>
      <c r="R125" s="70">
        <f t="shared" si="25"/>
        <v>3074.8018805099505</v>
      </c>
      <c r="S125" s="70">
        <f t="shared" si="25"/>
        <v>3269.6268952381506</v>
      </c>
      <c r="T125" s="70">
        <f t="shared" si="25"/>
        <v>3477.7184148368278</v>
      </c>
      <c r="U125" s="70">
        <f t="shared" si="25"/>
        <v>3700.0122922899577</v>
      </c>
      <c r="V125" s="70">
        <f t="shared" si="25"/>
        <v>3937.5118294625736</v>
      </c>
      <c r="W125" s="70">
        <f t="shared" si="25"/>
        <v>4191.2927050080498</v>
      </c>
      <c r="X125" s="70">
        <f t="shared" si="25"/>
        <v>4462.5082655348833</v>
      </c>
      <c r="Y125" s="70">
        <f t="shared" si="25"/>
        <v>4752.395206968682</v>
      </c>
      <c r="Z125" s="70">
        <f t="shared" si="25"/>
        <v>5061.1133603159378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3208.85392574869</v>
      </c>
      <c r="P126" s="70">
        <f t="shared" si="26"/>
        <v>3409.3325122184433</v>
      </c>
      <c r="Q126" s="70">
        <f t="shared" si="26"/>
        <v>3623.3647746717565</v>
      </c>
      <c r="R126" s="70">
        <f t="shared" si="26"/>
        <v>3851.902547535441</v>
      </c>
      <c r="S126" s="70">
        <f t="shared" si="26"/>
        <v>4095.9660676314816</v>
      </c>
      <c r="T126" s="70">
        <f t="shared" si="26"/>
        <v>4356.6489622086538</v>
      </c>
      <c r="U126" s="70">
        <f t="shared" si="26"/>
        <v>4635.123604198021</v>
      </c>
      <c r="V126" s="70">
        <f t="shared" si="26"/>
        <v>4932.6468618987628</v>
      </c>
      <c r="W126" s="70">
        <f t="shared" si="26"/>
        <v>5250.5662723250607</v>
      </c>
      <c r="X126" s="70">
        <f t="shared" si="26"/>
        <v>5590.3266696197634</v>
      </c>
      <c r="Y126" s="70">
        <f t="shared" si="26"/>
        <v>5953.4773022780601</v>
      </c>
      <c r="Z126" s="70">
        <f t="shared" si="26"/>
        <v>6340.2183957079606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30123.723185840714</v>
      </c>
      <c r="P127" s="70">
        <f>Inputs!$J$27*$I$11</f>
        <v>30123.723185840714</v>
      </c>
      <c r="Q127" s="70">
        <f>Inputs!$J$27*$I$11</f>
        <v>30123.723185840714</v>
      </c>
      <c r="R127" s="70">
        <f>Inputs!$J$27*$I$11</f>
        <v>30123.723185840714</v>
      </c>
      <c r="S127" s="70">
        <f>Inputs!$J$27*$I$11</f>
        <v>30123.723185840714</v>
      </c>
      <c r="T127" s="70">
        <f>Inputs!$J$27*$I$11</f>
        <v>30123.723185840714</v>
      </c>
      <c r="U127" s="70">
        <f>Inputs!$J$27*$I$11</f>
        <v>30123.723185840714</v>
      </c>
      <c r="V127" s="70">
        <f>Inputs!$J$27*$I$11</f>
        <v>30123.723185840714</v>
      </c>
      <c r="W127" s="70">
        <f>Inputs!$J$27*$I$11</f>
        <v>30123.723185840714</v>
      </c>
      <c r="X127" s="70">
        <f>Inputs!$J$27*$I$11</f>
        <v>30123.723185840714</v>
      </c>
      <c r="Y127" s="70">
        <f>Inputs!$J$27*$I$11</f>
        <v>30123.723185840714</v>
      </c>
      <c r="Z127" s="70">
        <f>Inputs!$J$27*$I$11</f>
        <v>30123.723185840714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132917.07857344122</v>
      </c>
      <c r="P128" s="98">
        <f t="shared" ref="P128:Z128" si="27">SUM(P119:P127)</f>
        <v>117238.69670017924</v>
      </c>
      <c r="Q128" s="98">
        <f t="shared" si="27"/>
        <v>149012.04397117786</v>
      </c>
      <c r="R128" s="98">
        <f t="shared" si="27"/>
        <v>165220.67832376255</v>
      </c>
      <c r="S128" s="98">
        <f t="shared" si="27"/>
        <v>187467.75774525799</v>
      </c>
      <c r="T128" s="98">
        <f t="shared" si="27"/>
        <v>225196.57298288424</v>
      </c>
      <c r="U128" s="98">
        <f t="shared" si="27"/>
        <v>261514.91135600815</v>
      </c>
      <c r="V128" s="98">
        <f t="shared" si="27"/>
        <v>276367.64582144539</v>
      </c>
      <c r="W128" s="98">
        <f t="shared" si="27"/>
        <v>292238.58183149557</v>
      </c>
      <c r="X128" s="98">
        <f t="shared" si="27"/>
        <v>309199.84732007631</v>
      </c>
      <c r="Y128" s="98">
        <f t="shared" si="27"/>
        <v>327328.78271663084</v>
      </c>
      <c r="Z128" s="98">
        <f t="shared" si="27"/>
        <v>346635.38352484326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B'!$I$10</f>
        <v>0</v>
      </c>
      <c r="P135" s="70">
        <f>Inputs!P22*'Scenario B'!$I$10</f>
        <v>0</v>
      </c>
      <c r="Q135" s="70">
        <f>Inputs!Q22*'Scenario B'!$I$10</f>
        <v>0</v>
      </c>
      <c r="R135" s="70">
        <f>Inputs!R22*'Scenario B'!$I$10</f>
        <v>46631.150442477883</v>
      </c>
      <c r="S135" s="70">
        <f>Inputs!S22*'Scenario B'!$I$10</f>
        <v>699467.25663716812</v>
      </c>
      <c r="T135" s="70">
        <f>Inputs!T22*'Scenario B'!$I$10</f>
        <v>2749372.6300884956</v>
      </c>
      <c r="U135" s="70">
        <f>Inputs!U22*'Scenario B'!$I$10</f>
        <v>0</v>
      </c>
      <c r="V135" s="70">
        <f>Inputs!V22*'Scenario B'!$I$10</f>
        <v>0</v>
      </c>
      <c r="W135" s="70">
        <f>Inputs!W22*'Scenario B'!$I$10</f>
        <v>0</v>
      </c>
      <c r="X135" s="70">
        <f>Inputs!X22*'Scenario B'!$I$10</f>
        <v>0</v>
      </c>
      <c r="Y135" s="70">
        <f>Inputs!Y22*'Scenario B'!$I$10</f>
        <v>0</v>
      </c>
      <c r="Z135" s="70">
        <f>Inputs!Z22*'Scenario B'!$I$10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0</v>
      </c>
      <c r="R136" s="70">
        <f t="shared" si="28"/>
        <v>1</v>
      </c>
      <c r="S136" s="70">
        <f t="shared" si="28"/>
        <v>1</v>
      </c>
      <c r="T136" s="70">
        <f t="shared" si="28"/>
        <v>1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1.0557562500000002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B'!O135:Z135,'Scenario B'!O137:Z137),0,0)</f>
        <v>130284.26192054911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13429.771327433629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143714.03324798273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132917.07857344122</v>
      </c>
      <c r="P147" s="70">
        <f t="shared" ref="P147:Z147" si="30">P128</f>
        <v>117238.69670017924</v>
      </c>
      <c r="Q147" s="70">
        <f t="shared" si="30"/>
        <v>149012.04397117786</v>
      </c>
      <c r="R147" s="70">
        <f t="shared" si="30"/>
        <v>165220.67832376255</v>
      </c>
      <c r="S147" s="70">
        <f t="shared" si="30"/>
        <v>187467.75774525799</v>
      </c>
      <c r="T147" s="70">
        <f t="shared" si="30"/>
        <v>225196.57298288424</v>
      </c>
      <c r="U147" s="70">
        <f t="shared" si="30"/>
        <v>261514.91135600815</v>
      </c>
      <c r="V147" s="70">
        <f t="shared" si="30"/>
        <v>276367.64582144539</v>
      </c>
      <c r="W147" s="70">
        <f t="shared" si="30"/>
        <v>292238.58183149557</v>
      </c>
      <c r="X147" s="70">
        <f t="shared" si="30"/>
        <v>309199.84732007631</v>
      </c>
      <c r="Y147" s="70">
        <f t="shared" si="30"/>
        <v>327328.78271663084</v>
      </c>
      <c r="Z147" s="70">
        <f t="shared" si="30"/>
        <v>346635.38352484326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143714.03324798273</v>
      </c>
      <c r="P148" s="70">
        <f t="shared" ref="P148:Z148" si="31">$J$140</f>
        <v>143714.03324798273</v>
      </c>
      <c r="Q148" s="70">
        <f t="shared" si="31"/>
        <v>143714.03324798273</v>
      </c>
      <c r="R148" s="70">
        <f t="shared" si="31"/>
        <v>143714.03324798273</v>
      </c>
      <c r="S148" s="70">
        <f t="shared" si="31"/>
        <v>143714.03324798273</v>
      </c>
      <c r="T148" s="70">
        <f t="shared" si="31"/>
        <v>143714.03324798273</v>
      </c>
      <c r="U148" s="70">
        <f t="shared" si="31"/>
        <v>143714.03324798273</v>
      </c>
      <c r="V148" s="70">
        <f t="shared" si="31"/>
        <v>143714.03324798273</v>
      </c>
      <c r="W148" s="70">
        <f t="shared" si="31"/>
        <v>143714.03324798273</v>
      </c>
      <c r="X148" s="70">
        <f t="shared" si="31"/>
        <v>143714.03324798273</v>
      </c>
      <c r="Y148" s="70">
        <f t="shared" si="31"/>
        <v>143714.03324798273</v>
      </c>
      <c r="Z148" s="70">
        <f t="shared" si="31"/>
        <v>143714.03324798273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2">(P147&gt;=P148)</f>
        <v>0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Robinvale Transformer No.2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C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C: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32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C'!$I$8,Inputs!$D$52:$D$57,0),MATCH('Scenario C'!$D9,Inputs!$D$52:$O$52,0))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C'!$I$8,Inputs!$D$52:$D$57,0),MATCH('Scenario C'!$D10,Inputs!$D$52:$O$52,0))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C'!$I$8,Inputs!$D$52:$D$57,0),MATCH('Scenario C'!$D11,Inputs!$D$52:$O$52,0))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C'!$I$8,Inputs!$D$52:$D$57,0),MATCH('Scenario C'!$D12,Inputs!$D$52:$O$52,0))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C'!$I$8,Inputs!$D$52:$D$57,0),MATCH('Scenario C'!$D13,Inputs!$D$52:$O$52,0))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C'!$I$8,Inputs!$D$52:$D$57,0),MATCH('Scenario C'!$D14,Inputs!$D$52:$O$52,0))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26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C'!J17,Inputs!$D$64:$D$66,0))</f>
        <v>3</v>
      </c>
      <c r="J17" s="100" t="s">
        <v>41</v>
      </c>
      <c r="K17" s="101" t="str">
        <f>'Base Case'!K17</f>
        <v>Unserved energy</v>
      </c>
      <c r="L17" s="102"/>
      <c r="M17" s="102"/>
      <c r="N17" s="103"/>
      <c r="O17" s="63">
        <f>O107</f>
        <v>20445378.252352301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4089075.6504704603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C'!J18,Inputs!$D$64:$D$66,0))</f>
        <v>3</v>
      </c>
      <c r="J18" s="104" t="s">
        <v>41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C'!J19,Inputs!$D$64:$D$66,0))</f>
        <v>3</v>
      </c>
      <c r="J19" s="104" t="s">
        <v>41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18253999.002410229</v>
      </c>
      <c r="R19" s="71">
        <v>0</v>
      </c>
      <c r="S19" s="72">
        <v>0</v>
      </c>
      <c r="T19" s="73">
        <f>'Base Case'!$T19</f>
        <v>0.2</v>
      </c>
      <c r="U19" s="74">
        <f t="shared" si="0"/>
        <v>3650799.8004820459</v>
      </c>
      <c r="V19" s="75">
        <f t="shared" si="1"/>
        <v>3650799.8004820459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C'!J20,Inputs!$D$64:$D$66,0))</f>
        <v>3</v>
      </c>
      <c r="J20" s="104" t="s">
        <v>41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12816727.136283187</v>
      </c>
      <c r="S20" s="72">
        <v>0</v>
      </c>
      <c r="T20" s="73">
        <f>'Base Case'!$T20</f>
        <v>0.2</v>
      </c>
      <c r="U20" s="74">
        <f t="shared" si="0"/>
        <v>2563345.4272566377</v>
      </c>
      <c r="V20" s="75">
        <f t="shared" si="1"/>
        <v>2563345.4272566377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C'!J21,Inputs!$D$64:$D$66,0))</f>
        <v>3</v>
      </c>
      <c r="J21" s="104" t="s">
        <v>41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2829163.7097345134</v>
      </c>
      <c r="T21" s="73">
        <f>'Base Case'!$T21</f>
        <v>0.2</v>
      </c>
      <c r="U21" s="74">
        <f t="shared" si="0"/>
        <v>565832.74194690271</v>
      </c>
      <c r="V21" s="75">
        <f t="shared" si="1"/>
        <v>565832.74194690271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C'!J22,Inputs!$D$64:$D$66,0))</f>
        <v>3</v>
      </c>
      <c r="J22" s="104" t="s">
        <v>41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0.2</v>
      </c>
      <c r="U22" s="74">
        <f t="shared" si="0"/>
        <v>11398.725663716818</v>
      </c>
      <c r="V22" s="75">
        <f t="shared" si="1"/>
        <v>11398.725663716818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C'!J23,Inputs!$D$64:$D$66,0))</f>
        <v>3</v>
      </c>
      <c r="J23" s="104" t="s">
        <v>41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C'!J24,Inputs!$D$64:$D$66,0))</f>
        <v>3</v>
      </c>
      <c r="J24" s="104" t="s">
        <v>41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C'!J25,Inputs!$D$64:$D$66,0))</f>
        <v>3</v>
      </c>
      <c r="J25" s="104" t="s">
        <v>41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C'!J26,Inputs!$D$64:$D$66,0))</f>
        <v>3</v>
      </c>
      <c r="J26" s="108" t="s">
        <v>41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C'!J27,Inputs!$D$64:$D$66,0))</f>
        <v>2</v>
      </c>
      <c r="J27" s="100" t="s">
        <v>40</v>
      </c>
      <c r="K27" s="101" t="str">
        <f>'Base Case'!K27</f>
        <v>Unserved energy</v>
      </c>
      <c r="L27" s="102"/>
      <c r="M27" s="102"/>
      <c r="N27" s="103"/>
      <c r="O27" s="63">
        <f>O104</f>
        <v>1843035.5183320248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1400706.9939323389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C'!J28,Inputs!$D$64:$D$66,0))</f>
        <v>2</v>
      </c>
      <c r="J28" s="104" t="s">
        <v>40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C'!J29,Inputs!$D$64:$D$66,0))</f>
        <v>2</v>
      </c>
      <c r="J29" s="104" t="s">
        <v>40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1228594.6511801605</v>
      </c>
      <c r="R29" s="71">
        <v>0</v>
      </c>
      <c r="S29" s="72">
        <v>0</v>
      </c>
      <c r="T29" s="73">
        <f>'Base Case'!$T29</f>
        <v>0.8</v>
      </c>
      <c r="U29" s="74">
        <f t="shared" si="0"/>
        <v>982875.72094412846</v>
      </c>
      <c r="V29" s="75">
        <f t="shared" si="1"/>
        <v>982875.72094412846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C'!J30,Inputs!$D$64:$D$66,0))</f>
        <v>2</v>
      </c>
      <c r="J30" s="104" t="s">
        <v>40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4272242.3787610624</v>
      </c>
      <c r="S30" s="72">
        <v>0</v>
      </c>
      <c r="T30" s="73">
        <f>'Base Case'!$T30</f>
        <v>0.8</v>
      </c>
      <c r="U30" s="74">
        <f t="shared" si="0"/>
        <v>3417793.9030088503</v>
      </c>
      <c r="V30" s="75">
        <f t="shared" si="1"/>
        <v>3417793.9030088503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C'!J31,Inputs!$D$64:$D$66,0))</f>
        <v>2</v>
      </c>
      <c r="J31" s="104" t="s">
        <v>40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0.8</v>
      </c>
      <c r="U31" s="74">
        <f t="shared" si="0"/>
        <v>762529.15200000023</v>
      </c>
      <c r="V31" s="75">
        <f t="shared" si="1"/>
        <v>762529.15200000023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C'!J32,Inputs!$D$64:$D$66,0))</f>
        <v>2</v>
      </c>
      <c r="J32" s="104" t="s">
        <v>40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0.8</v>
      </c>
      <c r="U32" s="74">
        <f t="shared" si="0"/>
        <v>45594.90265486727</v>
      </c>
      <c r="V32" s="75">
        <f t="shared" si="1"/>
        <v>45594.90265486727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C'!J33,Inputs!$D$64:$D$66,0))</f>
        <v>2</v>
      </c>
      <c r="J33" s="104" t="s">
        <v>40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C'!J34,Inputs!$D$64:$D$66,0))</f>
        <v>2</v>
      </c>
      <c r="J34" s="104" t="s">
        <v>40</v>
      </c>
      <c r="K34" s="105" t="str">
        <f>'Base Case'!K34</f>
        <v>Coincident outage risk</v>
      </c>
      <c r="L34" s="106"/>
      <c r="M34" s="106"/>
      <c r="N34" s="107"/>
      <c r="O34" s="74">
        <f>O105</f>
        <v>11018868.994654503</v>
      </c>
      <c r="P34" s="71">
        <v>0</v>
      </c>
      <c r="Q34" s="70">
        <f>Inputs!$L$161*$I$11</f>
        <v>4745708.8259561602</v>
      </c>
      <c r="R34" s="71">
        <v>0</v>
      </c>
      <c r="S34" s="72">
        <v>0</v>
      </c>
      <c r="T34" s="73">
        <f>'Base Case'!$T34</f>
        <v>0.04</v>
      </c>
      <c r="U34" s="74">
        <f t="shared" si="0"/>
        <v>630583.1128244265</v>
      </c>
      <c r="V34" s="75">
        <f t="shared" si="1"/>
        <v>189828.35303824642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C'!J35,Inputs!$D$64:$D$66,0))</f>
        <v>2</v>
      </c>
      <c r="J35" s="104" t="s">
        <v>40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C'!J36,Inputs!$D$64:$D$66,0))</f>
        <v>2</v>
      </c>
      <c r="J36" s="108" t="s">
        <v>40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C'!J37,Inputs!$D$64:$D$66,0))</f>
        <v>1</v>
      </c>
      <c r="J37" s="100" t="s">
        <v>39</v>
      </c>
      <c r="K37" s="101" t="str">
        <f>'Base Case'!K37</f>
        <v>Unserved energy</v>
      </c>
      <c r="L37" s="102"/>
      <c r="M37" s="102"/>
      <c r="N37" s="103"/>
      <c r="O37" s="63">
        <f>O103</f>
        <v>1843035.5183320248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1769314.0975987439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C'!J38,Inputs!$D$64:$D$66,0))</f>
        <v>1</v>
      </c>
      <c r="J38" s="104" t="s">
        <v>39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C'!J39,Inputs!$D$64:$D$66,0))</f>
        <v>1</v>
      </c>
      <c r="J39" s="104" t="s">
        <v>39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295106.95168534579</v>
      </c>
      <c r="R39" s="71">
        <v>0</v>
      </c>
      <c r="S39" s="72">
        <v>0</v>
      </c>
      <c r="T39" s="73">
        <f>'Base Case'!$T39</f>
        <v>1</v>
      </c>
      <c r="U39" s="74">
        <f t="shared" si="0"/>
        <v>295106.95168534579</v>
      </c>
      <c r="V39" s="75">
        <f t="shared" si="1"/>
        <v>295106.95168534579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C'!J40,Inputs!$D$64:$D$66,0))</f>
        <v>1</v>
      </c>
      <c r="J40" s="104" t="s">
        <v>39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36817.883893805316</v>
      </c>
      <c r="S40" s="72">
        <v>0</v>
      </c>
      <c r="T40" s="73">
        <f>'Base Case'!$T40</f>
        <v>1</v>
      </c>
      <c r="U40" s="74">
        <f t="shared" si="0"/>
        <v>36817.883893805316</v>
      </c>
      <c r="V40" s="75">
        <f t="shared" si="1"/>
        <v>36817.883893805316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C'!J41,Inputs!$D$64:$D$66,0))</f>
        <v>1</v>
      </c>
      <c r="J41" s="104" t="s">
        <v>39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C'!J42,Inputs!$D$64:$D$66,0))</f>
        <v>1</v>
      </c>
      <c r="J42" s="104" t="s">
        <v>39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C'!J43,Inputs!$D$64:$D$66,0))</f>
        <v>1</v>
      </c>
      <c r="J43" s="104" t="s">
        <v>39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C'!J44,Inputs!$D$64:$D$66,0))</f>
        <v>1</v>
      </c>
      <c r="J44" s="104" t="s">
        <v>39</v>
      </c>
      <c r="K44" s="105" t="str">
        <f>'Base Case'!K44</f>
        <v>Coincident outage risk</v>
      </c>
      <c r="L44" s="106"/>
      <c r="M44" s="106"/>
      <c r="N44" s="107"/>
      <c r="O44" s="74">
        <f>O105</f>
        <v>11018868.994654503</v>
      </c>
      <c r="P44" s="71">
        <v>0</v>
      </c>
      <c r="Q44" s="70">
        <f>SUM(Inputs!$J$161,Inputs!$L$161*(Inputs!$J$128/Inputs!$L$128))*$I$11</f>
        <v>1236715.8457242665</v>
      </c>
      <c r="R44" s="71">
        <v>0</v>
      </c>
      <c r="S44" s="72">
        <v>0</v>
      </c>
      <c r="T44" s="73">
        <f>'Base Case'!$T44</f>
        <v>0.04</v>
      </c>
      <c r="U44" s="74">
        <f t="shared" si="0"/>
        <v>490223.39361515077</v>
      </c>
      <c r="V44" s="75">
        <f t="shared" si="1"/>
        <v>49468.633828970662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C'!J45,Inputs!$D$64:$D$66,0))</f>
        <v>1</v>
      </c>
      <c r="J45" s="104" t="s">
        <v>39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C'!J46,Inputs!$D$64:$D$66,0))</f>
        <v>1</v>
      </c>
      <c r="J46" s="108" t="s">
        <v>39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C'!J49,Inputs!$D$64:$D$66,0))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12861904.512986528</v>
      </c>
      <c r="P49" s="70">
        <f t="shared" ref="P49:V49" si="2">SUMIF($I$17:$I$46,$I49,P$17:P$46)</f>
        <v>8261.6387603969597</v>
      </c>
      <c r="Q49" s="70">
        <f t="shared" si="2"/>
        <v>1588816.4257281963</v>
      </c>
      <c r="R49" s="70">
        <f t="shared" si="2"/>
        <v>36817.883893805316</v>
      </c>
      <c r="S49" s="70">
        <f t="shared" si="2"/>
        <v>69874.188318584071</v>
      </c>
      <c r="T49" s="56">
        <f>U49/SUM(O49:S49)</f>
        <v>0.18719296206778219</v>
      </c>
      <c r="U49" s="70">
        <f t="shared" si="2"/>
        <v>2726591.7821906107</v>
      </c>
      <c r="V49" s="70">
        <f t="shared" si="2"/>
        <v>516522.92480568687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C'!J50,Inputs!$D$64:$D$66,0))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12861904.512986528</v>
      </c>
      <c r="P50" s="70">
        <f t="shared" si="3"/>
        <v>28915.735661389357</v>
      </c>
      <c r="Q50" s="70">
        <f t="shared" si="3"/>
        <v>6031297.105454905</v>
      </c>
      <c r="R50" s="70">
        <f t="shared" si="3"/>
        <v>4272242.3787610624</v>
      </c>
      <c r="S50" s="70">
        <f t="shared" si="3"/>
        <v>953161.44000000018</v>
      </c>
      <c r="T50" s="56">
        <f t="shared" ref="T50:T51" si="4">U50/SUM(O50:S50)</f>
        <v>0.30078517467274724</v>
      </c>
      <c r="U50" s="70">
        <f t="shared" si="3"/>
        <v>7263216.3738937248</v>
      </c>
      <c r="V50" s="70">
        <f t="shared" si="3"/>
        <v>5421754.6201752042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C'!J51,Inputs!$D$64:$D$66,0))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20445378.252352301</v>
      </c>
      <c r="P51" s="70">
        <f t="shared" si="3"/>
        <v>28915.735661389357</v>
      </c>
      <c r="Q51" s="70">
        <f t="shared" si="3"/>
        <v>18310992.630728815</v>
      </c>
      <c r="R51" s="70">
        <f t="shared" si="3"/>
        <v>12816727.136283187</v>
      </c>
      <c r="S51" s="70">
        <f t="shared" si="3"/>
        <v>2829163.7097345134</v>
      </c>
      <c r="T51" s="56">
        <f t="shared" si="4"/>
        <v>0.19999999999999993</v>
      </c>
      <c r="U51" s="70">
        <f t="shared" si="3"/>
        <v>10886235.492952039</v>
      </c>
      <c r="V51" s="70">
        <f t="shared" si="3"/>
        <v>6797159.8424815815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20876043.649036378</v>
      </c>
      <c r="V52" s="88">
        <f>SUM(V49:V51)</f>
        <v>12735437.387462473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C: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31.5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20.399999999999999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10.6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ht="13.15" x14ac:dyDescent="0.4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ht="13.15" x14ac:dyDescent="0.4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24.994199999999999</v>
      </c>
      <c r="P69" s="70">
        <f>Inputs!P185*$I$12</f>
        <v>24.839850000000002</v>
      </c>
      <c r="Q69" s="70">
        <f>Inputs!Q185*$I$12</f>
        <v>25.196850000000001</v>
      </c>
      <c r="R69" s="70">
        <f>Inputs!R185*$I$12</f>
        <v>25.17165</v>
      </c>
      <c r="S69" s="70">
        <f>Inputs!S185*$I$12</f>
        <v>25.124400000000001</v>
      </c>
      <c r="T69" s="70">
        <f>Inputs!T185*$I$12</f>
        <v>26.113500000000002</v>
      </c>
      <c r="U69" s="70">
        <f>Inputs!U185*$I$12</f>
        <v>26.278350000000003</v>
      </c>
      <c r="V69" s="70">
        <f>Inputs!V185*$I$12</f>
        <v>26.278350000000003</v>
      </c>
      <c r="W69" s="70">
        <f>Inputs!W185*$I$12</f>
        <v>26.278350000000003</v>
      </c>
      <c r="X69" s="70">
        <f>Inputs!X185*$I$12</f>
        <v>26.278350000000003</v>
      </c>
      <c r="Y69" s="70">
        <f>Inputs!Y185*$I$12</f>
        <v>26.278350000000003</v>
      </c>
      <c r="Z69" s="70">
        <f>Inputs!Z185*$I$12</f>
        <v>26.278350000000003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ht="13.15" x14ac:dyDescent="0.4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22.131900000000002</v>
      </c>
      <c r="P70" s="70">
        <f>Inputs!P186*$I$12</f>
        <v>21.675150000000002</v>
      </c>
      <c r="Q70" s="70">
        <f>Inputs!Q186*$I$12</f>
        <v>22.107749999999999</v>
      </c>
      <c r="R70" s="70">
        <f>Inputs!R186*$I$12</f>
        <v>22.30095</v>
      </c>
      <c r="S70" s="70">
        <f>Inputs!S186*$I$12</f>
        <v>22.59075</v>
      </c>
      <c r="T70" s="70">
        <f>Inputs!T186*$I$12</f>
        <v>22.680000000000003</v>
      </c>
      <c r="U70" s="70">
        <f>Inputs!U186*$I$12</f>
        <v>23.024400000000004</v>
      </c>
      <c r="V70" s="70">
        <f>Inputs!V186*$I$12</f>
        <v>23.024400000000004</v>
      </c>
      <c r="W70" s="70">
        <f>Inputs!W186*$I$12</f>
        <v>23.024400000000004</v>
      </c>
      <c r="X70" s="70">
        <f>Inputs!X186*$I$12</f>
        <v>23.024400000000004</v>
      </c>
      <c r="Y70" s="70">
        <f>Inputs!Y186*$I$12</f>
        <v>23.024400000000004</v>
      </c>
      <c r="Z70" s="70">
        <f>Inputs!Z186*$I$12</f>
        <v>23.024400000000004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ht="13.15" x14ac:dyDescent="0.4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22.990589999999997</v>
      </c>
      <c r="P71" s="70">
        <f>Inputs!P187*$I$12</f>
        <v>22.624560000000002</v>
      </c>
      <c r="Q71" s="70">
        <f>Inputs!Q187*$I$12</f>
        <v>23.034480000000002</v>
      </c>
      <c r="R71" s="70">
        <f>Inputs!R187*$I$12</f>
        <v>23.16216</v>
      </c>
      <c r="S71" s="70">
        <f>Inputs!S187*$I$12</f>
        <v>23.350845000000003</v>
      </c>
      <c r="T71" s="70">
        <f>Inputs!T187*$I$12</f>
        <v>23.710049999999999</v>
      </c>
      <c r="U71" s="70">
        <f>Inputs!U187*$I$12</f>
        <v>24.000585000000001</v>
      </c>
      <c r="V71" s="70">
        <f>Inputs!V187*$I$12</f>
        <v>24.000585000000001</v>
      </c>
      <c r="W71" s="70">
        <f>Inputs!W187*$I$12</f>
        <v>24.000585000000001</v>
      </c>
      <c r="X71" s="70">
        <f>Inputs!X187*$I$12</f>
        <v>24.000585000000001</v>
      </c>
      <c r="Y71" s="70">
        <f>Inputs!Y187*$I$12</f>
        <v>24.000585000000001</v>
      </c>
      <c r="Z71" s="70">
        <f>Inputs!Z187*$I$12</f>
        <v>24.000585000000001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ht="13.15" x14ac:dyDescent="0.4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ht="13.15" x14ac:dyDescent="0.4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ht="13.15" x14ac:dyDescent="0.4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ht="13.15" x14ac:dyDescent="0.4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2.5905899999999988</v>
      </c>
      <c r="P77" s="70">
        <f t="shared" si="5"/>
        <v>2.2245600000000039</v>
      </c>
      <c r="Q77" s="70">
        <f t="shared" si="5"/>
        <v>2.6344800000000035</v>
      </c>
      <c r="R77" s="70">
        <f t="shared" si="5"/>
        <v>2.7621600000000015</v>
      </c>
      <c r="S77" s="70">
        <f t="shared" si="5"/>
        <v>2.9508450000000046</v>
      </c>
      <c r="T77" s="70">
        <f t="shared" si="5"/>
        <v>3.3100500000000004</v>
      </c>
      <c r="U77" s="70">
        <f t="shared" si="5"/>
        <v>3.6005850000000024</v>
      </c>
      <c r="V77" s="70">
        <f t="shared" si="5"/>
        <v>3.6005850000000024</v>
      </c>
      <c r="W77" s="70">
        <f t="shared" si="5"/>
        <v>3.6005850000000024</v>
      </c>
      <c r="X77" s="70">
        <f t="shared" si="5"/>
        <v>3.6005850000000024</v>
      </c>
      <c r="Y77" s="70">
        <f t="shared" si="5"/>
        <v>3.6005850000000024</v>
      </c>
      <c r="Z77" s="70">
        <f t="shared" si="5"/>
        <v>3.6005850000000024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12.390589999999998</v>
      </c>
      <c r="P78" s="70">
        <f t="shared" si="5"/>
        <v>12.024560000000003</v>
      </c>
      <c r="Q78" s="70">
        <f t="shared" si="5"/>
        <v>12.434480000000002</v>
      </c>
      <c r="R78" s="70">
        <f t="shared" si="5"/>
        <v>12.56216</v>
      </c>
      <c r="S78" s="70">
        <f t="shared" si="5"/>
        <v>12.750845000000004</v>
      </c>
      <c r="T78" s="70">
        <f t="shared" si="5"/>
        <v>13.110049999999999</v>
      </c>
      <c r="U78" s="70">
        <f t="shared" si="5"/>
        <v>13.400585000000001</v>
      </c>
      <c r="V78" s="70">
        <f t="shared" si="5"/>
        <v>13.400585000000001</v>
      </c>
      <c r="W78" s="70">
        <f t="shared" si="5"/>
        <v>13.400585000000001</v>
      </c>
      <c r="X78" s="70">
        <f t="shared" si="5"/>
        <v>13.400585000000001</v>
      </c>
      <c r="Y78" s="70">
        <f t="shared" si="5"/>
        <v>13.400585000000001</v>
      </c>
      <c r="Z78" s="70">
        <f t="shared" si="5"/>
        <v>13.400585000000001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22.990589999999997</v>
      </c>
      <c r="P79" s="70">
        <f t="shared" si="5"/>
        <v>22.624560000000002</v>
      </c>
      <c r="Q79" s="70">
        <f t="shared" si="5"/>
        <v>23.034480000000002</v>
      </c>
      <c r="R79" s="70">
        <f t="shared" si="5"/>
        <v>23.16216</v>
      </c>
      <c r="S79" s="70">
        <f t="shared" si="5"/>
        <v>23.350845000000003</v>
      </c>
      <c r="T79" s="70">
        <f t="shared" si="5"/>
        <v>23.710049999999999</v>
      </c>
      <c r="U79" s="70">
        <f t="shared" si="5"/>
        <v>24.000585000000001</v>
      </c>
      <c r="V79" s="70">
        <f t="shared" si="5"/>
        <v>24.000585000000001</v>
      </c>
      <c r="W79" s="70">
        <f t="shared" si="5"/>
        <v>24.000585000000001</v>
      </c>
      <c r="X79" s="70">
        <f t="shared" si="5"/>
        <v>24.000585000000001</v>
      </c>
      <c r="Y79" s="70">
        <f t="shared" si="5"/>
        <v>24.000585000000001</v>
      </c>
      <c r="Z79" s="70">
        <f t="shared" si="5"/>
        <v>24.000585000000001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22.990589999999997</v>
      </c>
      <c r="P80" s="70">
        <f t="shared" si="5"/>
        <v>22.624560000000002</v>
      </c>
      <c r="Q80" s="70">
        <f t="shared" si="5"/>
        <v>23.034480000000002</v>
      </c>
      <c r="R80" s="70">
        <f t="shared" si="5"/>
        <v>23.16216</v>
      </c>
      <c r="S80" s="70">
        <f t="shared" si="5"/>
        <v>23.350845000000003</v>
      </c>
      <c r="T80" s="70">
        <f t="shared" si="5"/>
        <v>23.710049999999999</v>
      </c>
      <c r="U80" s="70">
        <f t="shared" si="5"/>
        <v>24.000585000000001</v>
      </c>
      <c r="V80" s="70">
        <f t="shared" si="5"/>
        <v>24.000585000000001</v>
      </c>
      <c r="W80" s="70">
        <f t="shared" si="5"/>
        <v>24.000585000000001</v>
      </c>
      <c r="X80" s="70">
        <f t="shared" si="5"/>
        <v>24.000585000000001</v>
      </c>
      <c r="Y80" s="70">
        <f t="shared" si="5"/>
        <v>24.000585000000001</v>
      </c>
      <c r="Z80" s="70">
        <f t="shared" si="5"/>
        <v>24.000585000000001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2</v>
      </c>
      <c r="P88" s="70">
        <f>ROUNDUP(ROUNDUP(P77/Inputs!$J$114,0)/(Inputs!$J$118*Inputs!$J$115*Inputs!$J$114),0)+1</f>
        <v>2</v>
      </c>
      <c r="Q88" s="70">
        <f>ROUNDUP(ROUNDUP(Q77/Inputs!$J$114,0)/(Inputs!$J$118*Inputs!$J$115*Inputs!$J$114),0)+1</f>
        <v>2</v>
      </c>
      <c r="R88" s="70">
        <f>ROUNDUP(ROUNDUP(R77/Inputs!$J$114,0)/(Inputs!$J$118*Inputs!$J$115*Inputs!$J$114),0)+1</f>
        <v>2</v>
      </c>
      <c r="S88" s="70">
        <f>ROUNDUP(ROUNDUP(S77/Inputs!$J$114,0)/(Inputs!$J$118*Inputs!$J$115*Inputs!$J$114),0)+1</f>
        <v>2</v>
      </c>
      <c r="T88" s="70">
        <f>ROUNDUP(ROUNDUP(T77/Inputs!$J$114,0)/(Inputs!$J$118*Inputs!$J$115*Inputs!$J$114),0)+1</f>
        <v>2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2</v>
      </c>
      <c r="P90" s="93">
        <f t="shared" ref="P90:Z90" si="10">IFERROR((P88-P89)/P88,0)*MAX(0,P88)</f>
        <v>2</v>
      </c>
      <c r="Q90" s="93">
        <f t="shared" si="10"/>
        <v>2</v>
      </c>
      <c r="R90" s="93">
        <f t="shared" si="10"/>
        <v>2</v>
      </c>
      <c r="S90" s="93">
        <f t="shared" si="10"/>
        <v>2</v>
      </c>
      <c r="T90" s="93">
        <f t="shared" si="10"/>
        <v>2</v>
      </c>
      <c r="U90" s="93">
        <f t="shared" si="10"/>
        <v>2</v>
      </c>
      <c r="V90" s="93">
        <f t="shared" si="10"/>
        <v>2</v>
      </c>
      <c r="W90" s="93">
        <f t="shared" si="10"/>
        <v>2</v>
      </c>
      <c r="X90" s="93">
        <f t="shared" si="10"/>
        <v>2</v>
      </c>
      <c r="Y90" s="93">
        <f t="shared" si="10"/>
        <v>2</v>
      </c>
      <c r="Z90" s="93">
        <f t="shared" si="10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4</v>
      </c>
      <c r="V94" s="70">
        <f>ROUNDUP(ROUNDUP(V79/Inputs!$J$114,0)/(Inputs!$J$118*Inputs!$J$115*Inputs!$J$114),0)+1</f>
        <v>4</v>
      </c>
      <c r="W94" s="70">
        <f>ROUNDUP(ROUNDUP(W79/Inputs!$J$114,0)/(Inputs!$J$118*Inputs!$J$115*Inputs!$J$114),0)+1</f>
        <v>4</v>
      </c>
      <c r="X94" s="70">
        <f>ROUNDUP(ROUNDUP(X79/Inputs!$J$114,0)/(Inputs!$J$118*Inputs!$J$115*Inputs!$J$114),0)+1</f>
        <v>4</v>
      </c>
      <c r="Y94" s="70">
        <f>ROUNDUP(ROUNDUP(Y79/Inputs!$J$114,0)/(Inputs!$J$118*Inputs!$J$115*Inputs!$J$114),0)+1</f>
        <v>4</v>
      </c>
      <c r="Z94" s="70">
        <f>ROUNDUP(ROUNDUP(Z79/Inputs!$J$114,0)/(Inputs!$J$118*Inputs!$J$115*Inputs!$J$114),0)+1</f>
        <v>4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3">MAX(0,((P94-1)-1)/2)</f>
        <v>0.5</v>
      </c>
      <c r="Q95" s="70">
        <f t="shared" si="13"/>
        <v>0.5</v>
      </c>
      <c r="R95" s="70">
        <f t="shared" si="13"/>
        <v>0.5</v>
      </c>
      <c r="S95" s="70">
        <f t="shared" si="13"/>
        <v>0.5</v>
      </c>
      <c r="T95" s="70">
        <f t="shared" si="13"/>
        <v>0.5</v>
      </c>
      <c r="U95" s="70">
        <f t="shared" si="13"/>
        <v>1</v>
      </c>
      <c r="V95" s="70">
        <f t="shared" si="13"/>
        <v>1</v>
      </c>
      <c r="W95" s="70">
        <f t="shared" si="13"/>
        <v>1</v>
      </c>
      <c r="X95" s="70">
        <f t="shared" si="13"/>
        <v>1</v>
      </c>
      <c r="Y95" s="70">
        <f t="shared" si="13"/>
        <v>1</v>
      </c>
      <c r="Z95" s="70">
        <f t="shared" si="13"/>
        <v>1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4">IFERROR((P94-P95)/P94,0)*MAX(0,P94)</f>
        <v>2.5</v>
      </c>
      <c r="Q96" s="93">
        <f t="shared" si="14"/>
        <v>2.5</v>
      </c>
      <c r="R96" s="93">
        <f t="shared" si="14"/>
        <v>2.5</v>
      </c>
      <c r="S96" s="93">
        <f t="shared" si="14"/>
        <v>2.5</v>
      </c>
      <c r="T96" s="93">
        <f t="shared" si="14"/>
        <v>2.5</v>
      </c>
      <c r="U96" s="93">
        <f t="shared" si="14"/>
        <v>3</v>
      </c>
      <c r="V96" s="93">
        <f t="shared" si="14"/>
        <v>3</v>
      </c>
      <c r="W96" s="93">
        <f t="shared" si="14"/>
        <v>3</v>
      </c>
      <c r="X96" s="93">
        <f t="shared" si="14"/>
        <v>3</v>
      </c>
      <c r="Y96" s="93">
        <f t="shared" si="14"/>
        <v>3</v>
      </c>
      <c r="Z96" s="93">
        <f t="shared" si="14"/>
        <v>3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4</v>
      </c>
      <c r="V97" s="70">
        <f>ROUNDUP(ROUNDUP(V80/Inputs!$J$114,0)/(Inputs!$J$118*Inputs!$J$115*Inputs!$J$114),0)+1</f>
        <v>4</v>
      </c>
      <c r="W97" s="70">
        <f>ROUNDUP(ROUNDUP(W80/Inputs!$J$114,0)/(Inputs!$J$118*Inputs!$J$115*Inputs!$J$114),0)+1</f>
        <v>4</v>
      </c>
      <c r="X97" s="70">
        <f>ROUNDUP(ROUNDUP(X80/Inputs!$J$114,0)/(Inputs!$J$118*Inputs!$J$115*Inputs!$J$114),0)+1</f>
        <v>4</v>
      </c>
      <c r="Y97" s="70">
        <f>ROUNDUP(ROUNDUP(Y80/Inputs!$J$114,0)/(Inputs!$J$118*Inputs!$J$115*Inputs!$J$114),0)+1</f>
        <v>4</v>
      </c>
      <c r="Z97" s="70">
        <f>ROUNDUP(ROUNDUP(Z80/Inputs!$J$114,0)/(Inputs!$J$118*Inputs!$J$115*Inputs!$J$114),0)+1</f>
        <v>4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5">MAX(0,((P97-1)-1)/2)</f>
        <v>0.5</v>
      </c>
      <c r="Q98" s="70">
        <f t="shared" si="15"/>
        <v>0.5</v>
      </c>
      <c r="R98" s="70">
        <f t="shared" si="15"/>
        <v>0.5</v>
      </c>
      <c r="S98" s="70">
        <f t="shared" si="15"/>
        <v>0.5</v>
      </c>
      <c r="T98" s="70">
        <f t="shared" si="15"/>
        <v>0.5</v>
      </c>
      <c r="U98" s="70">
        <f t="shared" si="15"/>
        <v>1</v>
      </c>
      <c r="V98" s="70">
        <f t="shared" si="15"/>
        <v>1</v>
      </c>
      <c r="W98" s="70">
        <f t="shared" si="15"/>
        <v>1</v>
      </c>
      <c r="X98" s="70">
        <f t="shared" si="15"/>
        <v>1</v>
      </c>
      <c r="Y98" s="70">
        <f t="shared" si="15"/>
        <v>1</v>
      </c>
      <c r="Z98" s="70">
        <f t="shared" si="15"/>
        <v>1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16">IFERROR((P97-P98)/P97,0)*MAX(0,P97)</f>
        <v>2.5</v>
      </c>
      <c r="Q99" s="93">
        <f t="shared" si="16"/>
        <v>2.5</v>
      </c>
      <c r="R99" s="93">
        <f t="shared" si="16"/>
        <v>2.5</v>
      </c>
      <c r="S99" s="93">
        <f t="shared" si="16"/>
        <v>2.5</v>
      </c>
      <c r="T99" s="93">
        <f t="shared" si="16"/>
        <v>2.5</v>
      </c>
      <c r="U99" s="93">
        <f t="shared" si="16"/>
        <v>3</v>
      </c>
      <c r="V99" s="93">
        <f t="shared" si="16"/>
        <v>3</v>
      </c>
      <c r="W99" s="93">
        <f t="shared" si="16"/>
        <v>3</v>
      </c>
      <c r="X99" s="93">
        <f t="shared" si="16"/>
        <v>3</v>
      </c>
      <c r="Y99" s="93">
        <f t="shared" si="16"/>
        <v>3</v>
      </c>
      <c r="Z99" s="93">
        <f t="shared" si="16"/>
        <v>3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1843035.5183320248</v>
      </c>
      <c r="P103" s="70">
        <f>P77*Inputs!$M$75*IF(Inputs!$J$126&gt;0,Inputs!$J$126,P90*Inputs!$J$123)*$I$13</f>
        <v>1582629.0893814529</v>
      </c>
      <c r="Q103" s="70">
        <f>Q77*Inputs!$M$75*IF(Inputs!$J$126&gt;0,Inputs!$J$126,Q90*Inputs!$J$123)*$I$13</f>
        <v>1874260.3856014886</v>
      </c>
      <c r="R103" s="70">
        <f>R77*Inputs!$M$75*IF(Inputs!$J$126&gt;0,Inputs!$J$126,R90*Inputs!$J$123)*$I$13</f>
        <v>1965096.3631126464</v>
      </c>
      <c r="S103" s="70">
        <f>S77*Inputs!$M$75*IF(Inputs!$J$126&gt;0,Inputs!$J$126,S90*Inputs!$J$123)*$I$13</f>
        <v>2099333.4121155697</v>
      </c>
      <c r="T103" s="70">
        <f>T77*Inputs!$M$75*IF(Inputs!$J$126&gt;0,Inputs!$J$126,T90*Inputs!$J$123)*$I$13</f>
        <v>2354884.2995051015</v>
      </c>
      <c r="U103" s="70">
        <f>U77*Inputs!$M$75*IF(Inputs!$J$126&gt;0,Inputs!$J$126,U90*Inputs!$J$123)*$I$13</f>
        <v>2561580.9687266299</v>
      </c>
      <c r="V103" s="70">
        <f>V77*Inputs!$M$75*IF(Inputs!$J$126&gt;0,Inputs!$J$126,V90*Inputs!$J$123)*$I$13</f>
        <v>2561580.9687266299</v>
      </c>
      <c r="W103" s="70">
        <f>W77*Inputs!$M$75*IF(Inputs!$J$126&gt;0,Inputs!$J$126,W90*Inputs!$J$123)*$I$13</f>
        <v>2561580.9687266299</v>
      </c>
      <c r="X103" s="70">
        <f>X77*Inputs!$M$75*IF(Inputs!$J$126&gt;0,Inputs!$J$126,X90*Inputs!$J$123)*$I$13</f>
        <v>2561580.9687266299</v>
      </c>
      <c r="Y103" s="70">
        <f>Y77*Inputs!$M$75*IF(Inputs!$J$126&gt;0,Inputs!$J$126,Y90*Inputs!$J$123)*$I$13</f>
        <v>2561580.9687266299</v>
      </c>
      <c r="Z103" s="70">
        <f>Z77*Inputs!$M$75*IF(Inputs!$J$126&gt;0,Inputs!$J$126,Z90*Inputs!$J$123)*$I$13</f>
        <v>2561580.9687266299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1843035.5183320248</v>
      </c>
      <c r="P104" s="70">
        <f>P77*Inputs!$M$75*IF(Inputs!$K$126&gt;0,Inputs!$K$126,P90*Inputs!$J$123)*$I$13</f>
        <v>1582629.0893814529</v>
      </c>
      <c r="Q104" s="70">
        <f>Q77*Inputs!$M$75*IF(Inputs!$K$126&gt;0,Inputs!$K$126,Q90*Inputs!$J$123)*$I$13</f>
        <v>1874260.3856014886</v>
      </c>
      <c r="R104" s="70">
        <f>R77*Inputs!$M$75*IF(Inputs!$K$126&gt;0,Inputs!$K$126,R90*Inputs!$J$123)*$I$13</f>
        <v>1965096.3631126464</v>
      </c>
      <c r="S104" s="70">
        <f>S77*Inputs!$M$75*IF(Inputs!$K$126&gt;0,Inputs!$K$126,S90*Inputs!$J$123)*$I$13</f>
        <v>2099333.4121155697</v>
      </c>
      <c r="T104" s="70">
        <f>T77*Inputs!$M$75*IF(Inputs!$K$126&gt;0,Inputs!$K$126,T90*Inputs!$J$123)*$I$13</f>
        <v>2354884.2995051015</v>
      </c>
      <c r="U104" s="70">
        <f>U77*Inputs!$M$75*IF(Inputs!$K$126&gt;0,Inputs!$K$126,U90*Inputs!$J$123)*$I$13</f>
        <v>2561580.9687266299</v>
      </c>
      <c r="V104" s="70">
        <f>V77*Inputs!$M$75*IF(Inputs!$K$126&gt;0,Inputs!$K$126,V90*Inputs!$J$123)*$I$13</f>
        <v>2561580.9687266299</v>
      </c>
      <c r="W104" s="70">
        <f>W77*Inputs!$M$75*IF(Inputs!$K$126&gt;0,Inputs!$K$126,W90*Inputs!$J$123)*$I$13</f>
        <v>2561580.9687266299</v>
      </c>
      <c r="X104" s="70">
        <f>X77*Inputs!$M$75*IF(Inputs!$K$126&gt;0,Inputs!$K$126,X90*Inputs!$J$123)*$I$13</f>
        <v>2561580.9687266299</v>
      </c>
      <c r="Y104" s="70">
        <f>Y77*Inputs!$M$75*IF(Inputs!$K$126&gt;0,Inputs!$K$126,Y90*Inputs!$J$123)*$I$13</f>
        <v>2561580.9687266299</v>
      </c>
      <c r="Z104" s="70">
        <f>Z77*Inputs!$M$75*IF(Inputs!$K$126&gt;0,Inputs!$K$126,Z90*Inputs!$J$123)*$I$13</f>
        <v>2561580.9687266299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11018868.994654503</v>
      </c>
      <c r="P105" s="70">
        <f>P78*Inputs!$M$75*IF(Inputs!$M$126&gt;0,Inputs!$M$126,P93*Inputs!$J$123)*$I$13</f>
        <v>10693360.958466288</v>
      </c>
      <c r="Q105" s="70">
        <f>Q78*Inputs!$M$75*IF(Inputs!$M$126&gt;0,Inputs!$M$126,Q93*Inputs!$J$123)*$I$13</f>
        <v>11057900.078741334</v>
      </c>
      <c r="R105" s="70">
        <f>R78*Inputs!$M$75*IF(Inputs!$M$126&gt;0,Inputs!$M$126,R93*Inputs!$J$123)*$I$13</f>
        <v>11171445.050630281</v>
      </c>
      <c r="S105" s="70">
        <f>S78*Inputs!$M$75*IF(Inputs!$M$126&gt;0,Inputs!$M$126,S93*Inputs!$J$123)*$I$13</f>
        <v>11339241.361883935</v>
      </c>
      <c r="T105" s="70">
        <f>T78*Inputs!$M$75*IF(Inputs!$M$126&gt;0,Inputs!$M$126,T93*Inputs!$J$123)*$I$13</f>
        <v>11658679.971120849</v>
      </c>
      <c r="U105" s="70">
        <f>U78*Inputs!$M$75*IF(Inputs!$M$126&gt;0,Inputs!$M$126,U93*Inputs!$J$123)*$I$13</f>
        <v>11917050.807647759</v>
      </c>
      <c r="V105" s="70">
        <f>V78*Inputs!$M$75*IF(Inputs!$M$126&gt;0,Inputs!$M$126,V93*Inputs!$J$123)*$I$13</f>
        <v>11917050.807647759</v>
      </c>
      <c r="W105" s="70">
        <f>W78*Inputs!$M$75*IF(Inputs!$M$126&gt;0,Inputs!$M$126,W93*Inputs!$J$123)*$I$13</f>
        <v>11917050.807647759</v>
      </c>
      <c r="X105" s="70">
        <f>X78*Inputs!$M$75*IF(Inputs!$M$126&gt;0,Inputs!$M$126,X93*Inputs!$J$123)*$I$13</f>
        <v>11917050.807647759</v>
      </c>
      <c r="Y105" s="70">
        <f>Y78*Inputs!$M$75*IF(Inputs!$M$126&gt;0,Inputs!$M$126,Y93*Inputs!$J$123)*$I$13</f>
        <v>11917050.807647759</v>
      </c>
      <c r="Z105" s="70">
        <f>Z78*Inputs!$M$75*IF(Inputs!$M$126&gt;0,Inputs!$M$126,Z93*Inputs!$J$123)*$I$13</f>
        <v>11917050.807647759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20445378.252352301</v>
      </c>
      <c r="P106" s="70">
        <f>P79*Inputs!$M$75*IF(Inputs!$M$126&gt;0,Inputs!$M$126,P96*Inputs!$J$123)*$I$13</f>
        <v>20119870.216164086</v>
      </c>
      <c r="Q106" s="70">
        <f>Q79*Inputs!$M$75*IF(Inputs!$M$126&gt;0,Inputs!$M$126,Q96*Inputs!$J$123)*$I$13</f>
        <v>20484409.336439133</v>
      </c>
      <c r="R106" s="70">
        <f>R79*Inputs!$M$75*IF(Inputs!$M$126&gt;0,Inputs!$M$126,R96*Inputs!$J$123)*$I$13</f>
        <v>20597954.308328077</v>
      </c>
      <c r="S106" s="70">
        <f>S79*Inputs!$M$75*IF(Inputs!$M$126&gt;0,Inputs!$M$126,S96*Inputs!$J$123)*$I$13</f>
        <v>20765750.619581733</v>
      </c>
      <c r="T106" s="70">
        <f>T79*Inputs!$M$75*IF(Inputs!$M$126&gt;0,Inputs!$M$126,T96*Inputs!$J$123)*$I$13</f>
        <v>21085189.228818648</v>
      </c>
      <c r="U106" s="70">
        <f>U79*Inputs!$M$75*IF(Inputs!$M$126&gt;0,Inputs!$M$126,U96*Inputs!$J$123)*$I$13</f>
        <v>25612272.078414667</v>
      </c>
      <c r="V106" s="70">
        <f>V79*Inputs!$M$75*IF(Inputs!$M$126&gt;0,Inputs!$M$126,V96*Inputs!$J$123)*$I$13</f>
        <v>25612272.078414667</v>
      </c>
      <c r="W106" s="70">
        <f>W79*Inputs!$M$75*IF(Inputs!$M$126&gt;0,Inputs!$M$126,W96*Inputs!$J$123)*$I$13</f>
        <v>25612272.078414667</v>
      </c>
      <c r="X106" s="70">
        <f>X79*Inputs!$M$75*IF(Inputs!$M$126&gt;0,Inputs!$M$126,X96*Inputs!$J$123)*$I$13</f>
        <v>25612272.078414667</v>
      </c>
      <c r="Y106" s="70">
        <f>Y79*Inputs!$M$75*IF(Inputs!$M$126&gt;0,Inputs!$M$126,Y96*Inputs!$J$123)*$I$13</f>
        <v>25612272.078414667</v>
      </c>
      <c r="Z106" s="70">
        <f>Z79*Inputs!$M$75*IF(Inputs!$M$126&gt;0,Inputs!$M$126,Z96*Inputs!$J$123)*$I$13</f>
        <v>25612272.078414667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20445378.252352301</v>
      </c>
      <c r="P107" s="70">
        <f>P80*Inputs!$M$75*IF(Inputs!$M$126&gt;0,Inputs!$M$126,P99*Inputs!$J$123)*$I$13</f>
        <v>20119870.216164086</v>
      </c>
      <c r="Q107" s="70">
        <f>Q80*Inputs!$M$75*IF(Inputs!$M$126&gt;0,Inputs!$M$126,Q99*Inputs!$J$123)*$I$13</f>
        <v>20484409.336439133</v>
      </c>
      <c r="R107" s="70">
        <f>R80*Inputs!$M$75*IF(Inputs!$M$126&gt;0,Inputs!$M$126,R99*Inputs!$J$123)*$I$13</f>
        <v>20597954.308328077</v>
      </c>
      <c r="S107" s="70">
        <f>S80*Inputs!$M$75*IF(Inputs!$M$126&gt;0,Inputs!$M$126,S99*Inputs!$J$123)*$I$13</f>
        <v>20765750.619581733</v>
      </c>
      <c r="T107" s="70">
        <f>T80*Inputs!$M$75*IF(Inputs!$M$126&gt;0,Inputs!$M$126,T99*Inputs!$J$123)*$I$13</f>
        <v>21085189.228818648</v>
      </c>
      <c r="U107" s="70">
        <f>U80*Inputs!$M$75*IF(Inputs!$M$126&gt;0,Inputs!$M$126,U99*Inputs!$J$123)*$I$13</f>
        <v>25612272.078414667</v>
      </c>
      <c r="V107" s="70">
        <f>V80*Inputs!$M$75*IF(Inputs!$M$126&gt;0,Inputs!$M$126,V99*Inputs!$J$123)*$I$13</f>
        <v>25612272.078414667</v>
      </c>
      <c r="W107" s="70">
        <f>W80*Inputs!$M$75*IF(Inputs!$M$126&gt;0,Inputs!$M$126,W99*Inputs!$J$123)*$I$13</f>
        <v>25612272.078414667</v>
      </c>
      <c r="X107" s="70">
        <f>X80*Inputs!$M$75*IF(Inputs!$M$126&gt;0,Inputs!$M$126,X99*Inputs!$J$123)*$I$13</f>
        <v>25612272.078414667</v>
      </c>
      <c r="Y107" s="70">
        <f>Y80*Inputs!$M$75*IF(Inputs!$M$126&gt;0,Inputs!$M$126,Y99*Inputs!$J$123)*$I$13</f>
        <v>25612272.078414667</v>
      </c>
      <c r="Z107" s="70">
        <f>Z80*Inputs!$M$75*IF(Inputs!$M$126&gt;0,Inputs!$M$126,Z99*Inputs!$J$123)*$I$13</f>
        <v>25612272.078414667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0.13114557923018094</v>
      </c>
      <c r="P114" s="56">
        <f>Inputs!P64*$I$9</f>
        <v>0.139339121521044</v>
      </c>
      <c r="Q114" s="56">
        <f>Inputs!Q64*$I$9</f>
        <v>0.14808660136366</v>
      </c>
      <c r="R114" s="56">
        <f>Inputs!R64*$I$9</f>
        <v>0.15742692014778489</v>
      </c>
      <c r="S114" s="56">
        <f>Inputs!S64*$I$9</f>
        <v>0.16740177486308142</v>
      </c>
      <c r="T114" s="56">
        <f>Inputs!T64*$I$9</f>
        <v>0.17805586195953496</v>
      </c>
      <c r="U114" s="56">
        <f>Inputs!U64*$I$9</f>
        <v>0.18943709621627727</v>
      </c>
      <c r="V114" s="56">
        <f>Inputs!V64*$I$9</f>
        <v>0.20159684573074296</v>
      </c>
      <c r="W114" s="56">
        <f>Inputs!W64*$I$9</f>
        <v>0.21459018422281737</v>
      </c>
      <c r="X114" s="56">
        <f>Inputs!X64*$I$9</f>
        <v>0.22847616193752252</v>
      </c>
      <c r="Y114" s="56">
        <f>Inputs!Y64*$I$9</f>
        <v>0.24331809652532607</v>
      </c>
      <c r="Z114" s="56">
        <f>Inputs!Z64*$I$9</f>
        <v>0.25912417118113762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7.0508375930204801E-4</v>
      </c>
      <c r="P115" s="56">
        <f>Inputs!P65*$I$9</f>
        <v>7.4913506194109662E-4</v>
      </c>
      <c r="Q115" s="56">
        <f>Inputs!Q65*$I$9</f>
        <v>7.9616452346053753E-4</v>
      </c>
      <c r="R115" s="56">
        <f>Inputs!R65*$I$9</f>
        <v>8.4638129111712303E-4</v>
      </c>
      <c r="S115" s="56">
        <f>Inputs!S65*$I$9</f>
        <v>9.0000954227463135E-4</v>
      </c>
      <c r="T115" s="56">
        <f>Inputs!T65*$I$9</f>
        <v>9.572895804276074E-4</v>
      </c>
      <c r="U115" s="56">
        <f>Inputs!U65*$I$9</f>
        <v>1.0184790119154689E-3</v>
      </c>
      <c r="V115" s="56">
        <f>Inputs!V65*$I$9</f>
        <v>1.0838540093050697E-3</v>
      </c>
      <c r="W115" s="56">
        <f>Inputs!W65*$I$9</f>
        <v>1.1537106678646096E-3</v>
      </c>
      <c r="X115" s="56">
        <f>Inputs!X65*$I$9</f>
        <v>1.2283664620296906E-3</v>
      </c>
      <c r="Y115" s="56">
        <f>Inputs!Y65*$I$9</f>
        <v>1.3081618092759466E-3</v>
      </c>
      <c r="Z115" s="56">
        <f>Inputs!Z65*$I$9</f>
        <v>1.3931407052749335E-3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7.0508375930204801E-4</v>
      </c>
      <c r="P116" s="56">
        <f>Inputs!P66*$I$9</f>
        <v>7.4913506194109662E-4</v>
      </c>
      <c r="Q116" s="56">
        <f>Inputs!Q66*$I$9</f>
        <v>7.9616452346053753E-4</v>
      </c>
      <c r="R116" s="56">
        <f>Inputs!R66*$I$9</f>
        <v>8.4638129111712303E-4</v>
      </c>
      <c r="S116" s="56">
        <f>Inputs!S66*$I$9</f>
        <v>9.0000954227463135E-4</v>
      </c>
      <c r="T116" s="56">
        <f>Inputs!T66*$I$9</f>
        <v>9.572895804276074E-4</v>
      </c>
      <c r="U116" s="56">
        <f>Inputs!U66*$I$9</f>
        <v>1.0184790119154689E-3</v>
      </c>
      <c r="V116" s="56">
        <f>Inputs!V66*$I$9</f>
        <v>1.0838540093050697E-3</v>
      </c>
      <c r="W116" s="56">
        <f>Inputs!W66*$I$9</f>
        <v>1.1537106678646096E-3</v>
      </c>
      <c r="X116" s="56">
        <f>Inputs!X66*$I$9</f>
        <v>1.2283664620296906E-3</v>
      </c>
      <c r="Y116" s="56">
        <f>Inputs!Y66*$I$9</f>
        <v>1.3081618092759466E-3</v>
      </c>
      <c r="Z116" s="56">
        <f>Inputs!Z66*$I$9</f>
        <v>1.3931407052749335E-3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232037.72216971213</v>
      </c>
      <c r="P119" s="70">
        <f t="shared" ref="P119:Z119" si="17">P103*P114*$T$37</f>
        <v>211701.26112773901</v>
      </c>
      <c r="Q119" s="70">
        <f t="shared" si="17"/>
        <v>266450.73655129661</v>
      </c>
      <c r="R119" s="70">
        <f t="shared" si="17"/>
        <v>296984.70550889964</v>
      </c>
      <c r="S119" s="70">
        <f t="shared" si="17"/>
        <v>337374.85364881449</v>
      </c>
      <c r="T119" s="70">
        <f t="shared" si="17"/>
        <v>402528.91561282228</v>
      </c>
      <c r="U119" s="70">
        <f t="shared" si="17"/>
        <v>465848.12202091323</v>
      </c>
      <c r="V119" s="70">
        <f t="shared" si="17"/>
        <v>495750.37764402194</v>
      </c>
      <c r="W119" s="70">
        <f t="shared" si="17"/>
        <v>527702.52670148201</v>
      </c>
      <c r="X119" s="70">
        <f t="shared" si="17"/>
        <v>561849.78069778683</v>
      </c>
      <c r="Y119" s="70">
        <f t="shared" si="17"/>
        <v>598347.84518982179</v>
      </c>
      <c r="Z119" s="70">
        <f t="shared" si="17"/>
        <v>637216.84361727699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987.61575296248452</v>
      </c>
      <c r="P120" s="70">
        <f t="shared" ref="P120:Z120" si="20">P104*P115*$T$27</f>
        <v>901.05823508670267</v>
      </c>
      <c r="Q120" s="70">
        <f t="shared" si="20"/>
        <v>1134.0869163249631</v>
      </c>
      <c r="R120" s="70">
        <f t="shared" si="20"/>
        <v>1264.0478057054418</v>
      </c>
      <c r="S120" s="70">
        <f t="shared" si="20"/>
        <v>1435.95927852318</v>
      </c>
      <c r="T120" s="70">
        <f t="shared" si="20"/>
        <v>1713.2727143018872</v>
      </c>
      <c r="U120" s="70">
        <f t="shared" si="20"/>
        <v>1982.7765050173275</v>
      </c>
      <c r="V120" s="70">
        <f t="shared" si="20"/>
        <v>2110.0486503665811</v>
      </c>
      <c r="W120" s="70">
        <f t="shared" si="20"/>
        <v>2246.0457005663443</v>
      </c>
      <c r="X120" s="70">
        <f t="shared" si="20"/>
        <v>2391.3857153355616</v>
      </c>
      <c r="Y120" s="70">
        <f t="shared" si="20"/>
        <v>2546.7314199387579</v>
      </c>
      <c r="Z120" s="70">
        <f t="shared" si="20"/>
        <v>2712.1684652169051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2883.1408317041796</v>
      </c>
      <c r="P121" s="70">
        <f t="shared" ref="P121:Z121" si="21">P107*P116*$T$17</f>
        <v>3014.500044126582</v>
      </c>
      <c r="Q121" s="70">
        <f t="shared" si="21"/>
        <v>3261.7919995433294</v>
      </c>
      <c r="R121" s="70">
        <f t="shared" si="21"/>
        <v>3486.744632370845</v>
      </c>
      <c r="S121" s="70">
        <f t="shared" si="21"/>
        <v>3737.8747420237796</v>
      </c>
      <c r="T121" s="70">
        <f t="shared" si="21"/>
        <v>4036.9263900185019</v>
      </c>
      <c r="U121" s="70">
        <f t="shared" si="21"/>
        <v>5217.1123118667856</v>
      </c>
      <c r="V121" s="70">
        <f t="shared" si="21"/>
        <v>5551.9927559204061</v>
      </c>
      <c r="W121" s="70">
        <f t="shared" si="21"/>
        <v>5909.8303050235763</v>
      </c>
      <c r="X121" s="70">
        <f t="shared" si="21"/>
        <v>6292.2512075008117</v>
      </c>
      <c r="Y121" s="70">
        <f t="shared" si="21"/>
        <v>6700.9992363533493</v>
      </c>
      <c r="Z121" s="70">
        <f t="shared" si="21"/>
        <v>7136.2997574032197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57803.038270617857</v>
      </c>
      <c r="P122" s="88">
        <f t="shared" ref="P122:Z122" si="22">P105*P114*$T$44</f>
        <v>59600.14088240487</v>
      </c>
      <c r="Q122" s="88">
        <f t="shared" si="22"/>
        <v>65501.0736351901</v>
      </c>
      <c r="R122" s="88">
        <f t="shared" si="22"/>
        <v>70347.447516837594</v>
      </c>
      <c r="S122" s="88">
        <f t="shared" si="22"/>
        <v>75928.365183209404</v>
      </c>
      <c r="T122" s="88">
        <f t="shared" si="22"/>
        <v>83035.852462731564</v>
      </c>
      <c r="U122" s="88">
        <f t="shared" si="22"/>
        <v>90301.260018505345</v>
      </c>
      <c r="V122" s="88">
        <f t="shared" si="22"/>
        <v>96097.594129391655</v>
      </c>
      <c r="W122" s="88">
        <f t="shared" si="22"/>
        <v>102291.28512823228</v>
      </c>
      <c r="X122" s="88">
        <f t="shared" si="22"/>
        <v>108910.48120583252</v>
      </c>
      <c r="Y122" s="88">
        <f t="shared" si="22"/>
        <v>115985.36474849809</v>
      </c>
      <c r="Z122" s="88">
        <f t="shared" si="22"/>
        <v>123519.83653820929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310.76902296031102</v>
      </c>
      <c r="P123" s="70">
        <f t="shared" ref="P123:Z123" si="23">P105*P115*$T$34</f>
        <v>320.43086495916589</v>
      </c>
      <c r="Q123" s="70">
        <f t="shared" si="23"/>
        <v>352.15630986661336</v>
      </c>
      <c r="R123" s="70">
        <f t="shared" si="23"/>
        <v>378.21208342385808</v>
      </c>
      <c r="S123" s="70">
        <f t="shared" si="23"/>
        <v>408.21701711402909</v>
      </c>
      <c r="T123" s="70">
        <f t="shared" si="23"/>
        <v>446.42931431576108</v>
      </c>
      <c r="U123" s="70">
        <f t="shared" si="23"/>
        <v>485.49064526078126</v>
      </c>
      <c r="V123" s="70">
        <f t="shared" si="23"/>
        <v>516.65373187844966</v>
      </c>
      <c r="W123" s="70">
        <f t="shared" si="23"/>
        <v>549.95314585071128</v>
      </c>
      <c r="X123" s="70">
        <f t="shared" si="23"/>
        <v>585.54022153673384</v>
      </c>
      <c r="Y123" s="70">
        <f t="shared" si="23"/>
        <v>623.57722983063491</v>
      </c>
      <c r="Z123" s="70">
        <f t="shared" si="23"/>
        <v>664.08514267854468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67739.698159309002</v>
      </c>
      <c r="P124" s="88">
        <f t="shared" si="24"/>
        <v>71971.850587904672</v>
      </c>
      <c r="Q124" s="88">
        <f t="shared" si="24"/>
        <v>76490.124460891486</v>
      </c>
      <c r="R124" s="88">
        <f t="shared" si="24"/>
        <v>81314.613237885162</v>
      </c>
      <c r="S124" s="88">
        <f t="shared" si="24"/>
        <v>86466.854369941924</v>
      </c>
      <c r="T124" s="88">
        <f t="shared" si="24"/>
        <v>91969.934598136635</v>
      </c>
      <c r="U124" s="88">
        <f t="shared" si="24"/>
        <v>97848.603004327859</v>
      </c>
      <c r="V124" s="88">
        <f t="shared" si="24"/>
        <v>104129.3923884442</v>
      </c>
      <c r="W124" s="88">
        <f t="shared" si="24"/>
        <v>110840.74958936078</v>
      </c>
      <c r="X124" s="88">
        <f t="shared" si="24"/>
        <v>118013.17541234687</v>
      </c>
      <c r="Y124" s="88">
        <f t="shared" si="24"/>
        <v>125679.37487541385</v>
      </c>
      <c r="Z124" s="88">
        <f t="shared" si="24"/>
        <v>133843.57478633069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3822.7911296063803</v>
      </c>
      <c r="P125" s="70">
        <f t="shared" si="25"/>
        <v>4061.6264832143784</v>
      </c>
      <c r="Q125" s="70">
        <f t="shared" si="25"/>
        <v>4316.6086834917587</v>
      </c>
      <c r="R125" s="70">
        <f t="shared" si="25"/>
        <v>4588.8716755441164</v>
      </c>
      <c r="S125" s="70">
        <f t="shared" si="25"/>
        <v>4879.6308940292529</v>
      </c>
      <c r="T125" s="70">
        <f t="shared" si="25"/>
        <v>5190.1892055289636</v>
      </c>
      <c r="U125" s="70">
        <f t="shared" si="25"/>
        <v>5521.9432884041707</v>
      </c>
      <c r="V125" s="70">
        <f t="shared" si="25"/>
        <v>5876.3904825451809</v>
      </c>
      <c r="W125" s="70">
        <f t="shared" si="25"/>
        <v>6255.1361438403674</v>
      </c>
      <c r="X125" s="70">
        <f t="shared" si="25"/>
        <v>6659.9015407777442</v>
      </c>
      <c r="Y125" s="70">
        <f t="shared" si="25"/>
        <v>7092.5323333786173</v>
      </c>
      <c r="Z125" s="70">
        <f t="shared" si="25"/>
        <v>7553.2670553785129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4792.5670143138295</v>
      </c>
      <c r="P126" s="70">
        <f t="shared" si="26"/>
        <v>5091.9907596209741</v>
      </c>
      <c r="Q126" s="70">
        <f t="shared" si="26"/>
        <v>5411.6575268744509</v>
      </c>
      <c r="R126" s="70">
        <f t="shared" si="26"/>
        <v>5752.9889234090215</v>
      </c>
      <c r="S126" s="70">
        <f t="shared" si="26"/>
        <v>6117.5087185993534</v>
      </c>
      <c r="T126" s="70">
        <f t="shared" si="26"/>
        <v>6506.850293708575</v>
      </c>
      <c r="U126" s="70">
        <f t="shared" si="26"/>
        <v>6922.7646402021455</v>
      </c>
      <c r="V126" s="70">
        <f t="shared" si="26"/>
        <v>7367.128947161078</v>
      </c>
      <c r="W126" s="70">
        <f t="shared" si="26"/>
        <v>7841.9558214519302</v>
      </c>
      <c r="X126" s="70">
        <f t="shared" si="26"/>
        <v>8349.4031875593901</v>
      </c>
      <c r="Y126" s="70">
        <f t="shared" si="26"/>
        <v>8891.7849174785133</v>
      </c>
      <c r="Z126" s="70">
        <f t="shared" si="26"/>
        <v>9469.4000568212468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36817.883893805316</v>
      </c>
      <c r="P127" s="70">
        <f>Inputs!$J$27*$I$11</f>
        <v>36817.883893805316</v>
      </c>
      <c r="Q127" s="70">
        <f>Inputs!$J$27*$I$11</f>
        <v>36817.883893805316</v>
      </c>
      <c r="R127" s="70">
        <f>Inputs!$J$27*$I$11</f>
        <v>36817.883893805316</v>
      </c>
      <c r="S127" s="70">
        <f>Inputs!$J$27*$I$11</f>
        <v>36817.883893805316</v>
      </c>
      <c r="T127" s="70">
        <f>Inputs!$J$27*$I$11</f>
        <v>36817.883893805316</v>
      </c>
      <c r="U127" s="70">
        <f>Inputs!$J$27*$I$11</f>
        <v>36817.883893805316</v>
      </c>
      <c r="V127" s="70">
        <f>Inputs!$J$27*$I$11</f>
        <v>36817.883893805316</v>
      </c>
      <c r="W127" s="70">
        <f>Inputs!$J$27*$I$11</f>
        <v>36817.883893805316</v>
      </c>
      <c r="X127" s="70">
        <f>Inputs!$J$27*$I$11</f>
        <v>36817.883893805316</v>
      </c>
      <c r="Y127" s="70">
        <f>Inputs!$J$27*$I$11</f>
        <v>36817.883893805316</v>
      </c>
      <c r="Z127" s="70">
        <f>Inputs!$J$27*$I$11</f>
        <v>36817.883893805316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407195.22624499147</v>
      </c>
      <c r="P128" s="98">
        <f t="shared" ref="P128:Z128" si="27">SUM(P119:P127)</f>
        <v>393480.74287886167</v>
      </c>
      <c r="Q128" s="98">
        <f t="shared" si="27"/>
        <v>459736.11997728463</v>
      </c>
      <c r="R128" s="98">
        <f t="shared" si="27"/>
        <v>500935.515277881</v>
      </c>
      <c r="S128" s="98">
        <f t="shared" si="27"/>
        <v>553167.14774606074</v>
      </c>
      <c r="T128" s="98">
        <f t="shared" si="27"/>
        <v>632246.25448536954</v>
      </c>
      <c r="U128" s="98">
        <f t="shared" si="27"/>
        <v>710945.95632830297</v>
      </c>
      <c r="V128" s="98">
        <f t="shared" si="27"/>
        <v>754217.46262353472</v>
      </c>
      <c r="W128" s="98">
        <f t="shared" si="27"/>
        <v>800455.36642961344</v>
      </c>
      <c r="X128" s="98">
        <f t="shared" si="27"/>
        <v>849869.80308248184</v>
      </c>
      <c r="Y128" s="98">
        <f t="shared" si="27"/>
        <v>902686.09384451888</v>
      </c>
      <c r="Z128" s="98">
        <f t="shared" si="27"/>
        <v>958933.35931312072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C'!$I$10</f>
        <v>0</v>
      </c>
      <c r="P135" s="70">
        <f>Inputs!P22*'Scenario C'!$I$10</f>
        <v>0</v>
      </c>
      <c r="Q135" s="70">
        <f>Inputs!Q22*'Scenario C'!$I$10</f>
        <v>0</v>
      </c>
      <c r="R135" s="70">
        <f>Inputs!R22*'Scenario C'!$I$10</f>
        <v>56993.62831858408</v>
      </c>
      <c r="S135" s="70">
        <f>Inputs!S22*'Scenario C'!$I$10</f>
        <v>854904.42477876111</v>
      </c>
      <c r="T135" s="70">
        <f>Inputs!T22*'Scenario C'!$I$10</f>
        <v>3360344.325663717</v>
      </c>
      <c r="U135" s="70">
        <f>Inputs!U22*'Scenario C'!$I$10</f>
        <v>0</v>
      </c>
      <c r="V135" s="70">
        <f>Inputs!V22*'Scenario C'!$I$10</f>
        <v>0</v>
      </c>
      <c r="W135" s="70">
        <f>Inputs!W22*'Scenario C'!$I$10</f>
        <v>0</v>
      </c>
      <c r="X135" s="70">
        <f>Inputs!X22*'Scenario C'!$I$10</f>
        <v>0</v>
      </c>
      <c r="Y135" s="70">
        <f>Inputs!Y22*'Scenario C'!$I$10</f>
        <v>0</v>
      </c>
      <c r="Z135" s="70">
        <f>Inputs!Z22*'Scenario C'!$I$10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0</v>
      </c>
      <c r="R136" s="70">
        <f t="shared" si="28"/>
        <v>1</v>
      </c>
      <c r="S136" s="70">
        <f t="shared" si="28"/>
        <v>1</v>
      </c>
      <c r="T136" s="70">
        <f t="shared" si="28"/>
        <v>1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1.0557562500000002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C'!O135:Z135,'Scenario C'!O137:Z137),0,0)</f>
        <v>159236.32012511557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16414.164955752214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175650.48508086777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407195.22624499147</v>
      </c>
      <c r="P147" s="70">
        <f t="shared" ref="P147:Z147" si="30">P128</f>
        <v>393480.74287886167</v>
      </c>
      <c r="Q147" s="70">
        <f t="shared" si="30"/>
        <v>459736.11997728463</v>
      </c>
      <c r="R147" s="70">
        <f t="shared" si="30"/>
        <v>500935.515277881</v>
      </c>
      <c r="S147" s="70">
        <f t="shared" si="30"/>
        <v>553167.14774606074</v>
      </c>
      <c r="T147" s="70">
        <f t="shared" si="30"/>
        <v>632246.25448536954</v>
      </c>
      <c r="U147" s="70">
        <f t="shared" si="30"/>
        <v>710945.95632830297</v>
      </c>
      <c r="V147" s="70">
        <f t="shared" si="30"/>
        <v>754217.46262353472</v>
      </c>
      <c r="W147" s="70">
        <f t="shared" si="30"/>
        <v>800455.36642961344</v>
      </c>
      <c r="X147" s="70">
        <f t="shared" si="30"/>
        <v>849869.80308248184</v>
      </c>
      <c r="Y147" s="70">
        <f t="shared" si="30"/>
        <v>902686.09384451888</v>
      </c>
      <c r="Z147" s="70">
        <f t="shared" si="30"/>
        <v>958933.35931312072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175650.48508086777</v>
      </c>
      <c r="P148" s="70">
        <f t="shared" ref="P148:Z148" si="31">$J$140</f>
        <v>175650.48508086777</v>
      </c>
      <c r="Q148" s="70">
        <f t="shared" si="31"/>
        <v>175650.48508086777</v>
      </c>
      <c r="R148" s="70">
        <f t="shared" si="31"/>
        <v>175650.48508086777</v>
      </c>
      <c r="S148" s="70">
        <f t="shared" si="31"/>
        <v>175650.48508086777</v>
      </c>
      <c r="T148" s="70">
        <f t="shared" si="31"/>
        <v>175650.48508086777</v>
      </c>
      <c r="U148" s="70">
        <f t="shared" si="31"/>
        <v>175650.48508086777</v>
      </c>
      <c r="V148" s="70">
        <f t="shared" si="31"/>
        <v>175650.48508086777</v>
      </c>
      <c r="W148" s="70">
        <f t="shared" si="31"/>
        <v>175650.48508086777</v>
      </c>
      <c r="X148" s="70">
        <f t="shared" si="31"/>
        <v>175650.48508086777</v>
      </c>
      <c r="Y148" s="70">
        <f t="shared" si="31"/>
        <v>175650.48508086777</v>
      </c>
      <c r="Z148" s="70">
        <f t="shared" si="31"/>
        <v>175650.48508086777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2">(P147&gt;=P148)</f>
        <v>1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10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Robinvale Transformer No.2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D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D: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33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D'!$I$8,Inputs!$D$52:$D$57,0),MATCH('Scenario D'!$D9,Inputs!$D$52:$O$52,0))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D'!$I$8,Inputs!$D$52:$D$57,0),MATCH('Scenario D'!$D10,Inputs!$D$52:$O$52,0))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D'!$I$8,Inputs!$D$52:$D$57,0),MATCH('Scenario D'!$D11,Inputs!$D$52:$O$52,0))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D'!$I$8,Inputs!$D$52:$D$57,0),MATCH('Scenario D'!$D12,Inputs!$D$52:$O$52,0))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D'!$I$8,Inputs!$D$52:$D$57,0),MATCH('Scenario D'!$D13,Inputs!$D$52:$O$52,0))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D'!$I$8,Inputs!$D$52:$D$57,0),MATCH('Scenario D'!$D14,Inputs!$D$52:$O$52,0))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26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D'!J17,Inputs!$D$64:$D$66,0))</f>
        <v>3</v>
      </c>
      <c r="J17" s="100" t="s">
        <v>41</v>
      </c>
      <c r="K17" s="101" t="str">
        <f>'Base Case'!K17</f>
        <v>Unserved energy</v>
      </c>
      <c r="L17" s="102"/>
      <c r="M17" s="102"/>
      <c r="N17" s="103"/>
      <c r="O17" s="63">
        <f>O107</f>
        <v>20445378.252352301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4089075.6504704603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D'!J18,Inputs!$D$64:$D$66,0))</f>
        <v>3</v>
      </c>
      <c r="J18" s="104" t="s">
        <v>41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D'!J19,Inputs!$D$64:$D$66,0))</f>
        <v>3</v>
      </c>
      <c r="J19" s="104" t="s">
        <v>41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14935090.092881095</v>
      </c>
      <c r="R19" s="71">
        <v>0</v>
      </c>
      <c r="S19" s="72">
        <v>0</v>
      </c>
      <c r="T19" s="73">
        <f>'Base Case'!$T19</f>
        <v>0.2</v>
      </c>
      <c r="U19" s="74">
        <f t="shared" si="0"/>
        <v>2987018.0185762192</v>
      </c>
      <c r="V19" s="75">
        <f t="shared" si="1"/>
        <v>2987018.0185762192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D'!J20,Inputs!$D$64:$D$66,0))</f>
        <v>3</v>
      </c>
      <c r="J20" s="104" t="s">
        <v>41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10486413.111504424</v>
      </c>
      <c r="S20" s="72">
        <v>0</v>
      </c>
      <c r="T20" s="73">
        <f>'Base Case'!$T20</f>
        <v>0.2</v>
      </c>
      <c r="U20" s="74">
        <f t="shared" si="0"/>
        <v>2097282.6223008852</v>
      </c>
      <c r="V20" s="75">
        <f t="shared" si="1"/>
        <v>2097282.6223008852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D'!J21,Inputs!$D$64:$D$66,0))</f>
        <v>3</v>
      </c>
      <c r="J21" s="104" t="s">
        <v>41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2829163.7097345134</v>
      </c>
      <c r="T21" s="73">
        <f>'Base Case'!$T21</f>
        <v>0.2</v>
      </c>
      <c r="U21" s="74">
        <f t="shared" si="0"/>
        <v>565832.74194690271</v>
      </c>
      <c r="V21" s="75">
        <f t="shared" si="1"/>
        <v>565832.74194690271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D'!J22,Inputs!$D$64:$D$66,0))</f>
        <v>3</v>
      </c>
      <c r="J22" s="104" t="s">
        <v>41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0.2</v>
      </c>
      <c r="U22" s="74">
        <f t="shared" si="0"/>
        <v>9326.2300884955766</v>
      </c>
      <c r="V22" s="75">
        <f t="shared" si="1"/>
        <v>9326.2300884955766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D'!J23,Inputs!$D$64:$D$66,0))</f>
        <v>3</v>
      </c>
      <c r="J23" s="104" t="s">
        <v>41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D'!J24,Inputs!$D$64:$D$66,0))</f>
        <v>3</v>
      </c>
      <c r="J24" s="104" t="s">
        <v>41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D'!J25,Inputs!$D$64:$D$66,0))</f>
        <v>3</v>
      </c>
      <c r="J25" s="104" t="s">
        <v>41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D'!J26,Inputs!$D$64:$D$66,0))</f>
        <v>3</v>
      </c>
      <c r="J26" s="108" t="s">
        <v>41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D'!J27,Inputs!$D$64:$D$66,0))</f>
        <v>2</v>
      </c>
      <c r="J27" s="100" t="s">
        <v>40</v>
      </c>
      <c r="K27" s="101" t="str">
        <f>'Base Case'!K27</f>
        <v>Unserved energy</v>
      </c>
      <c r="L27" s="102"/>
      <c r="M27" s="102"/>
      <c r="N27" s="103"/>
      <c r="O27" s="63">
        <f>O104</f>
        <v>1843035.5183320248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1400706.9939323389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D'!J28,Inputs!$D$64:$D$66,0))</f>
        <v>2</v>
      </c>
      <c r="J28" s="104" t="s">
        <v>40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D'!J29,Inputs!$D$64:$D$66,0))</f>
        <v>2</v>
      </c>
      <c r="J29" s="104" t="s">
        <v>40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1005213.8055110404</v>
      </c>
      <c r="R29" s="71">
        <v>0</v>
      </c>
      <c r="S29" s="72">
        <v>0</v>
      </c>
      <c r="T29" s="73">
        <f>'Base Case'!$T29</f>
        <v>0.8</v>
      </c>
      <c r="U29" s="74">
        <f t="shared" si="0"/>
        <v>804171.04440883233</v>
      </c>
      <c r="V29" s="75">
        <f t="shared" si="1"/>
        <v>804171.04440883233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D'!J30,Inputs!$D$64:$D$66,0))</f>
        <v>2</v>
      </c>
      <c r="J30" s="104" t="s">
        <v>40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3495471.0371681419</v>
      </c>
      <c r="S30" s="72">
        <v>0</v>
      </c>
      <c r="T30" s="73">
        <f>'Base Case'!$T30</f>
        <v>0.8</v>
      </c>
      <c r="U30" s="74">
        <f t="shared" si="0"/>
        <v>2796376.8297345135</v>
      </c>
      <c r="V30" s="75">
        <f t="shared" si="1"/>
        <v>2796376.8297345135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D'!J31,Inputs!$D$64:$D$66,0))</f>
        <v>2</v>
      </c>
      <c r="J31" s="104" t="s">
        <v>40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0.8</v>
      </c>
      <c r="U31" s="74">
        <f t="shared" si="0"/>
        <v>762529.15200000023</v>
      </c>
      <c r="V31" s="75">
        <f t="shared" si="1"/>
        <v>762529.15200000023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D'!J32,Inputs!$D$64:$D$66,0))</f>
        <v>2</v>
      </c>
      <c r="J32" s="104" t="s">
        <v>40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0.8</v>
      </c>
      <c r="U32" s="74">
        <f t="shared" si="0"/>
        <v>37304.920353982307</v>
      </c>
      <c r="V32" s="75">
        <f t="shared" si="1"/>
        <v>37304.920353982307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D'!J33,Inputs!$D$64:$D$66,0))</f>
        <v>2</v>
      </c>
      <c r="J33" s="104" t="s">
        <v>40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D'!J34,Inputs!$D$64:$D$66,0))</f>
        <v>2</v>
      </c>
      <c r="J34" s="104" t="s">
        <v>40</v>
      </c>
      <c r="K34" s="105" t="str">
        <f>'Base Case'!K34</f>
        <v>Coincident outage risk</v>
      </c>
      <c r="L34" s="106"/>
      <c r="M34" s="106"/>
      <c r="N34" s="107"/>
      <c r="O34" s="74">
        <f>O105</f>
        <v>11018868.994654503</v>
      </c>
      <c r="P34" s="71">
        <v>0</v>
      </c>
      <c r="Q34" s="70">
        <f>Inputs!$L$161*$I$11</f>
        <v>3882852.6757823126</v>
      </c>
      <c r="R34" s="71">
        <v>0</v>
      </c>
      <c r="S34" s="72">
        <v>0</v>
      </c>
      <c r="T34" s="73">
        <f>'Base Case'!$T34</f>
        <v>0.04</v>
      </c>
      <c r="U34" s="74">
        <f t="shared" si="0"/>
        <v>596068.86681747262</v>
      </c>
      <c r="V34" s="75">
        <f t="shared" si="1"/>
        <v>155314.10703129251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D'!J35,Inputs!$D$64:$D$66,0))</f>
        <v>2</v>
      </c>
      <c r="J35" s="104" t="s">
        <v>40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D'!J36,Inputs!$D$64:$D$66,0))</f>
        <v>2</v>
      </c>
      <c r="J36" s="108" t="s">
        <v>40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D'!J37,Inputs!$D$64:$D$66,0))</f>
        <v>1</v>
      </c>
      <c r="J37" s="100" t="s">
        <v>39</v>
      </c>
      <c r="K37" s="101" t="str">
        <f>'Base Case'!K37</f>
        <v>Unserved energy</v>
      </c>
      <c r="L37" s="102"/>
      <c r="M37" s="102"/>
      <c r="N37" s="103"/>
      <c r="O37" s="63">
        <f>O103</f>
        <v>1843035.5183320248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1769314.0975987439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D'!J38,Inputs!$D$64:$D$66,0))</f>
        <v>1</v>
      </c>
      <c r="J38" s="104" t="s">
        <v>39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D'!J39,Inputs!$D$64:$D$66,0))</f>
        <v>1</v>
      </c>
      <c r="J39" s="104" t="s">
        <v>39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241451.14228801019</v>
      </c>
      <c r="R39" s="71">
        <v>0</v>
      </c>
      <c r="S39" s="72">
        <v>0</v>
      </c>
      <c r="T39" s="73">
        <f>'Base Case'!$T39</f>
        <v>1</v>
      </c>
      <c r="U39" s="74">
        <f t="shared" si="0"/>
        <v>241451.14228801019</v>
      </c>
      <c r="V39" s="75">
        <f t="shared" si="1"/>
        <v>241451.14228801019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D'!J40,Inputs!$D$64:$D$66,0))</f>
        <v>1</v>
      </c>
      <c r="J40" s="104" t="s">
        <v>39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30123.723185840714</v>
      </c>
      <c r="S40" s="72">
        <v>0</v>
      </c>
      <c r="T40" s="73">
        <f>'Base Case'!$T40</f>
        <v>1</v>
      </c>
      <c r="U40" s="74">
        <f t="shared" si="0"/>
        <v>30123.723185840714</v>
      </c>
      <c r="V40" s="75">
        <f t="shared" si="1"/>
        <v>30123.723185840714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D'!J41,Inputs!$D$64:$D$66,0))</f>
        <v>1</v>
      </c>
      <c r="J41" s="104" t="s">
        <v>39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D'!J42,Inputs!$D$64:$D$66,0))</f>
        <v>1</v>
      </c>
      <c r="J42" s="104" t="s">
        <v>39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D'!J43,Inputs!$D$64:$D$66,0))</f>
        <v>1</v>
      </c>
      <c r="J43" s="104" t="s">
        <v>39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D'!J44,Inputs!$D$64:$D$66,0))</f>
        <v>1</v>
      </c>
      <c r="J44" s="104" t="s">
        <v>39</v>
      </c>
      <c r="K44" s="105" t="str">
        <f>'Base Case'!K44</f>
        <v>Coincident outage risk</v>
      </c>
      <c r="L44" s="106"/>
      <c r="M44" s="106"/>
      <c r="N44" s="107"/>
      <c r="O44" s="74">
        <f>O105</f>
        <v>11018868.994654503</v>
      </c>
      <c r="P44" s="71">
        <v>0</v>
      </c>
      <c r="Q44" s="70">
        <f>SUM(Inputs!$J$161,Inputs!$L$161*(Inputs!$J$128/Inputs!$L$128))*$I$11</f>
        <v>1011858.4192289452</v>
      </c>
      <c r="R44" s="71">
        <v>0</v>
      </c>
      <c r="S44" s="72">
        <v>0</v>
      </c>
      <c r="T44" s="73">
        <f>'Base Case'!$T44</f>
        <v>0.04</v>
      </c>
      <c r="U44" s="74">
        <f t="shared" si="0"/>
        <v>481229.09655533789</v>
      </c>
      <c r="V44" s="75">
        <f t="shared" si="1"/>
        <v>40474.33676915781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D'!J45,Inputs!$D$64:$D$66,0))</f>
        <v>1</v>
      </c>
      <c r="J45" s="104" t="s">
        <v>39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D'!J46,Inputs!$D$64:$D$66,0))</f>
        <v>1</v>
      </c>
      <c r="J46" s="108" t="s">
        <v>39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D'!J49,Inputs!$D$64:$D$66,0))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12861904.512986528</v>
      </c>
      <c r="P49" s="70">
        <f t="shared" ref="P49:V49" si="2">SUMIF($I$17:$I$46,$I49,P$17:P$46)</f>
        <v>8261.6387603969597</v>
      </c>
      <c r="Q49" s="70">
        <f t="shared" si="2"/>
        <v>1299940.7119594333</v>
      </c>
      <c r="R49" s="70">
        <f t="shared" si="2"/>
        <v>30123.723185840714</v>
      </c>
      <c r="S49" s="70">
        <f t="shared" si="2"/>
        <v>69874.188318584071</v>
      </c>
      <c r="T49" s="56">
        <f>U49/SUM(O49:S49)</f>
        <v>0.18548462529493195</v>
      </c>
      <c r="U49" s="70">
        <f t="shared" si="2"/>
        <v>2646885.0371493911</v>
      </c>
      <c r="V49" s="70">
        <f t="shared" si="2"/>
        <v>436816.17976446758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D'!J50,Inputs!$D$64:$D$66,0))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12861904.512986528</v>
      </c>
      <c r="P50" s="70">
        <f t="shared" si="3"/>
        <v>28915.735661389357</v>
      </c>
      <c r="Q50" s="70">
        <f t="shared" si="3"/>
        <v>4934697.6317358306</v>
      </c>
      <c r="R50" s="70">
        <f t="shared" si="3"/>
        <v>3495471.0371681419</v>
      </c>
      <c r="S50" s="70">
        <f t="shared" si="3"/>
        <v>953161.44000000018</v>
      </c>
      <c r="T50" s="56">
        <f t="shared" ref="T50:T51" si="4">U50/SUM(O50:S50)</f>
        <v>0.28823951947507159</v>
      </c>
      <c r="U50" s="70">
        <f t="shared" si="3"/>
        <v>6420290.3957762513</v>
      </c>
      <c r="V50" s="70">
        <f t="shared" si="3"/>
        <v>4578828.6420577327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D'!J51,Inputs!$D$64:$D$66,0))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20445378.252352301</v>
      </c>
      <c r="P51" s="70">
        <f t="shared" si="3"/>
        <v>28915.735661389357</v>
      </c>
      <c r="Q51" s="70">
        <f t="shared" si="3"/>
        <v>14981721.243323572</v>
      </c>
      <c r="R51" s="70">
        <f t="shared" si="3"/>
        <v>10486413.111504424</v>
      </c>
      <c r="S51" s="70">
        <f t="shared" si="3"/>
        <v>2829163.7097345134</v>
      </c>
      <c r="T51" s="56">
        <f t="shared" si="4"/>
        <v>0.19999999999999998</v>
      </c>
      <c r="U51" s="70">
        <f t="shared" si="3"/>
        <v>9754318.4105152395</v>
      </c>
      <c r="V51" s="70">
        <f t="shared" si="3"/>
        <v>5665242.7600447815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18821493.843440883</v>
      </c>
      <c r="V52" s="88">
        <f>SUM(V49:V51)</f>
        <v>10680887.581866981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D: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31.5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20.399999999999999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10.6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ht="13.15" x14ac:dyDescent="0.4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ht="13.15" x14ac:dyDescent="0.4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24.994199999999999</v>
      </c>
      <c r="P69" s="70">
        <f>Inputs!P185*$I$12</f>
        <v>24.839850000000002</v>
      </c>
      <c r="Q69" s="70">
        <f>Inputs!Q185*$I$12</f>
        <v>25.196850000000001</v>
      </c>
      <c r="R69" s="70">
        <f>Inputs!R185*$I$12</f>
        <v>25.17165</v>
      </c>
      <c r="S69" s="70">
        <f>Inputs!S185*$I$12</f>
        <v>25.124400000000001</v>
      </c>
      <c r="T69" s="70">
        <f>Inputs!T185*$I$12</f>
        <v>26.113500000000002</v>
      </c>
      <c r="U69" s="70">
        <f>Inputs!U185*$I$12</f>
        <v>26.278350000000003</v>
      </c>
      <c r="V69" s="70">
        <f>Inputs!V185*$I$12</f>
        <v>26.278350000000003</v>
      </c>
      <c r="W69" s="70">
        <f>Inputs!W185*$I$12</f>
        <v>26.278350000000003</v>
      </c>
      <c r="X69" s="70">
        <f>Inputs!X185*$I$12</f>
        <v>26.278350000000003</v>
      </c>
      <c r="Y69" s="70">
        <f>Inputs!Y185*$I$12</f>
        <v>26.278350000000003</v>
      </c>
      <c r="Z69" s="70">
        <f>Inputs!Z185*$I$12</f>
        <v>26.278350000000003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ht="13.15" x14ac:dyDescent="0.4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22.131900000000002</v>
      </c>
      <c r="P70" s="70">
        <f>Inputs!P186*$I$12</f>
        <v>21.675150000000002</v>
      </c>
      <c r="Q70" s="70">
        <f>Inputs!Q186*$I$12</f>
        <v>22.107749999999999</v>
      </c>
      <c r="R70" s="70">
        <f>Inputs!R186*$I$12</f>
        <v>22.30095</v>
      </c>
      <c r="S70" s="70">
        <f>Inputs!S186*$I$12</f>
        <v>22.59075</v>
      </c>
      <c r="T70" s="70">
        <f>Inputs!T186*$I$12</f>
        <v>22.680000000000003</v>
      </c>
      <c r="U70" s="70">
        <f>Inputs!U186*$I$12</f>
        <v>23.024400000000004</v>
      </c>
      <c r="V70" s="70">
        <f>Inputs!V186*$I$12</f>
        <v>23.024400000000004</v>
      </c>
      <c r="W70" s="70">
        <f>Inputs!W186*$I$12</f>
        <v>23.024400000000004</v>
      </c>
      <c r="X70" s="70">
        <f>Inputs!X186*$I$12</f>
        <v>23.024400000000004</v>
      </c>
      <c r="Y70" s="70">
        <f>Inputs!Y186*$I$12</f>
        <v>23.024400000000004</v>
      </c>
      <c r="Z70" s="70">
        <f>Inputs!Z186*$I$12</f>
        <v>23.024400000000004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ht="13.15" x14ac:dyDescent="0.4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22.990589999999997</v>
      </c>
      <c r="P71" s="70">
        <f>Inputs!P187*$I$12</f>
        <v>22.624560000000002</v>
      </c>
      <c r="Q71" s="70">
        <f>Inputs!Q187*$I$12</f>
        <v>23.034480000000002</v>
      </c>
      <c r="R71" s="70">
        <f>Inputs!R187*$I$12</f>
        <v>23.16216</v>
      </c>
      <c r="S71" s="70">
        <f>Inputs!S187*$I$12</f>
        <v>23.350845000000003</v>
      </c>
      <c r="T71" s="70">
        <f>Inputs!T187*$I$12</f>
        <v>23.710049999999999</v>
      </c>
      <c r="U71" s="70">
        <f>Inputs!U187*$I$12</f>
        <v>24.000585000000001</v>
      </c>
      <c r="V71" s="70">
        <f>Inputs!V187*$I$12</f>
        <v>24.000585000000001</v>
      </c>
      <c r="W71" s="70">
        <f>Inputs!W187*$I$12</f>
        <v>24.000585000000001</v>
      </c>
      <c r="X71" s="70">
        <f>Inputs!X187*$I$12</f>
        <v>24.000585000000001</v>
      </c>
      <c r="Y71" s="70">
        <f>Inputs!Y187*$I$12</f>
        <v>24.000585000000001</v>
      </c>
      <c r="Z71" s="70">
        <f>Inputs!Z187*$I$12</f>
        <v>24.000585000000001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ht="13.15" x14ac:dyDescent="0.4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ht="13.15" x14ac:dyDescent="0.4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ht="13.15" x14ac:dyDescent="0.4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ht="13.15" x14ac:dyDescent="0.4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ht="13.15" x14ac:dyDescent="0.4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ht="13.15" x14ac:dyDescent="0.4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2.5905899999999988</v>
      </c>
      <c r="P77" s="70">
        <f t="shared" si="5"/>
        <v>2.2245600000000039</v>
      </c>
      <c r="Q77" s="70">
        <f t="shared" si="5"/>
        <v>2.6344800000000035</v>
      </c>
      <c r="R77" s="70">
        <f t="shared" si="5"/>
        <v>2.7621600000000015</v>
      </c>
      <c r="S77" s="70">
        <f t="shared" si="5"/>
        <v>2.9508450000000046</v>
      </c>
      <c r="T77" s="70">
        <f t="shared" si="5"/>
        <v>3.3100500000000004</v>
      </c>
      <c r="U77" s="70">
        <f t="shared" si="5"/>
        <v>3.6005850000000024</v>
      </c>
      <c r="V77" s="70">
        <f t="shared" si="5"/>
        <v>3.6005850000000024</v>
      </c>
      <c r="W77" s="70">
        <f t="shared" si="5"/>
        <v>3.6005850000000024</v>
      </c>
      <c r="X77" s="70">
        <f t="shared" si="5"/>
        <v>3.6005850000000024</v>
      </c>
      <c r="Y77" s="70">
        <f t="shared" si="5"/>
        <v>3.6005850000000024</v>
      </c>
      <c r="Z77" s="70">
        <f t="shared" si="5"/>
        <v>3.6005850000000024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ht="13.15" x14ac:dyDescent="0.4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12.390589999999998</v>
      </c>
      <c r="P78" s="70">
        <f t="shared" si="5"/>
        <v>12.024560000000003</v>
      </c>
      <c r="Q78" s="70">
        <f t="shared" si="5"/>
        <v>12.434480000000002</v>
      </c>
      <c r="R78" s="70">
        <f t="shared" si="5"/>
        <v>12.56216</v>
      </c>
      <c r="S78" s="70">
        <f t="shared" si="5"/>
        <v>12.750845000000004</v>
      </c>
      <c r="T78" s="70">
        <f t="shared" si="5"/>
        <v>13.110049999999999</v>
      </c>
      <c r="U78" s="70">
        <f t="shared" si="5"/>
        <v>13.400585000000001</v>
      </c>
      <c r="V78" s="70">
        <f t="shared" si="5"/>
        <v>13.400585000000001</v>
      </c>
      <c r="W78" s="70">
        <f t="shared" si="5"/>
        <v>13.400585000000001</v>
      </c>
      <c r="X78" s="70">
        <f t="shared" si="5"/>
        <v>13.400585000000001</v>
      </c>
      <c r="Y78" s="70">
        <f t="shared" si="5"/>
        <v>13.400585000000001</v>
      </c>
      <c r="Z78" s="70">
        <f t="shared" si="5"/>
        <v>13.400585000000001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ht="13.15" x14ac:dyDescent="0.4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22.990589999999997</v>
      </c>
      <c r="P79" s="70">
        <f t="shared" si="5"/>
        <v>22.624560000000002</v>
      </c>
      <c r="Q79" s="70">
        <f t="shared" si="5"/>
        <v>23.034480000000002</v>
      </c>
      <c r="R79" s="70">
        <f t="shared" si="5"/>
        <v>23.16216</v>
      </c>
      <c r="S79" s="70">
        <f t="shared" si="5"/>
        <v>23.350845000000003</v>
      </c>
      <c r="T79" s="70">
        <f t="shared" si="5"/>
        <v>23.710049999999999</v>
      </c>
      <c r="U79" s="70">
        <f t="shared" si="5"/>
        <v>24.000585000000001</v>
      </c>
      <c r="V79" s="70">
        <f t="shared" si="5"/>
        <v>24.000585000000001</v>
      </c>
      <c r="W79" s="70">
        <f t="shared" si="5"/>
        <v>24.000585000000001</v>
      </c>
      <c r="X79" s="70">
        <f t="shared" si="5"/>
        <v>24.000585000000001</v>
      </c>
      <c r="Y79" s="70">
        <f t="shared" si="5"/>
        <v>24.000585000000001</v>
      </c>
      <c r="Z79" s="70">
        <f t="shared" si="5"/>
        <v>24.000585000000001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ht="13.15" x14ac:dyDescent="0.4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22.990589999999997</v>
      </c>
      <c r="P80" s="70">
        <f t="shared" si="5"/>
        <v>22.624560000000002</v>
      </c>
      <c r="Q80" s="70">
        <f t="shared" si="5"/>
        <v>23.034480000000002</v>
      </c>
      <c r="R80" s="70">
        <f t="shared" si="5"/>
        <v>23.16216</v>
      </c>
      <c r="S80" s="70">
        <f t="shared" si="5"/>
        <v>23.350845000000003</v>
      </c>
      <c r="T80" s="70">
        <f t="shared" si="5"/>
        <v>23.710049999999999</v>
      </c>
      <c r="U80" s="70">
        <f t="shared" si="5"/>
        <v>24.000585000000001</v>
      </c>
      <c r="V80" s="70">
        <f t="shared" si="5"/>
        <v>24.000585000000001</v>
      </c>
      <c r="W80" s="70">
        <f t="shared" si="5"/>
        <v>24.000585000000001</v>
      </c>
      <c r="X80" s="70">
        <f t="shared" si="5"/>
        <v>24.000585000000001</v>
      </c>
      <c r="Y80" s="70">
        <f t="shared" si="5"/>
        <v>24.000585000000001</v>
      </c>
      <c r="Z80" s="70">
        <f t="shared" si="5"/>
        <v>24.000585000000001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ht="13.15" x14ac:dyDescent="0.4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2</v>
      </c>
      <c r="P88" s="70">
        <f>ROUNDUP(ROUNDUP(P77/Inputs!$J$114,0)/(Inputs!$J$118*Inputs!$J$115*Inputs!$J$114),0)+1</f>
        <v>2</v>
      </c>
      <c r="Q88" s="70">
        <f>ROUNDUP(ROUNDUP(Q77/Inputs!$J$114,0)/(Inputs!$J$118*Inputs!$J$115*Inputs!$J$114),0)+1</f>
        <v>2</v>
      </c>
      <c r="R88" s="70">
        <f>ROUNDUP(ROUNDUP(R77/Inputs!$J$114,0)/(Inputs!$J$118*Inputs!$J$115*Inputs!$J$114),0)+1</f>
        <v>2</v>
      </c>
      <c r="S88" s="70">
        <f>ROUNDUP(ROUNDUP(S77/Inputs!$J$114,0)/(Inputs!$J$118*Inputs!$J$115*Inputs!$J$114),0)+1</f>
        <v>2</v>
      </c>
      <c r="T88" s="70">
        <f>ROUNDUP(ROUNDUP(T77/Inputs!$J$114,0)/(Inputs!$J$118*Inputs!$J$115*Inputs!$J$114),0)+1</f>
        <v>2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2</v>
      </c>
      <c r="P90" s="93">
        <f t="shared" ref="P90:Z90" si="10">IFERROR((P88-P89)/P88,0)*MAX(0,P88)</f>
        <v>2</v>
      </c>
      <c r="Q90" s="93">
        <f t="shared" si="10"/>
        <v>2</v>
      </c>
      <c r="R90" s="93">
        <f t="shared" si="10"/>
        <v>2</v>
      </c>
      <c r="S90" s="93">
        <f t="shared" si="10"/>
        <v>2</v>
      </c>
      <c r="T90" s="93">
        <f t="shared" si="10"/>
        <v>2</v>
      </c>
      <c r="U90" s="93">
        <f t="shared" si="10"/>
        <v>2</v>
      </c>
      <c r="V90" s="93">
        <f t="shared" si="10"/>
        <v>2</v>
      </c>
      <c r="W90" s="93">
        <f t="shared" si="10"/>
        <v>2</v>
      </c>
      <c r="X90" s="93">
        <f t="shared" si="10"/>
        <v>2</v>
      </c>
      <c r="Y90" s="93">
        <f t="shared" si="10"/>
        <v>2</v>
      </c>
      <c r="Z90" s="93">
        <f t="shared" si="10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4</v>
      </c>
      <c r="V94" s="70">
        <f>ROUNDUP(ROUNDUP(V79/Inputs!$J$114,0)/(Inputs!$J$118*Inputs!$J$115*Inputs!$J$114),0)+1</f>
        <v>4</v>
      </c>
      <c r="W94" s="70">
        <f>ROUNDUP(ROUNDUP(W79/Inputs!$J$114,0)/(Inputs!$J$118*Inputs!$J$115*Inputs!$J$114),0)+1</f>
        <v>4</v>
      </c>
      <c r="X94" s="70">
        <f>ROUNDUP(ROUNDUP(X79/Inputs!$J$114,0)/(Inputs!$J$118*Inputs!$J$115*Inputs!$J$114),0)+1</f>
        <v>4</v>
      </c>
      <c r="Y94" s="70">
        <f>ROUNDUP(ROUNDUP(Y79/Inputs!$J$114,0)/(Inputs!$J$118*Inputs!$J$115*Inputs!$J$114),0)+1</f>
        <v>4</v>
      </c>
      <c r="Z94" s="70">
        <f>ROUNDUP(ROUNDUP(Z79/Inputs!$J$114,0)/(Inputs!$J$118*Inputs!$J$115*Inputs!$J$114),0)+1</f>
        <v>4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3">MAX(0,((P94-1)-1)/2)</f>
        <v>0.5</v>
      </c>
      <c r="Q95" s="70">
        <f t="shared" si="13"/>
        <v>0.5</v>
      </c>
      <c r="R95" s="70">
        <f t="shared" si="13"/>
        <v>0.5</v>
      </c>
      <c r="S95" s="70">
        <f t="shared" si="13"/>
        <v>0.5</v>
      </c>
      <c r="T95" s="70">
        <f t="shared" si="13"/>
        <v>0.5</v>
      </c>
      <c r="U95" s="70">
        <f t="shared" si="13"/>
        <v>1</v>
      </c>
      <c r="V95" s="70">
        <f t="shared" si="13"/>
        <v>1</v>
      </c>
      <c r="W95" s="70">
        <f t="shared" si="13"/>
        <v>1</v>
      </c>
      <c r="X95" s="70">
        <f t="shared" si="13"/>
        <v>1</v>
      </c>
      <c r="Y95" s="70">
        <f t="shared" si="13"/>
        <v>1</v>
      </c>
      <c r="Z95" s="70">
        <f t="shared" si="13"/>
        <v>1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4">IFERROR((P94-P95)/P94,0)*MAX(0,P94)</f>
        <v>2.5</v>
      </c>
      <c r="Q96" s="93">
        <f t="shared" si="14"/>
        <v>2.5</v>
      </c>
      <c r="R96" s="93">
        <f t="shared" si="14"/>
        <v>2.5</v>
      </c>
      <c r="S96" s="93">
        <f t="shared" si="14"/>
        <v>2.5</v>
      </c>
      <c r="T96" s="93">
        <f t="shared" si="14"/>
        <v>2.5</v>
      </c>
      <c r="U96" s="93">
        <f t="shared" si="14"/>
        <v>3</v>
      </c>
      <c r="V96" s="93">
        <f t="shared" si="14"/>
        <v>3</v>
      </c>
      <c r="W96" s="93">
        <f t="shared" si="14"/>
        <v>3</v>
      </c>
      <c r="X96" s="93">
        <f t="shared" si="14"/>
        <v>3</v>
      </c>
      <c r="Y96" s="93">
        <f t="shared" si="14"/>
        <v>3</v>
      </c>
      <c r="Z96" s="93">
        <f t="shared" si="14"/>
        <v>3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4</v>
      </c>
      <c r="V97" s="70">
        <f>ROUNDUP(ROUNDUP(V80/Inputs!$J$114,0)/(Inputs!$J$118*Inputs!$J$115*Inputs!$J$114),0)+1</f>
        <v>4</v>
      </c>
      <c r="W97" s="70">
        <f>ROUNDUP(ROUNDUP(W80/Inputs!$J$114,0)/(Inputs!$J$118*Inputs!$J$115*Inputs!$J$114),0)+1</f>
        <v>4</v>
      </c>
      <c r="X97" s="70">
        <f>ROUNDUP(ROUNDUP(X80/Inputs!$J$114,0)/(Inputs!$J$118*Inputs!$J$115*Inputs!$J$114),0)+1</f>
        <v>4</v>
      </c>
      <c r="Y97" s="70">
        <f>ROUNDUP(ROUNDUP(Y80/Inputs!$J$114,0)/(Inputs!$J$118*Inputs!$J$115*Inputs!$J$114),0)+1</f>
        <v>4</v>
      </c>
      <c r="Z97" s="70">
        <f>ROUNDUP(ROUNDUP(Z80/Inputs!$J$114,0)/(Inputs!$J$118*Inputs!$J$115*Inputs!$J$114),0)+1</f>
        <v>4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5">MAX(0,((P97-1)-1)/2)</f>
        <v>0.5</v>
      </c>
      <c r="Q98" s="70">
        <f t="shared" si="15"/>
        <v>0.5</v>
      </c>
      <c r="R98" s="70">
        <f t="shared" si="15"/>
        <v>0.5</v>
      </c>
      <c r="S98" s="70">
        <f t="shared" si="15"/>
        <v>0.5</v>
      </c>
      <c r="T98" s="70">
        <f t="shared" si="15"/>
        <v>0.5</v>
      </c>
      <c r="U98" s="70">
        <f t="shared" si="15"/>
        <v>1</v>
      </c>
      <c r="V98" s="70">
        <f t="shared" si="15"/>
        <v>1</v>
      </c>
      <c r="W98" s="70">
        <f t="shared" si="15"/>
        <v>1</v>
      </c>
      <c r="X98" s="70">
        <f t="shared" si="15"/>
        <v>1</v>
      </c>
      <c r="Y98" s="70">
        <f t="shared" si="15"/>
        <v>1</v>
      </c>
      <c r="Z98" s="70">
        <f t="shared" si="15"/>
        <v>1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16">IFERROR((P97-P98)/P97,0)*MAX(0,P97)</f>
        <v>2.5</v>
      </c>
      <c r="Q99" s="93">
        <f t="shared" si="16"/>
        <v>2.5</v>
      </c>
      <c r="R99" s="93">
        <f t="shared" si="16"/>
        <v>2.5</v>
      </c>
      <c r="S99" s="93">
        <f t="shared" si="16"/>
        <v>2.5</v>
      </c>
      <c r="T99" s="93">
        <f t="shared" si="16"/>
        <v>2.5</v>
      </c>
      <c r="U99" s="93">
        <f t="shared" si="16"/>
        <v>3</v>
      </c>
      <c r="V99" s="93">
        <f t="shared" si="16"/>
        <v>3</v>
      </c>
      <c r="W99" s="93">
        <f t="shared" si="16"/>
        <v>3</v>
      </c>
      <c r="X99" s="93">
        <f t="shared" si="16"/>
        <v>3</v>
      </c>
      <c r="Y99" s="93">
        <f t="shared" si="16"/>
        <v>3</v>
      </c>
      <c r="Z99" s="93">
        <f t="shared" si="16"/>
        <v>3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1843035.5183320248</v>
      </c>
      <c r="P103" s="70">
        <f>P77*Inputs!$M$75*IF(Inputs!$J$126&gt;0,Inputs!$J$126,P90*Inputs!$J$123)*$I$13</f>
        <v>1582629.0893814529</v>
      </c>
      <c r="Q103" s="70">
        <f>Q77*Inputs!$M$75*IF(Inputs!$J$126&gt;0,Inputs!$J$126,Q90*Inputs!$J$123)*$I$13</f>
        <v>1874260.3856014886</v>
      </c>
      <c r="R103" s="70">
        <f>R77*Inputs!$M$75*IF(Inputs!$J$126&gt;0,Inputs!$J$126,R90*Inputs!$J$123)*$I$13</f>
        <v>1965096.3631126464</v>
      </c>
      <c r="S103" s="70">
        <f>S77*Inputs!$M$75*IF(Inputs!$J$126&gt;0,Inputs!$J$126,S90*Inputs!$J$123)*$I$13</f>
        <v>2099333.4121155697</v>
      </c>
      <c r="T103" s="70">
        <f>T77*Inputs!$M$75*IF(Inputs!$J$126&gt;0,Inputs!$J$126,T90*Inputs!$J$123)*$I$13</f>
        <v>2354884.2995051015</v>
      </c>
      <c r="U103" s="70">
        <f>U77*Inputs!$M$75*IF(Inputs!$J$126&gt;0,Inputs!$J$126,U90*Inputs!$J$123)*$I$13</f>
        <v>2561580.9687266299</v>
      </c>
      <c r="V103" s="70">
        <f>V77*Inputs!$M$75*IF(Inputs!$J$126&gt;0,Inputs!$J$126,V90*Inputs!$J$123)*$I$13</f>
        <v>2561580.9687266299</v>
      </c>
      <c r="W103" s="70">
        <f>W77*Inputs!$M$75*IF(Inputs!$J$126&gt;0,Inputs!$J$126,W90*Inputs!$J$123)*$I$13</f>
        <v>2561580.9687266299</v>
      </c>
      <c r="X103" s="70">
        <f>X77*Inputs!$M$75*IF(Inputs!$J$126&gt;0,Inputs!$J$126,X90*Inputs!$J$123)*$I$13</f>
        <v>2561580.9687266299</v>
      </c>
      <c r="Y103" s="70">
        <f>Y77*Inputs!$M$75*IF(Inputs!$J$126&gt;0,Inputs!$J$126,Y90*Inputs!$J$123)*$I$13</f>
        <v>2561580.9687266299</v>
      </c>
      <c r="Z103" s="70">
        <f>Z77*Inputs!$M$75*IF(Inputs!$J$126&gt;0,Inputs!$J$126,Z90*Inputs!$J$123)*$I$13</f>
        <v>2561580.9687266299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1843035.5183320248</v>
      </c>
      <c r="P104" s="70">
        <f>P77*Inputs!$M$75*IF(Inputs!$K$126&gt;0,Inputs!$K$126,P90*Inputs!$J$123)*$I$13</f>
        <v>1582629.0893814529</v>
      </c>
      <c r="Q104" s="70">
        <f>Q77*Inputs!$M$75*IF(Inputs!$K$126&gt;0,Inputs!$K$126,Q90*Inputs!$J$123)*$I$13</f>
        <v>1874260.3856014886</v>
      </c>
      <c r="R104" s="70">
        <f>R77*Inputs!$M$75*IF(Inputs!$K$126&gt;0,Inputs!$K$126,R90*Inputs!$J$123)*$I$13</f>
        <v>1965096.3631126464</v>
      </c>
      <c r="S104" s="70">
        <f>S77*Inputs!$M$75*IF(Inputs!$K$126&gt;0,Inputs!$K$126,S90*Inputs!$J$123)*$I$13</f>
        <v>2099333.4121155697</v>
      </c>
      <c r="T104" s="70">
        <f>T77*Inputs!$M$75*IF(Inputs!$K$126&gt;0,Inputs!$K$126,T90*Inputs!$J$123)*$I$13</f>
        <v>2354884.2995051015</v>
      </c>
      <c r="U104" s="70">
        <f>U77*Inputs!$M$75*IF(Inputs!$K$126&gt;0,Inputs!$K$126,U90*Inputs!$J$123)*$I$13</f>
        <v>2561580.9687266299</v>
      </c>
      <c r="V104" s="70">
        <f>V77*Inputs!$M$75*IF(Inputs!$K$126&gt;0,Inputs!$K$126,V90*Inputs!$J$123)*$I$13</f>
        <v>2561580.9687266299</v>
      </c>
      <c r="W104" s="70">
        <f>W77*Inputs!$M$75*IF(Inputs!$K$126&gt;0,Inputs!$K$126,W90*Inputs!$J$123)*$I$13</f>
        <v>2561580.9687266299</v>
      </c>
      <c r="X104" s="70">
        <f>X77*Inputs!$M$75*IF(Inputs!$K$126&gt;0,Inputs!$K$126,X90*Inputs!$J$123)*$I$13</f>
        <v>2561580.9687266299</v>
      </c>
      <c r="Y104" s="70">
        <f>Y77*Inputs!$M$75*IF(Inputs!$K$126&gt;0,Inputs!$K$126,Y90*Inputs!$J$123)*$I$13</f>
        <v>2561580.9687266299</v>
      </c>
      <c r="Z104" s="70">
        <f>Z77*Inputs!$M$75*IF(Inputs!$K$126&gt;0,Inputs!$K$126,Z90*Inputs!$J$123)*$I$13</f>
        <v>2561580.9687266299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11018868.994654503</v>
      </c>
      <c r="P105" s="70">
        <f>P78*Inputs!$M$75*IF(Inputs!$M$126&gt;0,Inputs!$M$126,P93*Inputs!$J$123)*$I$13</f>
        <v>10693360.958466288</v>
      </c>
      <c r="Q105" s="70">
        <f>Q78*Inputs!$M$75*IF(Inputs!$M$126&gt;0,Inputs!$M$126,Q93*Inputs!$J$123)*$I$13</f>
        <v>11057900.078741334</v>
      </c>
      <c r="R105" s="70">
        <f>R78*Inputs!$M$75*IF(Inputs!$M$126&gt;0,Inputs!$M$126,R93*Inputs!$J$123)*$I$13</f>
        <v>11171445.050630281</v>
      </c>
      <c r="S105" s="70">
        <f>S78*Inputs!$M$75*IF(Inputs!$M$126&gt;0,Inputs!$M$126,S93*Inputs!$J$123)*$I$13</f>
        <v>11339241.361883935</v>
      </c>
      <c r="T105" s="70">
        <f>T78*Inputs!$M$75*IF(Inputs!$M$126&gt;0,Inputs!$M$126,T93*Inputs!$J$123)*$I$13</f>
        <v>11658679.971120849</v>
      </c>
      <c r="U105" s="70">
        <f>U78*Inputs!$M$75*IF(Inputs!$M$126&gt;0,Inputs!$M$126,U93*Inputs!$J$123)*$I$13</f>
        <v>11917050.807647759</v>
      </c>
      <c r="V105" s="70">
        <f>V78*Inputs!$M$75*IF(Inputs!$M$126&gt;0,Inputs!$M$126,V93*Inputs!$J$123)*$I$13</f>
        <v>11917050.807647759</v>
      </c>
      <c r="W105" s="70">
        <f>W78*Inputs!$M$75*IF(Inputs!$M$126&gt;0,Inputs!$M$126,W93*Inputs!$J$123)*$I$13</f>
        <v>11917050.807647759</v>
      </c>
      <c r="X105" s="70">
        <f>X78*Inputs!$M$75*IF(Inputs!$M$126&gt;0,Inputs!$M$126,X93*Inputs!$J$123)*$I$13</f>
        <v>11917050.807647759</v>
      </c>
      <c r="Y105" s="70">
        <f>Y78*Inputs!$M$75*IF(Inputs!$M$126&gt;0,Inputs!$M$126,Y93*Inputs!$J$123)*$I$13</f>
        <v>11917050.807647759</v>
      </c>
      <c r="Z105" s="70">
        <f>Z78*Inputs!$M$75*IF(Inputs!$M$126&gt;0,Inputs!$M$126,Z93*Inputs!$J$123)*$I$13</f>
        <v>11917050.807647759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20445378.252352301</v>
      </c>
      <c r="P106" s="70">
        <f>P79*Inputs!$M$75*IF(Inputs!$M$126&gt;0,Inputs!$M$126,P96*Inputs!$J$123)*$I$13</f>
        <v>20119870.216164086</v>
      </c>
      <c r="Q106" s="70">
        <f>Q79*Inputs!$M$75*IF(Inputs!$M$126&gt;0,Inputs!$M$126,Q96*Inputs!$J$123)*$I$13</f>
        <v>20484409.336439133</v>
      </c>
      <c r="R106" s="70">
        <f>R79*Inputs!$M$75*IF(Inputs!$M$126&gt;0,Inputs!$M$126,R96*Inputs!$J$123)*$I$13</f>
        <v>20597954.308328077</v>
      </c>
      <c r="S106" s="70">
        <f>S79*Inputs!$M$75*IF(Inputs!$M$126&gt;0,Inputs!$M$126,S96*Inputs!$J$123)*$I$13</f>
        <v>20765750.619581733</v>
      </c>
      <c r="T106" s="70">
        <f>T79*Inputs!$M$75*IF(Inputs!$M$126&gt;0,Inputs!$M$126,T96*Inputs!$J$123)*$I$13</f>
        <v>21085189.228818648</v>
      </c>
      <c r="U106" s="70">
        <f>U79*Inputs!$M$75*IF(Inputs!$M$126&gt;0,Inputs!$M$126,U96*Inputs!$J$123)*$I$13</f>
        <v>25612272.078414667</v>
      </c>
      <c r="V106" s="70">
        <f>V79*Inputs!$M$75*IF(Inputs!$M$126&gt;0,Inputs!$M$126,V96*Inputs!$J$123)*$I$13</f>
        <v>25612272.078414667</v>
      </c>
      <c r="W106" s="70">
        <f>W79*Inputs!$M$75*IF(Inputs!$M$126&gt;0,Inputs!$M$126,W96*Inputs!$J$123)*$I$13</f>
        <v>25612272.078414667</v>
      </c>
      <c r="X106" s="70">
        <f>X79*Inputs!$M$75*IF(Inputs!$M$126&gt;0,Inputs!$M$126,X96*Inputs!$J$123)*$I$13</f>
        <v>25612272.078414667</v>
      </c>
      <c r="Y106" s="70">
        <f>Y79*Inputs!$M$75*IF(Inputs!$M$126&gt;0,Inputs!$M$126,Y96*Inputs!$J$123)*$I$13</f>
        <v>25612272.078414667</v>
      </c>
      <c r="Z106" s="70">
        <f>Z79*Inputs!$M$75*IF(Inputs!$M$126&gt;0,Inputs!$M$126,Z96*Inputs!$J$123)*$I$13</f>
        <v>25612272.078414667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20445378.252352301</v>
      </c>
      <c r="P107" s="70">
        <f>P80*Inputs!$M$75*IF(Inputs!$M$126&gt;0,Inputs!$M$126,P99*Inputs!$J$123)*$I$13</f>
        <v>20119870.216164086</v>
      </c>
      <c r="Q107" s="70">
        <f>Q80*Inputs!$M$75*IF(Inputs!$M$126&gt;0,Inputs!$M$126,Q99*Inputs!$J$123)*$I$13</f>
        <v>20484409.336439133</v>
      </c>
      <c r="R107" s="70">
        <f>R80*Inputs!$M$75*IF(Inputs!$M$126&gt;0,Inputs!$M$126,R99*Inputs!$J$123)*$I$13</f>
        <v>20597954.308328077</v>
      </c>
      <c r="S107" s="70">
        <f>S80*Inputs!$M$75*IF(Inputs!$M$126&gt;0,Inputs!$M$126,S99*Inputs!$J$123)*$I$13</f>
        <v>20765750.619581733</v>
      </c>
      <c r="T107" s="70">
        <f>T80*Inputs!$M$75*IF(Inputs!$M$126&gt;0,Inputs!$M$126,T99*Inputs!$J$123)*$I$13</f>
        <v>21085189.228818648</v>
      </c>
      <c r="U107" s="70">
        <f>U80*Inputs!$M$75*IF(Inputs!$M$126&gt;0,Inputs!$M$126,U99*Inputs!$J$123)*$I$13</f>
        <v>25612272.078414667</v>
      </c>
      <c r="V107" s="70">
        <f>V80*Inputs!$M$75*IF(Inputs!$M$126&gt;0,Inputs!$M$126,V99*Inputs!$J$123)*$I$13</f>
        <v>25612272.078414667</v>
      </c>
      <c r="W107" s="70">
        <f>W80*Inputs!$M$75*IF(Inputs!$M$126&gt;0,Inputs!$M$126,W99*Inputs!$J$123)*$I$13</f>
        <v>25612272.078414667</v>
      </c>
      <c r="X107" s="70">
        <f>X80*Inputs!$M$75*IF(Inputs!$M$126&gt;0,Inputs!$M$126,X99*Inputs!$J$123)*$I$13</f>
        <v>25612272.078414667</v>
      </c>
      <c r="Y107" s="70">
        <f>Y80*Inputs!$M$75*IF(Inputs!$M$126&gt;0,Inputs!$M$126,Y99*Inputs!$J$123)*$I$13</f>
        <v>25612272.078414667</v>
      </c>
      <c r="Z107" s="70">
        <f>Z80*Inputs!$M$75*IF(Inputs!$M$126&gt;0,Inputs!$M$126,Z99*Inputs!$J$123)*$I$13</f>
        <v>25612272.078414667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0.13114557923018094</v>
      </c>
      <c r="P114" s="56">
        <f>Inputs!P64*$I$9</f>
        <v>0.139339121521044</v>
      </c>
      <c r="Q114" s="56">
        <f>Inputs!Q64*$I$9</f>
        <v>0.14808660136366</v>
      </c>
      <c r="R114" s="56">
        <f>Inputs!R64*$I$9</f>
        <v>0.15742692014778489</v>
      </c>
      <c r="S114" s="56">
        <f>Inputs!S64*$I$9</f>
        <v>0.16740177486308142</v>
      </c>
      <c r="T114" s="56">
        <f>Inputs!T64*$I$9</f>
        <v>0.17805586195953496</v>
      </c>
      <c r="U114" s="56">
        <f>Inputs!U64*$I$9</f>
        <v>0.18943709621627727</v>
      </c>
      <c r="V114" s="56">
        <f>Inputs!V64*$I$9</f>
        <v>0.20159684573074296</v>
      </c>
      <c r="W114" s="56">
        <f>Inputs!W64*$I$9</f>
        <v>0.21459018422281737</v>
      </c>
      <c r="X114" s="56">
        <f>Inputs!X64*$I$9</f>
        <v>0.22847616193752252</v>
      </c>
      <c r="Y114" s="56">
        <f>Inputs!Y64*$I$9</f>
        <v>0.24331809652532607</v>
      </c>
      <c r="Z114" s="56">
        <f>Inputs!Z64*$I$9</f>
        <v>0.25912417118113762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7.0508375930204801E-4</v>
      </c>
      <c r="P115" s="56">
        <f>Inputs!P65*$I$9</f>
        <v>7.4913506194109662E-4</v>
      </c>
      <c r="Q115" s="56">
        <f>Inputs!Q65*$I$9</f>
        <v>7.9616452346053753E-4</v>
      </c>
      <c r="R115" s="56">
        <f>Inputs!R65*$I$9</f>
        <v>8.4638129111712303E-4</v>
      </c>
      <c r="S115" s="56">
        <f>Inputs!S65*$I$9</f>
        <v>9.0000954227463135E-4</v>
      </c>
      <c r="T115" s="56">
        <f>Inputs!T65*$I$9</f>
        <v>9.572895804276074E-4</v>
      </c>
      <c r="U115" s="56">
        <f>Inputs!U65*$I$9</f>
        <v>1.0184790119154689E-3</v>
      </c>
      <c r="V115" s="56">
        <f>Inputs!V65*$I$9</f>
        <v>1.0838540093050697E-3</v>
      </c>
      <c r="W115" s="56">
        <f>Inputs!W65*$I$9</f>
        <v>1.1537106678646096E-3</v>
      </c>
      <c r="X115" s="56">
        <f>Inputs!X65*$I$9</f>
        <v>1.2283664620296906E-3</v>
      </c>
      <c r="Y115" s="56">
        <f>Inputs!Y65*$I$9</f>
        <v>1.3081618092759466E-3</v>
      </c>
      <c r="Z115" s="56">
        <f>Inputs!Z65*$I$9</f>
        <v>1.3931407052749335E-3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7.0508375930204801E-4</v>
      </c>
      <c r="P116" s="56">
        <f>Inputs!P66*$I$9</f>
        <v>7.4913506194109662E-4</v>
      </c>
      <c r="Q116" s="56">
        <f>Inputs!Q66*$I$9</f>
        <v>7.9616452346053753E-4</v>
      </c>
      <c r="R116" s="56">
        <f>Inputs!R66*$I$9</f>
        <v>8.4638129111712303E-4</v>
      </c>
      <c r="S116" s="56">
        <f>Inputs!S66*$I$9</f>
        <v>9.0000954227463135E-4</v>
      </c>
      <c r="T116" s="56">
        <f>Inputs!T66*$I$9</f>
        <v>9.572895804276074E-4</v>
      </c>
      <c r="U116" s="56">
        <f>Inputs!U66*$I$9</f>
        <v>1.0184790119154689E-3</v>
      </c>
      <c r="V116" s="56">
        <f>Inputs!V66*$I$9</f>
        <v>1.0838540093050697E-3</v>
      </c>
      <c r="W116" s="56">
        <f>Inputs!W66*$I$9</f>
        <v>1.1537106678646096E-3</v>
      </c>
      <c r="X116" s="56">
        <f>Inputs!X66*$I$9</f>
        <v>1.2283664620296906E-3</v>
      </c>
      <c r="Y116" s="56">
        <f>Inputs!Y66*$I$9</f>
        <v>1.3081618092759466E-3</v>
      </c>
      <c r="Z116" s="56">
        <f>Inputs!Z66*$I$9</f>
        <v>1.3931407052749335E-3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232037.72216971213</v>
      </c>
      <c r="P119" s="70">
        <f t="shared" ref="P119:Z119" si="17">P103*P114*$T$37</f>
        <v>211701.26112773901</v>
      </c>
      <c r="Q119" s="70">
        <f t="shared" si="17"/>
        <v>266450.73655129661</v>
      </c>
      <c r="R119" s="70">
        <f t="shared" si="17"/>
        <v>296984.70550889964</v>
      </c>
      <c r="S119" s="70">
        <f t="shared" si="17"/>
        <v>337374.85364881449</v>
      </c>
      <c r="T119" s="70">
        <f t="shared" si="17"/>
        <v>402528.91561282228</v>
      </c>
      <c r="U119" s="70">
        <f t="shared" si="17"/>
        <v>465848.12202091323</v>
      </c>
      <c r="V119" s="70">
        <f t="shared" si="17"/>
        <v>495750.37764402194</v>
      </c>
      <c r="W119" s="70">
        <f t="shared" si="17"/>
        <v>527702.52670148201</v>
      </c>
      <c r="X119" s="70">
        <f t="shared" si="17"/>
        <v>561849.78069778683</v>
      </c>
      <c r="Y119" s="70">
        <f t="shared" si="17"/>
        <v>598347.84518982179</v>
      </c>
      <c r="Z119" s="70">
        <f t="shared" si="17"/>
        <v>637216.84361727699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987.61575296248452</v>
      </c>
      <c r="P120" s="70">
        <f t="shared" ref="P120:Z120" si="20">P104*P115*$T$27</f>
        <v>901.05823508670267</v>
      </c>
      <c r="Q120" s="70">
        <f t="shared" si="20"/>
        <v>1134.0869163249631</v>
      </c>
      <c r="R120" s="70">
        <f t="shared" si="20"/>
        <v>1264.0478057054418</v>
      </c>
      <c r="S120" s="70">
        <f t="shared" si="20"/>
        <v>1435.95927852318</v>
      </c>
      <c r="T120" s="70">
        <f t="shared" si="20"/>
        <v>1713.2727143018872</v>
      </c>
      <c r="U120" s="70">
        <f t="shared" si="20"/>
        <v>1982.7765050173275</v>
      </c>
      <c r="V120" s="70">
        <f t="shared" si="20"/>
        <v>2110.0486503665811</v>
      </c>
      <c r="W120" s="70">
        <f t="shared" si="20"/>
        <v>2246.0457005663443</v>
      </c>
      <c r="X120" s="70">
        <f t="shared" si="20"/>
        <v>2391.3857153355616</v>
      </c>
      <c r="Y120" s="70">
        <f t="shared" si="20"/>
        <v>2546.7314199387579</v>
      </c>
      <c r="Z120" s="70">
        <f t="shared" si="20"/>
        <v>2712.1684652169051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2883.1408317041796</v>
      </c>
      <c r="P121" s="70">
        <f t="shared" ref="P121:Z121" si="21">P107*P116*$T$17</f>
        <v>3014.500044126582</v>
      </c>
      <c r="Q121" s="70">
        <f t="shared" si="21"/>
        <v>3261.7919995433294</v>
      </c>
      <c r="R121" s="70">
        <f t="shared" si="21"/>
        <v>3486.744632370845</v>
      </c>
      <c r="S121" s="70">
        <f t="shared" si="21"/>
        <v>3737.8747420237796</v>
      </c>
      <c r="T121" s="70">
        <f t="shared" si="21"/>
        <v>4036.9263900185019</v>
      </c>
      <c r="U121" s="70">
        <f t="shared" si="21"/>
        <v>5217.1123118667856</v>
      </c>
      <c r="V121" s="70">
        <f t="shared" si="21"/>
        <v>5551.9927559204061</v>
      </c>
      <c r="W121" s="70">
        <f t="shared" si="21"/>
        <v>5909.8303050235763</v>
      </c>
      <c r="X121" s="70">
        <f t="shared" si="21"/>
        <v>6292.2512075008117</v>
      </c>
      <c r="Y121" s="70">
        <f t="shared" si="21"/>
        <v>6700.9992363533493</v>
      </c>
      <c r="Z121" s="70">
        <f t="shared" si="21"/>
        <v>7136.2997574032197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57803.038270617857</v>
      </c>
      <c r="P122" s="88">
        <f t="shared" ref="P122:Z122" si="22">P105*P114*$T$44</f>
        <v>59600.14088240487</v>
      </c>
      <c r="Q122" s="88">
        <f t="shared" si="22"/>
        <v>65501.0736351901</v>
      </c>
      <c r="R122" s="88">
        <f t="shared" si="22"/>
        <v>70347.447516837594</v>
      </c>
      <c r="S122" s="88">
        <f t="shared" si="22"/>
        <v>75928.365183209404</v>
      </c>
      <c r="T122" s="88">
        <f t="shared" si="22"/>
        <v>83035.852462731564</v>
      </c>
      <c r="U122" s="88">
        <f t="shared" si="22"/>
        <v>90301.260018505345</v>
      </c>
      <c r="V122" s="88">
        <f t="shared" si="22"/>
        <v>96097.594129391655</v>
      </c>
      <c r="W122" s="88">
        <f t="shared" si="22"/>
        <v>102291.28512823228</v>
      </c>
      <c r="X122" s="88">
        <f t="shared" si="22"/>
        <v>108910.48120583252</v>
      </c>
      <c r="Y122" s="88">
        <f t="shared" si="22"/>
        <v>115985.36474849809</v>
      </c>
      <c r="Z122" s="88">
        <f t="shared" si="22"/>
        <v>123519.83653820929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310.76902296031102</v>
      </c>
      <c r="P123" s="70">
        <f t="shared" ref="P123:Z123" si="23">P105*P115*$T$34</f>
        <v>320.43086495916589</v>
      </c>
      <c r="Q123" s="70">
        <f t="shared" si="23"/>
        <v>352.15630986661336</v>
      </c>
      <c r="R123" s="70">
        <f t="shared" si="23"/>
        <v>378.21208342385808</v>
      </c>
      <c r="S123" s="70">
        <f t="shared" si="23"/>
        <v>408.21701711402909</v>
      </c>
      <c r="T123" s="70">
        <f t="shared" si="23"/>
        <v>446.42931431576108</v>
      </c>
      <c r="U123" s="70">
        <f t="shared" si="23"/>
        <v>485.49064526078126</v>
      </c>
      <c r="V123" s="70">
        <f t="shared" si="23"/>
        <v>516.65373187844966</v>
      </c>
      <c r="W123" s="70">
        <f t="shared" si="23"/>
        <v>549.95314585071128</v>
      </c>
      <c r="X123" s="70">
        <f t="shared" si="23"/>
        <v>585.54022153673384</v>
      </c>
      <c r="Y123" s="70">
        <f t="shared" si="23"/>
        <v>623.57722983063491</v>
      </c>
      <c r="Z123" s="70">
        <f t="shared" si="23"/>
        <v>664.08514267854468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57286.510912325946</v>
      </c>
      <c r="P124" s="88">
        <f t="shared" si="24"/>
        <v>60865.582754559349</v>
      </c>
      <c r="Q124" s="88">
        <f t="shared" si="24"/>
        <v>64686.623481977556</v>
      </c>
      <c r="R124" s="88">
        <f t="shared" si="24"/>
        <v>68766.625851041288</v>
      </c>
      <c r="S124" s="88">
        <f t="shared" si="24"/>
        <v>73123.803781482697</v>
      </c>
      <c r="T124" s="88">
        <f t="shared" si="24"/>
        <v>77777.681405833442</v>
      </c>
      <c r="U124" s="88">
        <f t="shared" si="24"/>
        <v>82749.188674868114</v>
      </c>
      <c r="V124" s="88">
        <f t="shared" si="24"/>
        <v>88060.764004669851</v>
      </c>
      <c r="W124" s="88">
        <f t="shared" si="24"/>
        <v>93736.464487164412</v>
      </c>
      <c r="X124" s="88">
        <f t="shared" si="24"/>
        <v>99802.084224796447</v>
      </c>
      <c r="Y124" s="88">
        <f t="shared" si="24"/>
        <v>106285.28139175491</v>
      </c>
      <c r="Z124" s="88">
        <f t="shared" si="24"/>
        <v>113189.63053997848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3228.4577121419579</v>
      </c>
      <c r="P125" s="70">
        <f t="shared" si="25"/>
        <v>3430.1610783855867</v>
      </c>
      <c r="Q125" s="70">
        <f t="shared" si="25"/>
        <v>3645.5009238113548</v>
      </c>
      <c r="R125" s="70">
        <f t="shared" si="25"/>
        <v>3875.4348978688868</v>
      </c>
      <c r="S125" s="70">
        <f t="shared" si="25"/>
        <v>4120.9894702923521</v>
      </c>
      <c r="T125" s="70">
        <f t="shared" si="25"/>
        <v>4383.2649496053582</v>
      </c>
      <c r="U125" s="70">
        <f t="shared" si="25"/>
        <v>4663.4408710932075</v>
      </c>
      <c r="V125" s="70">
        <f t="shared" si="25"/>
        <v>4962.7817816151619</v>
      </c>
      <c r="W125" s="70">
        <f t="shared" si="25"/>
        <v>5282.6434506660298</v>
      </c>
      <c r="X125" s="70">
        <f t="shared" si="25"/>
        <v>5624.47953928467</v>
      </c>
      <c r="Y125" s="70">
        <f t="shared" si="25"/>
        <v>5989.8487607587695</v>
      </c>
      <c r="Z125" s="70">
        <f t="shared" si="25"/>
        <v>6378.9525637293755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3994.4706626110847</v>
      </c>
      <c r="P126" s="70">
        <f t="shared" si="26"/>
        <v>4244.0319859574965</v>
      </c>
      <c r="Q126" s="70">
        <f t="shared" si="26"/>
        <v>4510.4653023393139</v>
      </c>
      <c r="R126" s="70">
        <f t="shared" si="26"/>
        <v>4794.9554817386361</v>
      </c>
      <c r="S126" s="70">
        <f t="shared" si="26"/>
        <v>5098.772543342573</v>
      </c>
      <c r="T126" s="70">
        <f t="shared" si="26"/>
        <v>5423.2778647838095</v>
      </c>
      <c r="U126" s="70">
        <f t="shared" si="26"/>
        <v>5769.9308485116726</v>
      </c>
      <c r="V126" s="70">
        <f t="shared" si="26"/>
        <v>6140.2960791610558</v>
      </c>
      <c r="W126" s="70">
        <f t="shared" si="26"/>
        <v>6536.0510083064091</v>
      </c>
      <c r="X126" s="70">
        <f t="shared" si="26"/>
        <v>6958.9942056955279</v>
      </c>
      <c r="Y126" s="70">
        <f t="shared" si="26"/>
        <v>7411.0542189676389</v>
      </c>
      <c r="Z126" s="70">
        <f t="shared" si="26"/>
        <v>7892.4802942824972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30123.723185840714</v>
      </c>
      <c r="P127" s="70">
        <f>Inputs!$J$27*$I$11</f>
        <v>30123.723185840714</v>
      </c>
      <c r="Q127" s="70">
        <f>Inputs!$J$27*$I$11</f>
        <v>30123.723185840714</v>
      </c>
      <c r="R127" s="70">
        <f>Inputs!$J$27*$I$11</f>
        <v>30123.723185840714</v>
      </c>
      <c r="S127" s="70">
        <f>Inputs!$J$27*$I$11</f>
        <v>30123.723185840714</v>
      </c>
      <c r="T127" s="70">
        <f>Inputs!$J$27*$I$11</f>
        <v>30123.723185840714</v>
      </c>
      <c r="U127" s="70">
        <f>Inputs!$J$27*$I$11</f>
        <v>30123.723185840714</v>
      </c>
      <c r="V127" s="70">
        <f>Inputs!$J$27*$I$11</f>
        <v>30123.723185840714</v>
      </c>
      <c r="W127" s="70">
        <f>Inputs!$J$27*$I$11</f>
        <v>30123.723185840714</v>
      </c>
      <c r="X127" s="70">
        <f>Inputs!$J$27*$I$11</f>
        <v>30123.723185840714</v>
      </c>
      <c r="Y127" s="70">
        <f>Inputs!$J$27*$I$11</f>
        <v>30123.723185840714</v>
      </c>
      <c r="Z127" s="70">
        <f>Inputs!$J$27*$I$11</f>
        <v>30123.723185840714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388655.44852087664</v>
      </c>
      <c r="P128" s="98">
        <f t="shared" ref="P128:Z128" si="27">SUM(P119:P127)</f>
        <v>374200.89015905949</v>
      </c>
      <c r="Q128" s="98">
        <f t="shared" si="27"/>
        <v>439666.15830619051</v>
      </c>
      <c r="R128" s="98">
        <f t="shared" si="27"/>
        <v>480021.89696372685</v>
      </c>
      <c r="S128" s="98">
        <f t="shared" si="27"/>
        <v>531352.55885064323</v>
      </c>
      <c r="T128" s="98">
        <f t="shared" si="27"/>
        <v>609469.3439002533</v>
      </c>
      <c r="U128" s="98">
        <f t="shared" si="27"/>
        <v>687141.04508187715</v>
      </c>
      <c r="V128" s="98">
        <f t="shared" si="27"/>
        <v>729314.23196286592</v>
      </c>
      <c r="W128" s="98">
        <f t="shared" si="27"/>
        <v>774378.52311313257</v>
      </c>
      <c r="X128" s="98">
        <f t="shared" si="27"/>
        <v>822538.72020361014</v>
      </c>
      <c r="Y128" s="98">
        <f t="shared" si="27"/>
        <v>874014.42538176465</v>
      </c>
      <c r="Z128" s="98">
        <f t="shared" si="27"/>
        <v>928834.02010461607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D'!$I$10</f>
        <v>0</v>
      </c>
      <c r="P135" s="70">
        <f>Inputs!P22*'Scenario D'!$I$10</f>
        <v>0</v>
      </c>
      <c r="Q135" s="70">
        <f>Inputs!Q22*'Scenario D'!$I$10</f>
        <v>0</v>
      </c>
      <c r="R135" s="70">
        <f>Inputs!R22*'Scenario D'!$I$10</f>
        <v>46631.150442477883</v>
      </c>
      <c r="S135" s="70">
        <f>Inputs!S22*'Scenario D'!$I$10</f>
        <v>699467.25663716812</v>
      </c>
      <c r="T135" s="70">
        <f>Inputs!T22*'Scenario D'!$I$10</f>
        <v>2749372.6300884956</v>
      </c>
      <c r="U135" s="70">
        <f>Inputs!U22*'Scenario D'!$I$10</f>
        <v>0</v>
      </c>
      <c r="V135" s="70">
        <f>Inputs!V22*'Scenario D'!$I$10</f>
        <v>0</v>
      </c>
      <c r="W135" s="70">
        <f>Inputs!W22*'Scenario D'!$I$10</f>
        <v>0</v>
      </c>
      <c r="X135" s="70">
        <f>Inputs!X22*'Scenario D'!$I$10</f>
        <v>0</v>
      </c>
      <c r="Y135" s="70">
        <f>Inputs!Y22*'Scenario D'!$I$10</f>
        <v>0</v>
      </c>
      <c r="Z135" s="70">
        <f>Inputs!Z22*'Scenario D'!$I$10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0</v>
      </c>
      <c r="R136" s="70">
        <f t="shared" si="28"/>
        <v>1</v>
      </c>
      <c r="S136" s="70">
        <f t="shared" si="28"/>
        <v>1</v>
      </c>
      <c r="T136" s="70">
        <f t="shared" si="28"/>
        <v>1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1.0557562500000002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D'!O135:Z135,'Scenario D'!O137:Z137),0,0)</f>
        <v>130284.26192054911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13429.771327433629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143714.03324798273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388655.44852087664</v>
      </c>
      <c r="P147" s="70">
        <f t="shared" ref="P147:Z147" si="30">P128</f>
        <v>374200.89015905949</v>
      </c>
      <c r="Q147" s="70">
        <f t="shared" si="30"/>
        <v>439666.15830619051</v>
      </c>
      <c r="R147" s="70">
        <f t="shared" si="30"/>
        <v>480021.89696372685</v>
      </c>
      <c r="S147" s="70">
        <f t="shared" si="30"/>
        <v>531352.55885064323</v>
      </c>
      <c r="T147" s="70">
        <f t="shared" si="30"/>
        <v>609469.3439002533</v>
      </c>
      <c r="U147" s="70">
        <f t="shared" si="30"/>
        <v>687141.04508187715</v>
      </c>
      <c r="V147" s="70">
        <f t="shared" si="30"/>
        <v>729314.23196286592</v>
      </c>
      <c r="W147" s="70">
        <f t="shared" si="30"/>
        <v>774378.52311313257</v>
      </c>
      <c r="X147" s="70">
        <f t="shared" si="30"/>
        <v>822538.72020361014</v>
      </c>
      <c r="Y147" s="70">
        <f t="shared" si="30"/>
        <v>874014.42538176465</v>
      </c>
      <c r="Z147" s="70">
        <f t="shared" si="30"/>
        <v>928834.02010461607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143714.03324798273</v>
      </c>
      <c r="P148" s="70">
        <f t="shared" ref="P148:Z148" si="31">$J$140</f>
        <v>143714.03324798273</v>
      </c>
      <c r="Q148" s="70">
        <f t="shared" si="31"/>
        <v>143714.03324798273</v>
      </c>
      <c r="R148" s="70">
        <f t="shared" si="31"/>
        <v>143714.03324798273</v>
      </c>
      <c r="S148" s="70">
        <f t="shared" si="31"/>
        <v>143714.03324798273</v>
      </c>
      <c r="T148" s="70">
        <f t="shared" si="31"/>
        <v>143714.03324798273</v>
      </c>
      <c r="U148" s="70">
        <f t="shared" si="31"/>
        <v>143714.03324798273</v>
      </c>
      <c r="V148" s="70">
        <f t="shared" si="31"/>
        <v>143714.03324798273</v>
      </c>
      <c r="W148" s="70">
        <f t="shared" si="31"/>
        <v>143714.03324798273</v>
      </c>
      <c r="X148" s="70">
        <f t="shared" si="31"/>
        <v>143714.03324798273</v>
      </c>
      <c r="Y148" s="70">
        <f t="shared" si="31"/>
        <v>143714.03324798273</v>
      </c>
      <c r="Z148" s="70">
        <f t="shared" si="31"/>
        <v>143714.03324798273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2">(P147&gt;=P148)</f>
        <v>1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E51"/>
  <sheetViews>
    <sheetView showGridLines="0" tabSelected="1" zoomScaleNormal="100" workbookViewId="0">
      <selection activeCell="P39" sqref="P39"/>
    </sheetView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ht="13.15" x14ac:dyDescent="0.4">
      <c r="A1" s="1" t="str">
        <f>Inputs!A1</f>
        <v>Powercor - Robinvale Transformer No.2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186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187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3.15" x14ac:dyDescent="0.4">
      <c r="A8" s="8"/>
      <c r="B8" s="8"/>
      <c r="C8" s="9" t="s">
        <v>9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3.15" x14ac:dyDescent="0.4">
      <c r="A9" s="8"/>
      <c r="B9" s="8"/>
      <c r="C9" s="9"/>
      <c r="D9" s="10" t="s">
        <v>188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245159.0501291535</v>
      </c>
      <c r="P9" s="19">
        <f>'Base Case'!P147</f>
        <v>229663.94206862466</v>
      </c>
      <c r="Q9" s="19">
        <f>'Base Case'!Q147</f>
        <v>276164.39595507743</v>
      </c>
      <c r="R9" s="19">
        <f>'Base Case'!R147</f>
        <v>302790.86724620417</v>
      </c>
      <c r="S9" s="19">
        <f>'Base Case'!S147</f>
        <v>337642.46793479973</v>
      </c>
      <c r="T9" s="19">
        <f>'Base Case'!T147</f>
        <v>393017.79973140126</v>
      </c>
      <c r="U9" s="19">
        <f>'Base Case'!U147</f>
        <v>460719.46841399139</v>
      </c>
      <c r="V9" s="19">
        <f>'Base Case'!V147</f>
        <v>488144.06923942047</v>
      </c>
      <c r="W9" s="19">
        <f>'Base Case'!W147</f>
        <v>517448.71248975315</v>
      </c>
      <c r="X9" s="19">
        <f>'Base Case'!X147</f>
        <v>548766.577668107</v>
      </c>
      <c r="Y9" s="19">
        <f>'Base Case'!Y147</f>
        <v>582240.46880899079</v>
      </c>
      <c r="Z9" s="19">
        <f>'Base Case'!Z147</f>
        <v>617888.84195490833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/>
      <c r="D10" s="29" t="s">
        <v>178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159682.25916442528</v>
      </c>
      <c r="P10" s="19">
        <f>'Base Case'!P148</f>
        <v>159682.25916442528</v>
      </c>
      <c r="Q10" s="19">
        <f>'Base Case'!Q148</f>
        <v>159682.25916442528</v>
      </c>
      <c r="R10" s="19">
        <f>'Base Case'!R148</f>
        <v>159682.25916442528</v>
      </c>
      <c r="S10" s="19">
        <f>'Base Case'!S148</f>
        <v>159682.25916442528</v>
      </c>
      <c r="T10" s="19">
        <f>'Base Case'!T148</f>
        <v>159682.25916442528</v>
      </c>
      <c r="U10" s="19">
        <f>'Base Case'!U148</f>
        <v>159682.25916442528</v>
      </c>
      <c r="V10" s="19">
        <f>'Base Case'!V148</f>
        <v>159682.25916442528</v>
      </c>
      <c r="W10" s="19">
        <f>'Base Case'!W148</f>
        <v>159682.25916442528</v>
      </c>
      <c r="X10" s="19">
        <f>'Base Case'!X148</f>
        <v>159682.25916442528</v>
      </c>
      <c r="Y10" s="19">
        <f>'Base Case'!Y148</f>
        <v>159682.25916442528</v>
      </c>
      <c r="Z10" s="19">
        <f>'Base Case'!Z148</f>
        <v>159682.25916442528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6">
        <f>'Scenario A'!O147</f>
        <v>149303.10774916509</v>
      </c>
      <c r="P11" s="36">
        <f>'Scenario A'!P147</f>
        <v>134230.24178146551</v>
      </c>
      <c r="Q11" s="36">
        <f>'Scenario A'!Q147</f>
        <v>166650.04183079384</v>
      </c>
      <c r="R11" s="36">
        <f>'Scenario A'!R147</f>
        <v>183548.94070951859</v>
      </c>
      <c r="S11" s="36">
        <f>'Scenario A'!S147</f>
        <v>206533.17787932049</v>
      </c>
      <c r="T11" s="36">
        <f>'Scenario A'!T147</f>
        <v>245049.34722670016</v>
      </c>
      <c r="U11" s="36">
        <f>'Scenario A'!U147</f>
        <v>282208.77704998647</v>
      </c>
      <c r="V11" s="36">
        <f>'Scenario A'!V147</f>
        <v>297960.13649071357</v>
      </c>
      <c r="W11" s="36">
        <f>'Scenario A'!W147</f>
        <v>314791.30103733711</v>
      </c>
      <c r="X11" s="36">
        <f>'Scenario A'!X147</f>
        <v>332778.76253151067</v>
      </c>
      <c r="Y11" s="36">
        <f>'Scenario A'!Y147</f>
        <v>352004.54067851434</v>
      </c>
      <c r="Z11" s="36">
        <f>'Scenario A'!Z147</f>
        <v>372479.23573324981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6">
        <f>'Scenario A'!O148</f>
        <v>175650.48508086777</v>
      </c>
      <c r="P12" s="36">
        <f>'Scenario A'!P148</f>
        <v>175650.48508086777</v>
      </c>
      <c r="Q12" s="36">
        <f>'Scenario A'!Q148</f>
        <v>175650.48508086777</v>
      </c>
      <c r="R12" s="36">
        <f>'Scenario A'!R148</f>
        <v>175650.48508086777</v>
      </c>
      <c r="S12" s="36">
        <f>'Scenario A'!S148</f>
        <v>175650.48508086777</v>
      </c>
      <c r="T12" s="36">
        <f>'Scenario A'!T148</f>
        <v>175650.48508086777</v>
      </c>
      <c r="U12" s="36">
        <f>'Scenario A'!U148</f>
        <v>175650.48508086777</v>
      </c>
      <c r="V12" s="36">
        <f>'Scenario A'!V148</f>
        <v>175650.48508086777</v>
      </c>
      <c r="W12" s="36">
        <f>'Scenario A'!W148</f>
        <v>175650.48508086777</v>
      </c>
      <c r="X12" s="36">
        <f>'Scenario A'!X148</f>
        <v>175650.48508086777</v>
      </c>
      <c r="Y12" s="36">
        <f>'Scenario A'!Y148</f>
        <v>175650.48508086777</v>
      </c>
      <c r="Z12" s="36">
        <f>'Scenario A'!Z148</f>
        <v>175650.48508086777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6">
        <f>'Scenario B'!O147</f>
        <v>132917.07857344122</v>
      </c>
      <c r="P13" s="36">
        <f>'Scenario B'!P147</f>
        <v>117238.69670017924</v>
      </c>
      <c r="Q13" s="36">
        <f>'Scenario B'!Q147</f>
        <v>149012.04397117786</v>
      </c>
      <c r="R13" s="36">
        <f>'Scenario B'!R147</f>
        <v>165220.67832376255</v>
      </c>
      <c r="S13" s="36">
        <f>'Scenario B'!S147</f>
        <v>187467.75774525799</v>
      </c>
      <c r="T13" s="36">
        <f>'Scenario B'!T147</f>
        <v>225196.57298288424</v>
      </c>
      <c r="U13" s="36">
        <f>'Scenario B'!U147</f>
        <v>261514.91135600815</v>
      </c>
      <c r="V13" s="36">
        <f>'Scenario B'!V147</f>
        <v>276367.64582144539</v>
      </c>
      <c r="W13" s="36">
        <f>'Scenario B'!W147</f>
        <v>292238.58183149557</v>
      </c>
      <c r="X13" s="36">
        <f>'Scenario B'!X147</f>
        <v>309199.84732007631</v>
      </c>
      <c r="Y13" s="36">
        <f>'Scenario B'!Y147</f>
        <v>327328.78271663084</v>
      </c>
      <c r="Z13" s="36">
        <f>'Scenario B'!Z147</f>
        <v>346635.38352484326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6">
        <f>'Scenario B'!O148</f>
        <v>143714.03324798273</v>
      </c>
      <c r="P14" s="36">
        <f>'Scenario B'!P148</f>
        <v>143714.03324798273</v>
      </c>
      <c r="Q14" s="36">
        <f>'Scenario B'!Q148</f>
        <v>143714.03324798273</v>
      </c>
      <c r="R14" s="36">
        <f>'Scenario B'!R148</f>
        <v>143714.03324798273</v>
      </c>
      <c r="S14" s="36">
        <f>'Scenario B'!S148</f>
        <v>143714.03324798273</v>
      </c>
      <c r="T14" s="36">
        <f>'Scenario B'!T148</f>
        <v>143714.03324798273</v>
      </c>
      <c r="U14" s="36">
        <f>'Scenario B'!U148</f>
        <v>143714.03324798273</v>
      </c>
      <c r="V14" s="36">
        <f>'Scenario B'!V148</f>
        <v>143714.03324798273</v>
      </c>
      <c r="W14" s="36">
        <f>'Scenario B'!W148</f>
        <v>143714.03324798273</v>
      </c>
      <c r="X14" s="36">
        <f>'Scenario B'!X148</f>
        <v>143714.03324798273</v>
      </c>
      <c r="Y14" s="36">
        <f>'Scenario B'!Y148</f>
        <v>143714.03324798273</v>
      </c>
      <c r="Z14" s="36">
        <f>'Scenario B'!Z148</f>
        <v>143714.03324798273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6">
        <f>'Scenario C'!O147</f>
        <v>407195.22624499147</v>
      </c>
      <c r="P15" s="36">
        <f>'Scenario C'!P147</f>
        <v>393480.74287886167</v>
      </c>
      <c r="Q15" s="36">
        <f>'Scenario C'!Q147</f>
        <v>459736.11997728463</v>
      </c>
      <c r="R15" s="36">
        <f>'Scenario C'!R147</f>
        <v>500935.515277881</v>
      </c>
      <c r="S15" s="36">
        <f>'Scenario C'!S147</f>
        <v>553167.14774606074</v>
      </c>
      <c r="T15" s="36">
        <f>'Scenario C'!T147</f>
        <v>632246.25448536954</v>
      </c>
      <c r="U15" s="36">
        <f>'Scenario C'!U147</f>
        <v>710945.95632830297</v>
      </c>
      <c r="V15" s="36">
        <f>'Scenario C'!V147</f>
        <v>754217.46262353472</v>
      </c>
      <c r="W15" s="36">
        <f>'Scenario C'!W147</f>
        <v>800455.36642961344</v>
      </c>
      <c r="X15" s="36">
        <f>'Scenario C'!X147</f>
        <v>849869.80308248184</v>
      </c>
      <c r="Y15" s="36">
        <f>'Scenario C'!Y147</f>
        <v>902686.09384451888</v>
      </c>
      <c r="Z15" s="36">
        <f>'Scenario C'!Z147</f>
        <v>958933.35931312072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3.15" x14ac:dyDescent="0.4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6">
        <f>'Scenario C'!O148</f>
        <v>175650.48508086777</v>
      </c>
      <c r="P16" s="36">
        <f>'Scenario C'!P148</f>
        <v>175650.48508086777</v>
      </c>
      <c r="Q16" s="36">
        <f>'Scenario C'!Q148</f>
        <v>175650.48508086777</v>
      </c>
      <c r="R16" s="36">
        <f>'Scenario C'!R148</f>
        <v>175650.48508086777</v>
      </c>
      <c r="S16" s="36">
        <f>'Scenario C'!S148</f>
        <v>175650.48508086777</v>
      </c>
      <c r="T16" s="36">
        <f>'Scenario C'!T148</f>
        <v>175650.48508086777</v>
      </c>
      <c r="U16" s="36">
        <f>'Scenario C'!U148</f>
        <v>175650.48508086777</v>
      </c>
      <c r="V16" s="36">
        <f>'Scenario C'!V148</f>
        <v>175650.48508086777</v>
      </c>
      <c r="W16" s="36">
        <f>'Scenario C'!W148</f>
        <v>175650.48508086777</v>
      </c>
      <c r="X16" s="36">
        <f>'Scenario C'!X148</f>
        <v>175650.48508086777</v>
      </c>
      <c r="Y16" s="36">
        <f>'Scenario C'!Y148</f>
        <v>175650.48508086777</v>
      </c>
      <c r="Z16" s="36">
        <f>'Scenario C'!Z148</f>
        <v>175650.48508086777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6">
        <f>'Scenario D'!O147</f>
        <v>388655.44852087664</v>
      </c>
      <c r="P17" s="36">
        <f>'Scenario D'!P147</f>
        <v>374200.89015905949</v>
      </c>
      <c r="Q17" s="36">
        <f>'Scenario D'!Q147</f>
        <v>439666.15830619051</v>
      </c>
      <c r="R17" s="36">
        <f>'Scenario D'!R147</f>
        <v>480021.89696372685</v>
      </c>
      <c r="S17" s="36">
        <f>'Scenario D'!S147</f>
        <v>531352.55885064323</v>
      </c>
      <c r="T17" s="36">
        <f>'Scenario D'!T147</f>
        <v>609469.3439002533</v>
      </c>
      <c r="U17" s="36">
        <f>'Scenario D'!U147</f>
        <v>687141.04508187715</v>
      </c>
      <c r="V17" s="36">
        <f>'Scenario D'!V147</f>
        <v>729314.23196286592</v>
      </c>
      <c r="W17" s="36">
        <f>'Scenario D'!W147</f>
        <v>774378.52311313257</v>
      </c>
      <c r="X17" s="36">
        <f>'Scenario D'!X147</f>
        <v>822538.72020361014</v>
      </c>
      <c r="Y17" s="36">
        <f>'Scenario D'!Y147</f>
        <v>874014.42538176465</v>
      </c>
      <c r="Z17" s="36">
        <f>'Scenario D'!Z147</f>
        <v>928834.02010461607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6">
        <f>'Scenario D'!O148</f>
        <v>143714.03324798273</v>
      </c>
      <c r="P18" s="36">
        <f>'Scenario D'!P148</f>
        <v>143714.03324798273</v>
      </c>
      <c r="Q18" s="36">
        <f>'Scenario D'!Q148</f>
        <v>143714.03324798273</v>
      </c>
      <c r="R18" s="36">
        <f>'Scenario D'!R148</f>
        <v>143714.03324798273</v>
      </c>
      <c r="S18" s="36">
        <f>'Scenario D'!S148</f>
        <v>143714.03324798273</v>
      </c>
      <c r="T18" s="36">
        <f>'Scenario D'!T148</f>
        <v>143714.03324798273</v>
      </c>
      <c r="U18" s="36">
        <f>'Scenario D'!U148</f>
        <v>143714.03324798273</v>
      </c>
      <c r="V18" s="36">
        <f>'Scenario D'!V148</f>
        <v>143714.03324798273</v>
      </c>
      <c r="W18" s="36">
        <f>'Scenario D'!W148</f>
        <v>143714.03324798273</v>
      </c>
      <c r="X18" s="36">
        <f>'Scenario D'!X148</f>
        <v>143714.03324798273</v>
      </c>
      <c r="Y18" s="36">
        <f>'Scenario D'!Y148</f>
        <v>143714.03324798273</v>
      </c>
      <c r="Z18" s="36">
        <f>'Scenario D'!Z148</f>
        <v>143714.03324798273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 t="s">
        <v>190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3.15" x14ac:dyDescent="0.4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ht="13.15" x14ac:dyDescent="0.4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ht="13.15" x14ac:dyDescent="0.4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ht="13.15" x14ac:dyDescent="0.4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ht="13.15" x14ac:dyDescent="0.4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ht="13.15" x14ac:dyDescent="0.4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ht="13.15" x14ac:dyDescent="0.4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ht="13.15" x14ac:dyDescent="0.4">
      <c r="A50" s="11" t="s">
        <v>149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ht="12.4" x14ac:dyDescent="0.3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2019-10-23T03:53:12Z</dcterms:created>
  <dcterms:modified xsi:type="dcterms:W3CDTF">2020-01-28T06:55:04Z</dcterms:modified>
</cp:coreProperties>
</file>