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Option 1" sheetId="69" r:id="rId4"/>
    <sheet name="Option 2" sheetId="71" r:id="rId5"/>
  </sheets>
  <externalReferences>
    <externalReference r:id="rId6"/>
    <externalReference r:id="rId7"/>
  </externalReferences>
  <definedNames>
    <definedName name="Conv_2021">Assumptions!$B$18</definedName>
    <definedName name="Option1_categories">'Option 1'!$C$49:$C$54</definedName>
    <definedName name="Option1_costs">'Option 1'!$P$49:$T$54</definedName>
    <definedName name="Option2_categories">'Option 2'!$C$49:$C$54</definedName>
    <definedName name="Option2_costs">'Option 2'!$P$49:$T$54</definedName>
    <definedName name="_xlnm.Print_Area" localSheetId="1">Summary!$A$1:$J$32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6" i="74" l="1"/>
  <c r="A35" i="74"/>
  <c r="D24" i="70" l="1"/>
  <c r="P10" i="71"/>
  <c r="P11" i="71"/>
  <c r="P12" i="71"/>
  <c r="P13" i="71"/>
  <c r="P14" i="71"/>
  <c r="P15" i="71"/>
  <c r="P16" i="71"/>
  <c r="P17" i="71"/>
  <c r="P18" i="71"/>
  <c r="P19" i="71"/>
  <c r="P20" i="71"/>
  <c r="P21" i="71"/>
  <c r="P22" i="71"/>
  <c r="P23" i="71"/>
  <c r="P24" i="71"/>
  <c r="P25" i="71"/>
  <c r="P26" i="71"/>
  <c r="P27" i="71"/>
  <c r="P28" i="71"/>
  <c r="P29" i="71"/>
  <c r="P30" i="71"/>
  <c r="P31" i="71"/>
  <c r="P32" i="71"/>
  <c r="P33" i="71"/>
  <c r="P34" i="71"/>
  <c r="J37" i="71"/>
  <c r="P37" i="71" s="1"/>
  <c r="P50" i="71" s="1"/>
  <c r="P38" i="71"/>
  <c r="P41" i="71"/>
  <c r="P42" i="71"/>
  <c r="P43" i="71"/>
  <c r="P44" i="71"/>
  <c r="P52" i="71"/>
  <c r="E14" i="74"/>
  <c r="F14" i="74" s="1"/>
  <c r="G14" i="74" s="1"/>
  <c r="H14" i="74" s="1"/>
  <c r="B16" i="74"/>
  <c r="D25" i="70"/>
  <c r="P53" i="71"/>
  <c r="D26" i="70"/>
  <c r="P51" i="71"/>
  <c r="P54" i="71"/>
  <c r="Q10" i="71"/>
  <c r="Q11" i="71"/>
  <c r="Q12" i="71"/>
  <c r="Q13" i="71"/>
  <c r="Q14" i="71"/>
  <c r="Q15" i="71"/>
  <c r="Q16" i="71"/>
  <c r="Q17" i="71"/>
  <c r="Q18" i="71"/>
  <c r="Q19" i="71"/>
  <c r="Q20" i="71"/>
  <c r="Q21" i="71"/>
  <c r="Q22" i="71"/>
  <c r="Q23" i="71"/>
  <c r="Q24" i="71"/>
  <c r="Q25" i="71"/>
  <c r="Q26" i="71"/>
  <c r="Q27" i="71"/>
  <c r="Q28" i="71"/>
  <c r="Q29" i="71"/>
  <c r="Q30" i="71"/>
  <c r="Q31" i="71"/>
  <c r="Q32" i="71"/>
  <c r="Q33" i="71"/>
  <c r="Q34" i="71"/>
  <c r="K37" i="71"/>
  <c r="Q37" i="71" s="1"/>
  <c r="Q50" i="71" s="1"/>
  <c r="Q38" i="71"/>
  <c r="Q41" i="71"/>
  <c r="Q42" i="71"/>
  <c r="Q43" i="71"/>
  <c r="Q44" i="71"/>
  <c r="Q52" i="71"/>
  <c r="Q53" i="71"/>
  <c r="Q54" i="71"/>
  <c r="R10" i="71"/>
  <c r="R11" i="71"/>
  <c r="R12" i="71"/>
  <c r="R13" i="71"/>
  <c r="R14" i="71"/>
  <c r="R15" i="71"/>
  <c r="R16" i="71"/>
  <c r="R17" i="71"/>
  <c r="R18" i="71"/>
  <c r="R19" i="71"/>
  <c r="R20" i="71"/>
  <c r="R21" i="71"/>
  <c r="R22" i="71"/>
  <c r="R23" i="71"/>
  <c r="R24" i="71"/>
  <c r="R25" i="71"/>
  <c r="R26" i="71"/>
  <c r="R27" i="71"/>
  <c r="R28" i="71"/>
  <c r="R29" i="71"/>
  <c r="R30" i="71"/>
  <c r="R31" i="71"/>
  <c r="R32" i="71"/>
  <c r="R33" i="71"/>
  <c r="R34" i="71"/>
  <c r="L37" i="71"/>
  <c r="R37" i="71" s="1"/>
  <c r="R50" i="71" s="1"/>
  <c r="R38" i="71"/>
  <c r="R41" i="71"/>
  <c r="R42" i="71"/>
  <c r="R43" i="71"/>
  <c r="R44" i="71"/>
  <c r="R52" i="71"/>
  <c r="R53" i="71"/>
  <c r="R54" i="71"/>
  <c r="S10" i="71"/>
  <c r="S11" i="71"/>
  <c r="S12" i="71"/>
  <c r="S13" i="71"/>
  <c r="S14" i="71"/>
  <c r="S15" i="71"/>
  <c r="S16" i="71"/>
  <c r="S17" i="71"/>
  <c r="S18" i="71"/>
  <c r="S19" i="71"/>
  <c r="S20" i="71"/>
  <c r="S21" i="71"/>
  <c r="S22" i="71"/>
  <c r="S23" i="71"/>
  <c r="S24" i="71"/>
  <c r="S25" i="71"/>
  <c r="S26" i="71"/>
  <c r="S27" i="71"/>
  <c r="S28" i="71"/>
  <c r="S29" i="71"/>
  <c r="S30" i="71"/>
  <c r="S31" i="71"/>
  <c r="S32" i="71"/>
  <c r="S33" i="71"/>
  <c r="S34" i="71"/>
  <c r="M37" i="71"/>
  <c r="S37" i="71" s="1"/>
  <c r="S50" i="71" s="1"/>
  <c r="S38" i="71"/>
  <c r="S41" i="71"/>
  <c r="S42" i="71"/>
  <c r="S43" i="71"/>
  <c r="S44" i="71"/>
  <c r="S52" i="71"/>
  <c r="S53" i="71"/>
  <c r="S54" i="71"/>
  <c r="T10" i="71"/>
  <c r="T11" i="71"/>
  <c r="T12" i="71"/>
  <c r="T13" i="71"/>
  <c r="T14" i="71"/>
  <c r="T15" i="71"/>
  <c r="T16" i="71"/>
  <c r="T17" i="71"/>
  <c r="T18" i="71"/>
  <c r="T19" i="71"/>
  <c r="T20" i="71"/>
  <c r="T21" i="71"/>
  <c r="T22" i="71"/>
  <c r="T23" i="71"/>
  <c r="T24" i="71"/>
  <c r="T25" i="71"/>
  <c r="T26" i="71"/>
  <c r="T27" i="71"/>
  <c r="T28" i="71"/>
  <c r="T29" i="71"/>
  <c r="T30" i="71"/>
  <c r="T31" i="71"/>
  <c r="T32" i="71"/>
  <c r="T33" i="71"/>
  <c r="T34" i="71"/>
  <c r="N37" i="71"/>
  <c r="T37" i="71" s="1"/>
  <c r="T50" i="71" s="1"/>
  <c r="T38" i="71"/>
  <c r="T41" i="71"/>
  <c r="T42" i="71"/>
  <c r="T43" i="71"/>
  <c r="T44" i="71"/>
  <c r="T52" i="71"/>
  <c r="T53" i="71"/>
  <c r="T54" i="71"/>
  <c r="D11" i="70"/>
  <c r="P10" i="69"/>
  <c r="P11" i="69"/>
  <c r="P12" i="69"/>
  <c r="P13" i="69"/>
  <c r="P14" i="69"/>
  <c r="P15" i="69"/>
  <c r="P16" i="69"/>
  <c r="P17" i="69"/>
  <c r="P18" i="69"/>
  <c r="P19" i="69"/>
  <c r="P20" i="69"/>
  <c r="P21" i="69"/>
  <c r="P22" i="69"/>
  <c r="P23" i="69"/>
  <c r="P24" i="69"/>
  <c r="P25" i="69"/>
  <c r="P26" i="69"/>
  <c r="P27" i="69"/>
  <c r="P28" i="69"/>
  <c r="P29" i="69"/>
  <c r="P30" i="69"/>
  <c r="P31" i="69"/>
  <c r="P32" i="69"/>
  <c r="P33" i="69"/>
  <c r="P34" i="69"/>
  <c r="J37" i="69"/>
  <c r="P37" i="69" s="1"/>
  <c r="P50" i="69" s="1"/>
  <c r="P38" i="69"/>
  <c r="P41" i="69"/>
  <c r="P42" i="69"/>
  <c r="P43" i="69"/>
  <c r="P44" i="69"/>
  <c r="P52" i="69"/>
  <c r="D12" i="70"/>
  <c r="P53" i="69"/>
  <c r="D13" i="70"/>
  <c r="P54" i="69"/>
  <c r="Q10" i="69"/>
  <c r="Q11" i="69"/>
  <c r="Q12" i="69"/>
  <c r="Q13" i="69"/>
  <c r="Q14" i="69"/>
  <c r="Q15" i="69"/>
  <c r="Q16" i="69"/>
  <c r="Q17" i="69"/>
  <c r="Q18" i="69"/>
  <c r="Q19" i="69"/>
  <c r="Q20" i="69"/>
  <c r="Q21" i="69"/>
  <c r="Q22" i="69"/>
  <c r="Q23" i="69"/>
  <c r="Q24" i="69"/>
  <c r="Q25" i="69"/>
  <c r="Q26" i="69"/>
  <c r="Q27" i="69"/>
  <c r="Q28" i="69"/>
  <c r="Q29" i="69"/>
  <c r="Q30" i="69"/>
  <c r="Q31" i="69"/>
  <c r="Q32" i="69"/>
  <c r="Q33" i="69"/>
  <c r="Q34" i="69"/>
  <c r="K37" i="69"/>
  <c r="Q37" i="69" s="1"/>
  <c r="Q50" i="69" s="1"/>
  <c r="Q38" i="69"/>
  <c r="Q41" i="69"/>
  <c r="Q42" i="69"/>
  <c r="Q43" i="69"/>
  <c r="Q44" i="69"/>
  <c r="Q52" i="69"/>
  <c r="Q53" i="69"/>
  <c r="Q54" i="69"/>
  <c r="R10" i="69"/>
  <c r="R11" i="69"/>
  <c r="R12" i="69"/>
  <c r="R13" i="69"/>
  <c r="R14" i="69"/>
  <c r="R15" i="69"/>
  <c r="R16" i="69"/>
  <c r="R17" i="69"/>
  <c r="R18" i="69"/>
  <c r="R19" i="69"/>
  <c r="R20" i="69"/>
  <c r="R21" i="69"/>
  <c r="R22" i="69"/>
  <c r="R23" i="69"/>
  <c r="R24" i="69"/>
  <c r="R25" i="69"/>
  <c r="R26" i="69"/>
  <c r="R27" i="69"/>
  <c r="R28" i="69"/>
  <c r="R29" i="69"/>
  <c r="R30" i="69"/>
  <c r="R31" i="69"/>
  <c r="R32" i="69"/>
  <c r="R33" i="69"/>
  <c r="R34" i="69"/>
  <c r="L37" i="69"/>
  <c r="R37" i="69" s="1"/>
  <c r="R50" i="69" s="1"/>
  <c r="R38" i="69"/>
  <c r="R41" i="69"/>
  <c r="R42" i="69"/>
  <c r="R43" i="69"/>
  <c r="R44" i="69"/>
  <c r="R52" i="69"/>
  <c r="R53" i="69"/>
  <c r="R54" i="69"/>
  <c r="S10" i="69"/>
  <c r="S11" i="69"/>
  <c r="S12" i="69"/>
  <c r="S13" i="69"/>
  <c r="S14" i="69"/>
  <c r="S15" i="69"/>
  <c r="S16" i="69"/>
  <c r="S17" i="69"/>
  <c r="S18" i="69"/>
  <c r="S19" i="69"/>
  <c r="S20" i="69"/>
  <c r="S21" i="69"/>
  <c r="S22" i="69"/>
  <c r="S23" i="69"/>
  <c r="S24" i="69"/>
  <c r="S25" i="69"/>
  <c r="S26" i="69"/>
  <c r="S27" i="69"/>
  <c r="S28" i="69"/>
  <c r="S29" i="69"/>
  <c r="S30" i="69"/>
  <c r="S31" i="69"/>
  <c r="S32" i="69"/>
  <c r="S33" i="69"/>
  <c r="S34" i="69"/>
  <c r="M37" i="69"/>
  <c r="S37" i="69" s="1"/>
  <c r="S50" i="69" s="1"/>
  <c r="S38" i="69"/>
  <c r="S41" i="69"/>
  <c r="S42" i="69"/>
  <c r="S43" i="69"/>
  <c r="S44" i="69"/>
  <c r="S52" i="69"/>
  <c r="S53" i="69"/>
  <c r="S54" i="69"/>
  <c r="T10" i="69"/>
  <c r="T11" i="69"/>
  <c r="T12" i="69"/>
  <c r="T13" i="69"/>
  <c r="T14" i="69"/>
  <c r="T15" i="69"/>
  <c r="T16" i="69"/>
  <c r="T17" i="69"/>
  <c r="T18" i="69"/>
  <c r="T19" i="69"/>
  <c r="T20" i="69"/>
  <c r="T21" i="69"/>
  <c r="T22" i="69"/>
  <c r="T23" i="69"/>
  <c r="T24" i="69"/>
  <c r="T25" i="69"/>
  <c r="T26" i="69"/>
  <c r="T27" i="69"/>
  <c r="T28" i="69"/>
  <c r="T29" i="69"/>
  <c r="T30" i="69"/>
  <c r="T31" i="69"/>
  <c r="T32" i="69"/>
  <c r="T33" i="69"/>
  <c r="T34" i="69"/>
  <c r="N37" i="69"/>
  <c r="T37" i="69" s="1"/>
  <c r="T50" i="69" s="1"/>
  <c r="T38" i="69"/>
  <c r="T41" i="69"/>
  <c r="T42" i="69"/>
  <c r="T43" i="69"/>
  <c r="T44" i="69"/>
  <c r="T52" i="69"/>
  <c r="T53" i="69"/>
  <c r="T54" i="69"/>
  <c r="P45" i="69"/>
  <c r="Q45" i="69"/>
  <c r="R45" i="69"/>
  <c r="S45" i="69"/>
  <c r="T45" i="69"/>
  <c r="P45" i="71"/>
  <c r="Q45" i="71"/>
  <c r="R45" i="71"/>
  <c r="S45" i="71"/>
  <c r="T45" i="71"/>
  <c r="A24" i="74"/>
  <c r="A23" i="74"/>
  <c r="A5" i="71"/>
  <c r="A5" i="69"/>
  <c r="C59" i="69"/>
  <c r="C59" i="71"/>
  <c r="G10" i="72"/>
  <c r="H10" i="72" s="1"/>
  <c r="J10" i="72"/>
  <c r="K10" i="72" s="1"/>
  <c r="M10" i="72"/>
  <c r="N10" i="72" s="1"/>
  <c r="P10" i="72"/>
  <c r="Q10" i="72" s="1"/>
  <c r="S10" i="72"/>
  <c r="T10" i="72" s="1"/>
  <c r="V10" i="72"/>
  <c r="W10" i="72"/>
  <c r="X10" i="72"/>
  <c r="Y10" i="72"/>
  <c r="Z10" i="72"/>
  <c r="G23" i="70"/>
  <c r="H23" i="70"/>
  <c r="I23" i="70"/>
  <c r="J23" i="70"/>
  <c r="F23" i="70"/>
  <c r="C56" i="71"/>
  <c r="C55" i="71"/>
  <c r="C56" i="69"/>
  <c r="C55" i="69"/>
  <c r="A2" i="71"/>
  <c r="A1" i="71"/>
  <c r="A2" i="69"/>
  <c r="A1" i="69"/>
  <c r="A2" i="72"/>
  <c r="A1" i="72"/>
  <c r="A2" i="70"/>
  <c r="A1" i="70"/>
  <c r="D5" i="72"/>
  <c r="A31" i="71"/>
  <c r="A10" i="71"/>
  <c r="A32" i="71"/>
  <c r="A33" i="71"/>
  <c r="A34" i="71"/>
  <c r="A35" i="71"/>
  <c r="A37" i="71"/>
  <c r="A38" i="71"/>
  <c r="A41" i="71"/>
  <c r="Q49" i="69" l="1"/>
  <c r="P51" i="69"/>
  <c r="S51" i="71"/>
  <c r="Q51" i="69"/>
  <c r="S51" i="69"/>
  <c r="S49" i="69"/>
  <c r="R51" i="69"/>
  <c r="P49" i="69"/>
  <c r="R49" i="69"/>
  <c r="Q55" i="69"/>
  <c r="Q57" i="69" s="1"/>
  <c r="Q49" i="71"/>
  <c r="P49" i="71"/>
  <c r="P55" i="69"/>
  <c r="P57" i="69" s="1"/>
  <c r="T49" i="71"/>
  <c r="Q51" i="71"/>
  <c r="T51" i="69"/>
  <c r="T49" i="69"/>
  <c r="T55" i="69" s="1"/>
  <c r="T57" i="69" s="1"/>
  <c r="T51" i="71"/>
  <c r="S49" i="71"/>
  <c r="S55" i="71" s="1"/>
  <c r="S57" i="71" s="1"/>
  <c r="R49" i="71"/>
  <c r="R51" i="71"/>
  <c r="R55" i="71" s="1"/>
  <c r="R57" i="71" s="1"/>
  <c r="P55" i="71"/>
  <c r="P57" i="71" s="1"/>
  <c r="T55" i="71"/>
  <c r="T57" i="71" s="1"/>
  <c r="I14" i="74"/>
  <c r="J14" i="74" s="1"/>
  <c r="B18" i="74" s="1"/>
  <c r="H25" i="70"/>
  <c r="F13" i="70"/>
  <c r="G13" i="70"/>
  <c r="Q55" i="71" l="1"/>
  <c r="Q57" i="71" s="1"/>
  <c r="R55" i="69"/>
  <c r="R57" i="69" s="1"/>
  <c r="S55" i="69"/>
  <c r="S57" i="69" s="1"/>
  <c r="V57" i="69" s="1"/>
  <c r="V3" i="69" s="1"/>
  <c r="V57" i="71"/>
  <c r="V3" i="71" s="1"/>
  <c r="H12" i="72"/>
  <c r="K12" i="72"/>
  <c r="S56" i="71"/>
  <c r="T56" i="69"/>
  <c r="R56" i="69"/>
  <c r="T56" i="71"/>
  <c r="P56" i="71"/>
  <c r="S56" i="69"/>
  <c r="P56" i="69"/>
  <c r="Q56" i="69"/>
  <c r="Q56" i="71"/>
  <c r="R56" i="71"/>
  <c r="G11" i="70"/>
  <c r="F25" i="70"/>
  <c r="J12" i="70"/>
  <c r="F24" i="70"/>
  <c r="G12" i="70"/>
  <c r="J25" i="70"/>
  <c r="F11" i="70"/>
  <c r="J24" i="70"/>
  <c r="I13" i="70"/>
  <c r="J26" i="70"/>
  <c r="H12" i="70"/>
  <c r="H24" i="70"/>
  <c r="H26" i="70"/>
  <c r="I26" i="70"/>
  <c r="G25" i="70"/>
  <c r="J11" i="70"/>
  <c r="F26" i="70"/>
  <c r="J13" i="70"/>
  <c r="G24" i="70"/>
  <c r="H13" i="70"/>
  <c r="I12" i="70"/>
  <c r="H11" i="70"/>
  <c r="I11" i="70"/>
  <c r="I24" i="70"/>
  <c r="F12" i="70"/>
  <c r="G26" i="70"/>
  <c r="I25" i="70"/>
  <c r="D6" i="72" l="1"/>
  <c r="D7" i="70" s="1"/>
  <c r="J12" i="72"/>
  <c r="R12" i="72"/>
  <c r="M12" i="72"/>
  <c r="P12" i="72"/>
  <c r="F27" i="70"/>
  <c r="J14" i="70"/>
  <c r="S12" i="72"/>
  <c r="G12" i="72"/>
  <c r="F14" i="70"/>
  <c r="F12" i="72"/>
  <c r="H27" i="70"/>
  <c r="N12" i="72"/>
  <c r="J27" i="70"/>
  <c r="I27" i="70"/>
  <c r="Q12" i="72"/>
  <c r="H14" i="70"/>
  <c r="L12" i="72"/>
  <c r="I12" i="72"/>
  <c r="G14" i="70"/>
  <c r="O12" i="72"/>
  <c r="I14" i="70"/>
  <c r="T12" i="72"/>
  <c r="G27" i="70"/>
  <c r="D59" i="69"/>
  <c r="D59" i="71"/>
  <c r="W12" i="72" l="1"/>
  <c r="Z12" i="72"/>
  <c r="V12" i="72"/>
  <c r="Y12" i="72"/>
  <c r="X12" i="72"/>
  <c r="AB12" i="72" l="1"/>
  <c r="E30" i="74" l="1"/>
  <c r="E31" i="74"/>
  <c r="E36" i="74" s="1"/>
  <c r="F31" i="74" l="1"/>
  <c r="F36" i="74" s="1"/>
  <c r="F30" i="74"/>
  <c r="E33" i="74"/>
  <c r="E34" i="74" s="1"/>
  <c r="E35" i="74"/>
  <c r="F29" i="70" l="1"/>
  <c r="F16" i="70"/>
  <c r="F33" i="74"/>
  <c r="F34" i="74" s="1"/>
  <c r="F35" i="74"/>
  <c r="G30" i="74"/>
  <c r="G31" i="74"/>
  <c r="G36" i="74" s="1"/>
  <c r="I31" i="74" l="1"/>
  <c r="I36" i="74" s="1"/>
  <c r="I30" i="74"/>
  <c r="G16" i="70"/>
  <c r="G29" i="70"/>
  <c r="G33" i="74"/>
  <c r="G34" i="74" s="1"/>
  <c r="G35" i="74"/>
  <c r="H16" i="70" l="1"/>
  <c r="H29" i="70"/>
  <c r="I33" i="74"/>
  <c r="I34" i="74" s="1"/>
  <c r="I35" i="74"/>
  <c r="H31" i="74"/>
  <c r="H36" i="74" s="1"/>
  <c r="H30" i="74"/>
  <c r="H33" i="74" l="1"/>
  <c r="H34" i="74" s="1"/>
  <c r="H35" i="74"/>
  <c r="J16" i="70"/>
  <c r="J29" i="70"/>
  <c r="I29" i="70" l="1"/>
  <c r="I16" i="70"/>
  <c r="E38" i="74" l="1"/>
  <c r="F38" i="74" l="1"/>
  <c r="G17" i="70" s="1"/>
  <c r="G19" i="70" s="1"/>
  <c r="F17" i="70"/>
  <c r="F19" i="70" s="1"/>
  <c r="F30" i="70"/>
  <c r="F32" i="70" s="1"/>
  <c r="G30" i="70" l="1"/>
  <c r="G32" i="70" s="1"/>
  <c r="G38" i="74" l="1"/>
  <c r="H38" i="74" l="1"/>
  <c r="H17" i="70"/>
  <c r="H19" i="70" s="1"/>
  <c r="H30" i="70"/>
  <c r="H32" i="70" s="1"/>
  <c r="I38" i="74" l="1"/>
  <c r="I17" i="70"/>
  <c r="I19" i="70" s="1"/>
  <c r="I30" i="70"/>
  <c r="I32" i="70" s="1"/>
  <c r="J17" i="70" l="1"/>
  <c r="J19" i="70" s="1"/>
  <c r="F21" i="70" s="1"/>
  <c r="J30" i="70"/>
  <c r="J32" i="70" s="1"/>
  <c r="F34" i="70" s="1"/>
</calcChain>
</file>

<file path=xl/sharedStrings.xml><?xml version="1.0" encoding="utf-8"?>
<sst xmlns="http://schemas.openxmlformats.org/spreadsheetml/2006/main" count="406" uniqueCount="97">
  <si>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</si>
  <si>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</si>
  <si>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</si>
  <si>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</si>
  <si>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</si>
  <si>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</si>
  <si>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</si>
  <si>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</si>
  <si>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</si>
  <si>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</si>
  <si>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</si>
  <si>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</si>
  <si>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</si>
  <si>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</si>
  <si>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</si>
  <si>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</si>
  <si>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</si>
  <si>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</si>
  <si>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</si>
  <si>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</si>
  <si>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</si>
  <si>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</si>
  <si>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</si>
  <si>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</si>
  <si>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</si>
  <si>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</si>
  <si>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</si>
  <si>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</si>
  <si>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</si>
  <si>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</si>
  <si>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</si>
  <si>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</si>
  <si>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</si>
  <si>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</si>
  <si>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</si>
  <si>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</si>
  <si>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</si>
  <si>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</si>
  <si>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</si>
  <si>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</si>
  <si>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</si>
  <si>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</si>
  <si>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</si>
  <si>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</si>
  <si>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</si>
  <si>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</si>
  <si>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</si>
  <si>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</si>
  <si>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</si>
  <si>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</si>
  <si>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Options</t>
  </si>
  <si>
    <t>5 minute settlement</t>
  </si>
  <si>
    <t>Build - IEE changes</t>
  </si>
  <si>
    <t>Hardware</t>
  </si>
  <si>
    <t>Build - Automation</t>
  </si>
  <si>
    <t>Build - Scaling</t>
  </si>
  <si>
    <t>Scoping - Program support</t>
  </si>
  <si>
    <t>Scoping - Automation</t>
  </si>
  <si>
    <t>Scoping - IEE changes</t>
  </si>
  <si>
    <t>Scoping - Changes to eConnect</t>
  </si>
  <si>
    <t>Scoping - Performance Testing &amp; Scaling</t>
  </si>
  <si>
    <t>Scoping - Meter Conversion</t>
  </si>
  <si>
    <t>Scoping - Scaling</t>
  </si>
  <si>
    <t>Design - Management Overhead</t>
  </si>
  <si>
    <t>Design - Program Support</t>
  </si>
  <si>
    <t>Build - Program Support</t>
  </si>
  <si>
    <t>Build - UIQ Upgrade</t>
  </si>
  <si>
    <t>Build - SIQ Upgrade</t>
  </si>
  <si>
    <t>Build - Changes to eConnect</t>
  </si>
  <si>
    <t>Build - Performance Testing &amp; Scaling</t>
  </si>
  <si>
    <t>Build - Meter Conversion</t>
  </si>
  <si>
    <t>Test - Automation</t>
  </si>
  <si>
    <t>Test - UIQ Upgrade</t>
  </si>
  <si>
    <t>Test - SIQ Upgrade</t>
  </si>
  <si>
    <t>Test - IEE Changes</t>
  </si>
  <si>
    <t>Test - Changes to eConnect</t>
  </si>
  <si>
    <t>Test - Performance Testing &amp; Scaling</t>
  </si>
  <si>
    <t>Test - 30 Min Meter Audit</t>
  </si>
  <si>
    <t>Test - Scaling</t>
  </si>
  <si>
    <t>Management - Management Overhead</t>
  </si>
  <si>
    <t>AMI comms</t>
  </si>
  <si>
    <t>Opex step changes</t>
  </si>
  <si>
    <t>Total IT Capex ($, 2020/21)</t>
  </si>
  <si>
    <t>5 Minute Settlement - AMI comms devices expenditure - Powercor</t>
  </si>
  <si>
    <t>5 Minute Settlement - AMI comms devices expenditure - Citipower</t>
  </si>
  <si>
    <t>Total AMI Comms Capex ($ 2019)</t>
  </si>
  <si>
    <t>Other costs</t>
  </si>
  <si>
    <t>Total AMI Comms Capex ($ 2020/21)</t>
  </si>
  <si>
    <t>AMI Comms capex</t>
  </si>
  <si>
    <t>Opex Step Change</t>
  </si>
  <si>
    <t>NPV</t>
  </si>
  <si>
    <t>Dollars</t>
  </si>
  <si>
    <t>CPI</t>
  </si>
  <si>
    <t>Annual CPI - 12 months unlagged</t>
  </si>
  <si>
    <t>Opex Step change ($ 2021)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</si>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</sst>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#,##0;[Red]\(#,##0\);\-\-"/>
    <numFmt numFmtId="175" formatCode="_-* #,##0_-;\-* #,##0_-;_-* &quot;-&quot;??_-;_-@_-"/>
    <numFmt numFmtId="176" formatCode="&quot;$&quot;#,##0.0;[Red]\-&quot;$&quot;#,##0.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rgb="FF0033CC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i/>
      <sz val="8"/>
      <color theme="2" tint="-9.9948118533890809E-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8" fillId="3" borderId="0" xfId="0" applyFont="1" applyFill="1"/>
    <xf numFmtId="0" fontId="19" fillId="3" borderId="0" xfId="0" applyFont="1" applyFill="1"/>
    <xf numFmtId="0" fontId="20" fillId="3" borderId="0" xfId="0" applyFont="1" applyFill="1"/>
    <xf numFmtId="0" fontId="20" fillId="3" borderId="0" xfId="0" applyFont="1" applyFill="1" applyAlignment="1">
      <alignment horizontal="center"/>
    </xf>
    <xf numFmtId="0" fontId="21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2" fillId="3" borderId="0" xfId="0" applyFont="1" applyFill="1"/>
    <xf numFmtId="0" fontId="22" fillId="3" borderId="0" xfId="0" applyFont="1" applyFill="1" applyAlignment="1">
      <alignment horizontal="center"/>
    </xf>
    <xf numFmtId="0" fontId="23" fillId="0" borderId="0" xfId="0" applyFont="1"/>
    <xf numFmtId="0" fontId="24" fillId="3" borderId="0" xfId="0" applyFont="1" applyFill="1"/>
    <xf numFmtId="0" fontId="24" fillId="3" borderId="0" xfId="0" applyFont="1" applyFill="1" applyAlignment="1">
      <alignment horizontal="center"/>
    </xf>
    <xf numFmtId="0" fontId="25" fillId="0" borderId="0" xfId="0" applyFont="1"/>
    <xf numFmtId="0" fontId="26" fillId="6" borderId="0" xfId="14" applyFont="1" applyFill="1" applyAlignment="1" applyProtection="1"/>
    <xf numFmtId="0" fontId="26" fillId="6" borderId="0" xfId="14" applyFont="1" applyFill="1" applyProtection="1"/>
    <xf numFmtId="0" fontId="26" fillId="6" borderId="0" xfId="14" applyFont="1" applyFill="1" applyAlignment="1" applyProtection="1">
      <alignment textRotation="2"/>
    </xf>
    <xf numFmtId="0" fontId="26" fillId="6" borderId="0" xfId="14" applyFont="1" applyFill="1" applyBorder="1" applyAlignment="1" applyProtection="1">
      <alignment textRotation="2"/>
    </xf>
    <xf numFmtId="0" fontId="27" fillId="7" borderId="0" xfId="14" applyFont="1" applyFill="1" applyAlignment="1" applyProtection="1"/>
    <xf numFmtId="0" fontId="28" fillId="6" borderId="0" xfId="14" applyFont="1" applyFill="1" applyAlignment="1" applyProtection="1"/>
    <xf numFmtId="0" fontId="28" fillId="6" borderId="0" xfId="14" applyFont="1" applyFill="1" applyProtection="1"/>
    <xf numFmtId="0" fontId="28" fillId="5" borderId="0" xfId="14" applyFont="1" applyFill="1" applyAlignment="1" applyProtection="1"/>
    <xf numFmtId="0" fontId="29" fillId="6" borderId="0" xfId="14" applyFont="1" applyFill="1" applyAlignment="1" applyProtection="1">
      <alignment textRotation="2"/>
    </xf>
    <xf numFmtId="0" fontId="29" fillId="6" borderId="0" xfId="14" applyFont="1" applyFill="1" applyProtection="1"/>
    <xf numFmtId="0" fontId="29" fillId="6" borderId="0" xfId="14" applyFont="1" applyFill="1" applyBorder="1" applyAlignment="1" applyProtection="1">
      <alignment textRotation="2"/>
    </xf>
    <xf numFmtId="0" fontId="29" fillId="6" borderId="0" xfId="14" applyFont="1" applyFill="1" applyAlignment="1" applyProtection="1"/>
    <xf numFmtId="0" fontId="30" fillId="6" borderId="0" xfId="14" applyFont="1" applyFill="1" applyAlignment="1" applyProtection="1"/>
    <xf numFmtId="0" fontId="31" fillId="7" borderId="0" xfId="14" applyFont="1" applyFill="1" applyBorder="1" applyProtection="1"/>
    <xf numFmtId="0" fontId="28" fillId="7" borderId="0" xfId="14" applyFont="1" applyFill="1" applyBorder="1" applyProtection="1"/>
    <xf numFmtId="0" fontId="31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8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1" fillId="6" borderId="0" xfId="14" applyFont="1" applyFill="1" applyAlignment="1" applyProtection="1">
      <alignment horizontal="center"/>
    </xf>
    <xf numFmtId="0" fontId="31" fillId="7" borderId="0" xfId="14" applyFont="1" applyFill="1" applyBorder="1"/>
    <xf numFmtId="3" fontId="31" fillId="7" borderId="0" xfId="14" applyNumberFormat="1" applyFont="1" applyFill="1" applyBorder="1"/>
    <xf numFmtId="169" fontId="12" fillId="0" borderId="0" xfId="0" applyNumberFormat="1" applyFont="1" applyFill="1"/>
    <xf numFmtId="0" fontId="23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2" fillId="0" borderId="0" xfId="0" applyFont="1" applyBorder="1"/>
    <xf numFmtId="0" fontId="32" fillId="0" borderId="0" xfId="0" applyFont="1" applyBorder="1" applyAlignment="1">
      <alignment horizontal="right"/>
    </xf>
    <xf numFmtId="0" fontId="0" fillId="0" borderId="0" xfId="0" applyFont="1"/>
    <xf numFmtId="0" fontId="33" fillId="0" borderId="0" xfId="0" applyFont="1"/>
    <xf numFmtId="0" fontId="34" fillId="0" borderId="0" xfId="0" applyFont="1"/>
    <xf numFmtId="172" fontId="0" fillId="0" borderId="0" xfId="0" applyNumberFormat="1" applyFont="1"/>
    <xf numFmtId="10" fontId="34" fillId="0" borderId="0" xfId="26" applyNumberFormat="1" applyFont="1"/>
    <xf numFmtId="171" fontId="35" fillId="0" borderId="0" xfId="0" applyNumberFormat="1" applyFont="1"/>
    <xf numFmtId="0" fontId="35" fillId="0" borderId="0" xfId="0" applyFont="1"/>
    <xf numFmtId="171" fontId="36" fillId="0" borderId="0" xfId="0" applyNumberFormat="1" applyFont="1"/>
    <xf numFmtId="0" fontId="36" fillId="0" borderId="0" xfId="0" applyFont="1"/>
    <xf numFmtId="173" fontId="12" fillId="0" borderId="0" xfId="0" applyNumberFormat="1" applyFont="1"/>
    <xf numFmtId="0" fontId="37" fillId="0" borderId="0" xfId="13" applyFont="1" applyFill="1" applyAlignment="1">
      <alignment horizontal="left" vertical="center"/>
    </xf>
    <xf numFmtId="1" fontId="38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0" fillId="9" borderId="0" xfId="0" applyFont="1" applyFill="1"/>
    <xf numFmtId="169" fontId="41" fillId="9" borderId="0" xfId="0" applyNumberFormat="1" applyFont="1" applyFill="1"/>
    <xf numFmtId="0" fontId="0" fillId="0" borderId="2" xfId="0" applyBorder="1"/>
    <xf numFmtId="1" fontId="42" fillId="2" borderId="1" xfId="26" applyNumberFormat="1" applyFont="1" applyFill="1" applyBorder="1" applyAlignment="1">
      <alignment horizontal="right"/>
    </xf>
    <xf numFmtId="10" fontId="42" fillId="2" borderId="0" xfId="26" applyNumberFormat="1" applyFont="1" applyFill="1"/>
    <xf numFmtId="1" fontId="42" fillId="2" borderId="0" xfId="26" applyNumberFormat="1" applyFont="1" applyFill="1"/>
    <xf numFmtId="1" fontId="42" fillId="2" borderId="0" xfId="26" applyNumberFormat="1" applyFont="1" applyFill="1" applyAlignment="1">
      <alignment horizontal="right"/>
    </xf>
    <xf numFmtId="0" fontId="44" fillId="2" borderId="7" xfId="0" applyFont="1" applyFill="1" applyBorder="1" applyAlignment="1">
      <alignment vertical="center"/>
    </xf>
    <xf numFmtId="0" fontId="44" fillId="2" borderId="5" xfId="0" applyFont="1" applyFill="1" applyBorder="1" applyAlignment="1">
      <alignment vertical="center"/>
    </xf>
    <xf numFmtId="0" fontId="44" fillId="2" borderId="8" xfId="0" applyFont="1" applyFill="1" applyBorder="1" applyAlignment="1">
      <alignment vertical="center"/>
    </xf>
    <xf numFmtId="168" fontId="44" fillId="2" borderId="1" xfId="0" applyNumberFormat="1" applyFont="1" applyFill="1" applyBorder="1" applyAlignment="1">
      <alignment horizontal="right" vertical="top"/>
    </xf>
    <xf numFmtId="170" fontId="44" fillId="2" borderId="1" xfId="0" applyNumberFormat="1" applyFont="1" applyFill="1" applyBorder="1" applyAlignment="1">
      <alignment horizontal="right" vertical="top"/>
    </xf>
    <xf numFmtId="170" fontId="44" fillId="2" borderId="1" xfId="0" applyNumberFormat="1" applyFont="1" applyFill="1" applyBorder="1"/>
    <xf numFmtId="1" fontId="44" fillId="2" borderId="1" xfId="0" applyNumberFormat="1" applyFont="1" applyFill="1" applyBorder="1"/>
    <xf numFmtId="166" fontId="44" fillId="2" borderId="1" xfId="0" applyNumberFormat="1" applyFont="1" applyFill="1" applyBorder="1"/>
    <xf numFmtId="0" fontId="44" fillId="2" borderId="7" xfId="0" applyFont="1" applyFill="1" applyBorder="1"/>
    <xf numFmtId="172" fontId="12" fillId="0" borderId="0" xfId="0" applyNumberFormat="1" applyFont="1"/>
    <xf numFmtId="169" fontId="39" fillId="6" borderId="0" xfId="0" applyNumberFormat="1" applyFont="1" applyFill="1" applyAlignment="1">
      <alignment horizontal="left"/>
    </xf>
    <xf numFmtId="0" fontId="45" fillId="6" borderId="0" xfId="14" applyFont="1" applyFill="1" applyAlignment="1" applyProtection="1"/>
    <xf numFmtId="0" fontId="46" fillId="0" borderId="0" xfId="0" applyFont="1"/>
    <xf numFmtId="0" fontId="47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44" fillId="2" borderId="1" xfId="0" applyNumberFormat="1" applyFont="1" applyFill="1" applyBorder="1" applyAlignment="1">
      <alignment horizontal="right" vertical="top"/>
    </xf>
    <xf numFmtId="174" fontId="48" fillId="2" borderId="1" xfId="0" applyNumberFormat="1" applyFont="1" applyFill="1" applyBorder="1"/>
    <xf numFmtId="175" fontId="0" fillId="0" borderId="0" xfId="27" applyNumberFormat="1" applyFont="1"/>
    <xf numFmtId="6" fontId="0" fillId="0" borderId="0" xfId="0" applyNumberFormat="1"/>
    <xf numFmtId="175" fontId="12" fillId="0" borderId="0" xfId="0" applyNumberFormat="1" applyFont="1"/>
    <xf numFmtId="43" fontId="12" fillId="0" borderId="0" xfId="0" applyNumberFormat="1" applyFont="1"/>
    <xf numFmtId="0" fontId="40" fillId="0" borderId="0" xfId="0" applyFont="1"/>
    <xf numFmtId="0" fontId="49" fillId="0" borderId="0" xfId="0" applyFont="1"/>
    <xf numFmtId="0" fontId="50" fillId="0" borderId="2" xfId="0" applyFont="1" applyBorder="1"/>
    <xf numFmtId="0" fontId="50" fillId="0" borderId="0" xfId="0" applyFont="1" applyBorder="1"/>
    <xf numFmtId="0" fontId="50" fillId="0" borderId="3" xfId="0" applyFont="1" applyBorder="1"/>
    <xf numFmtId="0" fontId="44" fillId="0" borderId="7" xfId="0" applyFont="1" applyFill="1" applyBorder="1" applyAlignment="1">
      <alignment vertical="center"/>
    </xf>
    <xf numFmtId="0" fontId="44" fillId="0" borderId="5" xfId="0" applyFont="1" applyFill="1" applyBorder="1" applyAlignment="1">
      <alignment vertical="center"/>
    </xf>
    <xf numFmtId="170" fontId="44" fillId="0" borderId="1" xfId="0" applyNumberFormat="1" applyFont="1" applyFill="1" applyBorder="1"/>
    <xf numFmtId="0" fontId="13" fillId="0" borderId="0" xfId="0" applyFont="1" applyFill="1" applyBorder="1" applyAlignment="1">
      <alignment horizontal="center"/>
    </xf>
    <xf numFmtId="0" fontId="12" fillId="0" borderId="4" xfId="0" applyFont="1" applyBorder="1"/>
    <xf numFmtId="167" fontId="12" fillId="0" borderId="4" xfId="0" applyNumberFormat="1" applyFont="1" applyFill="1" applyBorder="1" applyAlignment="1">
      <alignment horizontal="right" vertical="top"/>
    </xf>
    <xf numFmtId="167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5" fillId="0" borderId="2" xfId="0" applyFont="1" applyBorder="1" applyAlignment="1">
      <alignment horizontal="left"/>
    </xf>
    <xf numFmtId="0" fontId="35" fillId="0" borderId="2" xfId="0" applyFont="1" applyBorder="1" applyAlignment="1">
      <alignment horizontal="right"/>
    </xf>
    <xf numFmtId="0" fontId="0" fillId="0" borderId="0" xfId="0" applyBorder="1"/>
    <xf numFmtId="0" fontId="36" fillId="0" borderId="0" xfId="0" applyFont="1" applyBorder="1" applyAlignment="1">
      <alignment horizontal="right"/>
    </xf>
    <xf numFmtId="0" fontId="43" fillId="0" borderId="0" xfId="0" applyFont="1" applyBorder="1" applyAlignment="1">
      <alignment horizontal="right"/>
    </xf>
    <xf numFmtId="43" fontId="23" fillId="0" borderId="0" xfId="27" applyFont="1"/>
    <xf numFmtId="176" fontId="0" fillId="0" borderId="0" xfId="0" applyNumberFormat="1"/>
    <xf numFmtId="0" fontId="0" fillId="11" borderId="4" xfId="0" applyFill="1" applyBorder="1"/>
    <xf numFmtId="167" fontId="13" fillId="11" borderId="4" xfId="0" applyNumberFormat="1" applyFont="1" applyFill="1" applyBorder="1" applyAlignment="1">
      <alignment horizontal="right" vertical="top"/>
    </xf>
    <xf numFmtId="0" fontId="0" fillId="11" borderId="3" xfId="0" applyFill="1" applyBorder="1"/>
    <xf numFmtId="167" fontId="13" fillId="11" borderId="3" xfId="0" applyNumberFormat="1" applyFont="1" applyFill="1" applyBorder="1" applyAlignment="1">
      <alignment horizontal="right" vertical="top"/>
    </xf>
  </cellXfs>
  <cellStyles count="28">
    <cellStyle name="Comma" xfId="27" builtinId="3"/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6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FFFFCC"/>
      <color rgb="FFFF00FF"/>
      <color rgb="FFFFCCFF"/>
      <color rgb="FFEBF2F9"/>
      <color rgb="FFE5EEF7"/>
      <color rgb="FFD6E5F2"/>
      <color rgb="FF0000FF"/>
      <color rgb="FFFF6600"/>
      <color rgb="FF0033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L%20MOD%206.03%20-%20AMI%20comms%20-%20Jan2020%20-%20Publi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2%20Final%20Regulatory%20Proposal/2%20Powercor/5%20Models/02%20Public/01%20SCS/Opex/PAL%20MOD%209.01%20-%20Step%20changes%20-%20Jan2020%20-%20Pub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cor"/>
    </sheetNames>
    <sheetDataSet>
      <sheetData sheetId="0">
        <row r="3">
          <cell r="Q3" t="str">
            <v>CY2019</v>
          </cell>
        </row>
        <row r="158">
          <cell r="T158">
            <v>2479808.5883678137</v>
          </cell>
          <cell r="U158">
            <v>2544551.0480263475</v>
          </cell>
          <cell r="V158">
            <v>2324551.3057233538</v>
          </cell>
          <cell r="W158">
            <v>2480950.5123032522</v>
          </cell>
          <cell r="X158">
            <v>2596180.1665185848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"/>
      <sheetName val="Summary"/>
      <sheetName val="Assumptions"/>
      <sheetName val="5 minute settlement"/>
      <sheetName val="Security of critical infra."/>
      <sheetName val="Replacing EDO fuses"/>
      <sheetName val="Solar enablement"/>
      <sheetName val="REFCL opex"/>
      <sheetName val="HBRA reclassification"/>
      <sheetName val="IT cloud solutions"/>
      <sheetName val="EPA regulations change"/>
      <sheetName val="Increasing insurance premiums"/>
      <sheetName val="ESV levy"/>
      <sheetName val="Financial year RIN"/>
      <sheetName val="RIN"/>
    </sheetNames>
    <sheetDataSet>
      <sheetData sheetId="0"/>
      <sheetData sheetId="1">
        <row r="7">
          <cell r="M7">
            <v>557.80042690542814</v>
          </cell>
          <cell r="N7">
            <v>761.24334790433159</v>
          </cell>
          <cell r="O7">
            <v>971.2167668680587</v>
          </cell>
          <cell r="P7">
            <v>1201.0254982439833</v>
          </cell>
          <cell r="Q7">
            <v>1450.3879618709564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4"/>
  <sheetViews>
    <sheetView showGridLines="0" tabSelected="1" zoomScale="80" zoomScaleNormal="80" workbookViewId="0">
      <selection activeCell="H20" sqref="H20"/>
    </sheetView>
  </sheetViews>
  <sheetFormatPr defaultColWidth="9.28515625" defaultRowHeight="18.75" x14ac:dyDescent="0.3"/>
  <cols>
    <col min="1" max="1" width="4.28515625" style="47" customWidth="1"/>
    <col min="2" max="2" width="7.7109375" style="47" customWidth="1"/>
    <col min="3" max="3" width="15.28515625" style="47" customWidth="1"/>
    <col min="4" max="4" width="17.7109375" style="47" customWidth="1"/>
    <col min="5" max="9" width="10.7109375" style="47" customWidth="1"/>
    <col min="10" max="10" width="10.7109375" style="79" customWidth="1"/>
    <col min="11" max="20" width="10.7109375" style="47" customWidth="1"/>
    <col min="21" max="21" width="4" style="47" customWidth="1"/>
    <col min="22" max="26" width="10.7109375" style="47" customWidth="1"/>
    <col min="27" max="27" width="3.28515625" style="47" customWidth="1"/>
    <col min="28" max="28" width="12.7109375" style="47" bestFit="1" customWidth="1"/>
    <col min="29" max="29" width="9.28515625" style="47"/>
    <col min="30" max="30" width="14.7109375" style="47" bestFit="1" customWidth="1"/>
    <col min="31" max="16384" width="9.28515625" style="47"/>
  </cols>
  <sheetData>
    <row r="1" spans="1:30" ht="21" x14ac:dyDescent="0.35">
      <c r="A1" s="18" t="str">
        <f>Assumptions!A1</f>
        <v>5 minute settlement</v>
      </c>
      <c r="B1" s="45"/>
      <c r="C1" s="45"/>
      <c r="D1" s="45"/>
      <c r="E1" s="45"/>
      <c r="F1" s="45"/>
      <c r="G1" s="45"/>
      <c r="H1" s="45"/>
      <c r="I1" s="45"/>
      <c r="J1" s="46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30" x14ac:dyDescent="0.3">
      <c r="A2" s="17" t="str">
        <f>Assumptions!A2</f>
        <v>VPN</v>
      </c>
      <c r="B2" s="45"/>
      <c r="C2" s="45"/>
      <c r="D2" s="45"/>
      <c r="E2" s="45"/>
      <c r="F2" s="45"/>
      <c r="G2" s="45"/>
      <c r="H2" s="45"/>
      <c r="I2" s="45"/>
      <c r="J2" s="4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30" s="50" customFormat="1" x14ac:dyDescent="0.3">
      <c r="A3" s="36" t="s">
        <v>46</v>
      </c>
      <c r="B3" s="48"/>
      <c r="C3" s="48"/>
      <c r="D3" s="48"/>
      <c r="E3" s="48"/>
      <c r="F3" s="48"/>
      <c r="G3" s="48"/>
      <c r="H3" s="48"/>
      <c r="I3" s="48"/>
      <c r="J3" s="48"/>
      <c r="K3" s="49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</row>
    <row r="4" spans="1:30" ht="12.75" customHeight="1" x14ac:dyDescent="0.3">
      <c r="A4" s="51"/>
      <c r="B4" s="51"/>
      <c r="C4" s="52"/>
      <c r="D4" s="52"/>
      <c r="E4" s="53"/>
      <c r="F4" s="52"/>
      <c r="G4" s="52"/>
      <c r="H4" s="53"/>
      <c r="I4" s="53"/>
      <c r="J4" s="53"/>
      <c r="K4" s="53"/>
      <c r="L4" s="53"/>
      <c r="M4" s="54"/>
      <c r="N4" s="54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</row>
    <row r="5" spans="1:30" s="2" customFormat="1" ht="12.75" customHeight="1" x14ac:dyDescent="0.2">
      <c r="A5" s="55"/>
      <c r="B5" s="56" t="s">
        <v>24</v>
      </c>
      <c r="C5" s="57"/>
      <c r="D5" s="58" t="str">
        <f>Summary!D6</f>
        <v>Option 1</v>
      </c>
      <c r="E5" s="59"/>
      <c r="F5" s="60"/>
      <c r="G5" s="60"/>
      <c r="H5" s="59"/>
      <c r="I5" s="59"/>
      <c r="J5" s="59"/>
      <c r="K5" s="59"/>
      <c r="L5" s="59"/>
      <c r="M5" s="61"/>
      <c r="N5" s="61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</row>
    <row r="6" spans="1:30" s="2" customFormat="1" ht="12.75" customHeight="1" x14ac:dyDescent="0.2">
      <c r="A6" s="55"/>
      <c r="B6" s="118" t="s">
        <v>40</v>
      </c>
      <c r="C6" s="66"/>
      <c r="D6" s="117" t="b">
        <f>AND('Option 1'!V3, 'Option 2'!V3)</f>
        <v>1</v>
      </c>
      <c r="E6" s="59"/>
      <c r="F6" s="60"/>
      <c r="G6" s="60"/>
      <c r="H6" s="59"/>
      <c r="I6" s="59"/>
      <c r="J6" s="59"/>
      <c r="K6" s="59"/>
      <c r="L6" s="59"/>
      <c r="M6" s="61"/>
      <c r="N6" s="61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</row>
    <row r="7" spans="1:30" s="2" customFormat="1" ht="12.75" customHeight="1" x14ac:dyDescent="0.2">
      <c r="A7" s="55"/>
      <c r="B7" s="55"/>
      <c r="C7" s="55"/>
      <c r="D7" s="55"/>
      <c r="E7" s="55"/>
      <c r="F7" s="55"/>
      <c r="G7" s="60"/>
      <c r="H7" s="59"/>
      <c r="I7" s="59"/>
      <c r="J7" s="59"/>
      <c r="K7" s="59"/>
      <c r="L7" s="59"/>
      <c r="M7" s="61"/>
      <c r="N7" s="61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</row>
    <row r="8" spans="1:30" s="2" customFormat="1" ht="12.75" customHeight="1" x14ac:dyDescent="0.2">
      <c r="A8" s="62"/>
      <c r="B8" s="63"/>
      <c r="C8" s="60"/>
      <c r="D8" s="60"/>
      <c r="E8" s="59"/>
      <c r="F8" s="60"/>
      <c r="G8" s="60"/>
      <c r="H8" s="59"/>
      <c r="I8" s="59"/>
      <c r="J8" s="59"/>
      <c r="K8" s="59"/>
      <c r="L8" s="59"/>
      <c r="M8" s="61"/>
      <c r="N8" s="61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</row>
    <row r="9" spans="1:30" s="2" customFormat="1" ht="12.75" customHeight="1" x14ac:dyDescent="0.2">
      <c r="A9" s="64"/>
      <c r="B9" s="65" t="s">
        <v>47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</row>
    <row r="10" spans="1:30" s="2" customFormat="1" ht="12.75" customHeight="1" x14ac:dyDescent="0.2">
      <c r="A10" s="66"/>
      <c r="B10" s="67"/>
      <c r="C10" s="68"/>
      <c r="D10" s="68"/>
      <c r="E10" s="69"/>
      <c r="F10" s="70" t="s">
        <v>16</v>
      </c>
      <c r="G10" s="70" t="str">
        <f>F10</f>
        <v>2021/22</v>
      </c>
      <c r="H10" s="69" t="str">
        <f>G10</f>
        <v>2021/22</v>
      </c>
      <c r="I10" s="70" t="s">
        <v>17</v>
      </c>
      <c r="J10" s="70" t="str">
        <f>I10</f>
        <v>2022/23</v>
      </c>
      <c r="K10" s="69" t="str">
        <f>J10</f>
        <v>2022/23</v>
      </c>
      <c r="L10" s="70" t="s">
        <v>18</v>
      </c>
      <c r="M10" s="70" t="str">
        <f>L10</f>
        <v>2023/24</v>
      </c>
      <c r="N10" s="69" t="str">
        <f>M10</f>
        <v>2023/24</v>
      </c>
      <c r="O10" s="70" t="s">
        <v>19</v>
      </c>
      <c r="P10" s="70" t="str">
        <f>O10</f>
        <v>2024/25</v>
      </c>
      <c r="Q10" s="69" t="str">
        <f>P10</f>
        <v>2024/25</v>
      </c>
      <c r="R10" s="70" t="s">
        <v>20</v>
      </c>
      <c r="S10" s="70" t="str">
        <f>R10</f>
        <v>2025/26</v>
      </c>
      <c r="T10" s="69" t="str">
        <f>S10</f>
        <v>2025/26</v>
      </c>
      <c r="U10" s="66"/>
      <c r="V10" s="70" t="str">
        <f>F10</f>
        <v>2021/22</v>
      </c>
      <c r="W10" s="70" t="str">
        <f>I10</f>
        <v>2022/23</v>
      </c>
      <c r="X10" s="70" t="str">
        <f>L10</f>
        <v>2023/24</v>
      </c>
      <c r="Y10" s="70" t="str">
        <f>O10</f>
        <v>2024/25</v>
      </c>
      <c r="Z10" s="70" t="str">
        <f>R10</f>
        <v>2025/26</v>
      </c>
      <c r="AA10" s="66"/>
      <c r="AB10" s="70" t="s">
        <v>25</v>
      </c>
    </row>
    <row r="11" spans="1:30" s="2" customFormat="1" ht="12.75" customHeight="1" x14ac:dyDescent="0.2">
      <c r="A11" s="66"/>
      <c r="B11" s="71" t="s">
        <v>26</v>
      </c>
      <c r="C11" s="71" t="s">
        <v>27</v>
      </c>
      <c r="D11" s="71"/>
      <c r="E11" s="72"/>
      <c r="F11" s="73" t="s">
        <v>2</v>
      </c>
      <c r="G11" s="73" t="s">
        <v>1</v>
      </c>
      <c r="H11" s="72" t="s">
        <v>4</v>
      </c>
      <c r="I11" s="73" t="s">
        <v>2</v>
      </c>
      <c r="J11" s="73" t="s">
        <v>1</v>
      </c>
      <c r="K11" s="72" t="s">
        <v>4</v>
      </c>
      <c r="L11" s="73" t="s">
        <v>2</v>
      </c>
      <c r="M11" s="73" t="s">
        <v>1</v>
      </c>
      <c r="N11" s="72" t="s">
        <v>4</v>
      </c>
      <c r="O11" s="73" t="s">
        <v>2</v>
      </c>
      <c r="P11" s="73" t="s">
        <v>1</v>
      </c>
      <c r="Q11" s="72" t="s">
        <v>4</v>
      </c>
      <c r="R11" s="74" t="s">
        <v>2</v>
      </c>
      <c r="S11" s="74" t="s">
        <v>1</v>
      </c>
      <c r="T11" s="74" t="s">
        <v>4</v>
      </c>
      <c r="U11" s="66"/>
      <c r="V11" s="74"/>
      <c r="W11" s="74"/>
      <c r="X11" s="74"/>
      <c r="Y11" s="74"/>
      <c r="Z11" s="74"/>
      <c r="AA11" s="66"/>
      <c r="AB11" s="74"/>
    </row>
    <row r="12" spans="1:30" s="2" customFormat="1" ht="12.75" customHeight="1" x14ac:dyDescent="0.2">
      <c r="A12" s="66"/>
      <c r="B12" s="75">
        <v>200</v>
      </c>
      <c r="C12" s="76" t="s">
        <v>28</v>
      </c>
      <c r="D12" s="76"/>
      <c r="E12" s="76"/>
      <c r="F12" s="77">
        <f ca="1">INDEX(Summary!$F$11:$J$40,MATCH($D$5&amp;F$11,Summary!$D$11:$D$40,0), MATCH(Output!F$10, Summary!$F$10:$J$10,0))/1000</f>
        <v>11327.173171029306</v>
      </c>
      <c r="G12" s="77">
        <f ca="1">INDEX(Summary!$F$11:$J$40,MATCH($D$5&amp;G$11,Summary!$D$11:$D$40,0), MATCH(Output!G$10, Summary!$F$10:$J$10,0))/1000</f>
        <v>224.27887602094904</v>
      </c>
      <c r="H12" s="77">
        <f ca="1">INDEX(Summary!$F$11:$J$40,MATCH($D$5&amp;H$11,Summary!$D$11:$D$40,0), MATCH(Output!H$10, Summary!$F$10:$J$10,0))/1000</f>
        <v>2817.0549414034917</v>
      </c>
      <c r="I12" s="77">
        <f ca="1">INDEX(Summary!$F$11:$J$40,MATCH($D$5&amp;I$11,Summary!$D$11:$D$40,0), MATCH(Output!I$10, Summary!$F$10:$J$10,0))/1000</f>
        <v>3102.6435939843723</v>
      </c>
      <c r="J12" s="77">
        <f ca="1">INDEX(Summary!$F$11:$J$40,MATCH($D$5&amp;J$11,Summary!$D$11:$D$40,0), MATCH(Output!J$10, Summary!$F$10:$J$10,0))/1000</f>
        <v>53.326002806199256</v>
      </c>
      <c r="K12" s="77">
        <f ca="1">INDEX(Summary!$F$11:$J$40,MATCH($D$5&amp;K$11,Summary!$D$11:$D$40,0), MATCH(Output!K$10, Summary!$F$10:$J$10,0))/1000</f>
        <v>0</v>
      </c>
      <c r="L12" s="77">
        <f ca="1">INDEX(Summary!$F$11:$J$40,MATCH($D$5&amp;L$11,Summary!$D$11:$D$40,0), MATCH(Output!L$10, Summary!$F$10:$J$10,0))/1000</f>
        <v>0</v>
      </c>
      <c r="M12" s="77">
        <f ca="1">INDEX(Summary!$F$11:$J$40,MATCH($D$5&amp;M$11,Summary!$D$11:$D$40,0), MATCH(Output!M$10, Summary!$F$10:$J$10,0))/1000</f>
        <v>60.620692443938822</v>
      </c>
      <c r="N12" s="77">
        <f ca="1">INDEX(Summary!$F$11:$J$40,MATCH($D$5&amp;N$11,Summary!$D$11:$D$40,0), MATCH(Output!N$10, Summary!$F$10:$J$10,0))/1000</f>
        <v>0</v>
      </c>
      <c r="O12" s="77">
        <f ca="1">INDEX(Summary!$F$11:$J$40,MATCH($D$5&amp;O$11,Summary!$D$11:$D$40,0), MATCH(Output!O$10, Summary!$F$10:$J$10,0))/1000</f>
        <v>0</v>
      </c>
      <c r="P12" s="77">
        <f ca="1">INDEX(Summary!$F$11:$J$40,MATCH($D$5&amp;P$11,Summary!$D$11:$D$40,0), MATCH(Output!P$10, Summary!$F$10:$J$10,0))/1000</f>
        <v>73.688226625133439</v>
      </c>
      <c r="Q12" s="77">
        <f ca="1">INDEX(Summary!$F$11:$J$40,MATCH($D$5&amp;Q$11,Summary!$D$11:$D$40,0), MATCH(Output!Q$10, Summary!$F$10:$J$10,0))/1000</f>
        <v>0</v>
      </c>
      <c r="R12" s="77">
        <f ca="1">INDEX(Summary!$F$11:$J$40,MATCH($D$5&amp;R$11,Summary!$D$11:$D$40,0), MATCH(Output!R$10, Summary!$F$10:$J$10,0))/1000</f>
        <v>0</v>
      </c>
      <c r="S12" s="77">
        <f ca="1">INDEX(Summary!$F$11:$J$40,MATCH($D$5&amp;S$11,Summary!$D$11:$D$40,0), MATCH(Output!S$10, Summary!$F$10:$J$10,0))/1000</f>
        <v>148.19721173883369</v>
      </c>
      <c r="T12" s="77">
        <f ca="1">INDEX(Summary!$F$11:$J$40,MATCH($D$5&amp;T$11,Summary!$D$11:$D$40,0), MATCH(Output!T$10, Summary!$F$10:$J$10,0))/1000</f>
        <v>0</v>
      </c>
      <c r="U12" s="66"/>
      <c r="V12" s="77">
        <f ca="1">SUMIF($F$10:$T$10,V$10,$F12:$T12)</f>
        <v>14368.506988453748</v>
      </c>
      <c r="W12" s="77">
        <f ca="1">SUMIF($F$10:$T$10,W$10,$F12:$T12)</f>
        <v>3155.9695967905714</v>
      </c>
      <c r="X12" s="77">
        <f ca="1">SUMIF($F$10:$T$10,X$10,$F12:$T12)</f>
        <v>60.620692443938822</v>
      </c>
      <c r="Y12" s="77">
        <f ca="1">SUMIF($F$10:$T$10,Y$10,$F12:$T12)</f>
        <v>73.688226625133439</v>
      </c>
      <c r="Z12" s="77">
        <f ca="1">SUMIF($F$10:$T$10,Z$10,$F12:$T12)</f>
        <v>148.19721173883369</v>
      </c>
      <c r="AA12" s="66"/>
      <c r="AB12" s="77">
        <f ca="1">SUM(V12:Z12)</f>
        <v>17806.982716052225</v>
      </c>
    </row>
    <row r="13" spans="1:30" s="2" customFormat="1" ht="12.75" customHeight="1" x14ac:dyDescent="0.2">
      <c r="A13" s="66"/>
      <c r="B13" s="75"/>
      <c r="C13" s="76"/>
      <c r="D13" s="76"/>
      <c r="E13" s="76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66"/>
      <c r="V13" s="77"/>
      <c r="W13" s="77"/>
      <c r="X13" s="77"/>
      <c r="Y13" s="77"/>
      <c r="Z13" s="77"/>
      <c r="AA13" s="66"/>
      <c r="AB13" s="77"/>
      <c r="AD13" s="78"/>
    </row>
    <row r="14" spans="1:30" x14ac:dyDescent="0.3">
      <c r="AB14" s="149"/>
    </row>
  </sheetData>
  <conditionalFormatting sqref="D6">
    <cfRule type="expression" dxfId="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34"/>
  <sheetViews>
    <sheetView showGridLines="0" zoomScale="85" zoomScaleNormal="85" workbookViewId="0"/>
  </sheetViews>
  <sheetFormatPr defaultColWidth="9.28515625" defaultRowHeight="12.75" x14ac:dyDescent="0.2"/>
  <cols>
    <col min="1" max="1" width="4.28515625" style="1" customWidth="1"/>
    <col min="2" max="2" width="10.7109375" style="1" customWidth="1"/>
    <col min="3" max="3" width="15.28515625" style="1" customWidth="1"/>
    <col min="4" max="4" width="13.7109375" style="99" customWidth="1"/>
    <col min="5" max="5" width="2.71093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28515625" style="1"/>
  </cols>
  <sheetData>
    <row r="1" spans="1:17" ht="21" x14ac:dyDescent="0.35">
      <c r="A1" s="18" t="str">
        <f>Assumptions!A1</f>
        <v>5 minute settlement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6" t="s">
        <v>48</v>
      </c>
      <c r="B3" s="34"/>
      <c r="C3" s="35"/>
      <c r="D3" s="35"/>
      <c r="E3" s="35"/>
      <c r="F3" s="35"/>
      <c r="G3" s="35"/>
      <c r="H3" s="35"/>
      <c r="I3" s="35"/>
      <c r="J3" s="35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1" t="s">
        <v>22</v>
      </c>
      <c r="D6" s="42" t="s">
        <v>29</v>
      </c>
      <c r="E6" s="3"/>
      <c r="O6"/>
    </row>
    <row r="7" spans="1:17" ht="12.75" customHeight="1" x14ac:dyDescent="0.25">
      <c r="B7" s="118" t="s">
        <v>40</v>
      </c>
      <c r="D7" s="117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1" t="s">
        <v>29</v>
      </c>
      <c r="C10" s="81" t="s">
        <v>9</v>
      </c>
      <c r="D10" s="81"/>
      <c r="E10" s="82"/>
      <c r="F10" s="83" t="s">
        <v>16</v>
      </c>
      <c r="G10" s="83" t="s">
        <v>17</v>
      </c>
      <c r="H10" s="83" t="s">
        <v>18</v>
      </c>
      <c r="I10" s="83" t="s">
        <v>19</v>
      </c>
      <c r="J10" s="83" t="s">
        <v>20</v>
      </c>
      <c r="O10"/>
    </row>
    <row r="11" spans="1:17" ht="12.75" customHeight="1" x14ac:dyDescent="0.25">
      <c r="B11" s="130"/>
      <c r="C11" s="1" t="s">
        <v>2</v>
      </c>
      <c r="D11" s="120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11327173.171029307</v>
      </c>
      <c r="G11" s="9">
        <f t="shared" ca="1" si="0"/>
        <v>3102643.5939843724</v>
      </c>
      <c r="H11" s="9">
        <f t="shared" ca="1" si="0"/>
        <v>0</v>
      </c>
      <c r="I11" s="9">
        <f t="shared" ca="1" si="0"/>
        <v>0</v>
      </c>
      <c r="J11" s="9">
        <f t="shared" ca="1" si="0"/>
        <v>0</v>
      </c>
      <c r="O11"/>
    </row>
    <row r="12" spans="1:17" ht="12.75" customHeight="1" x14ac:dyDescent="0.25">
      <c r="B12" s="130"/>
      <c r="C12" s="1" t="s">
        <v>1</v>
      </c>
      <c r="D12" s="120" t="str">
        <f>B10&amp;C12</f>
        <v>Option 1Materials</v>
      </c>
      <c r="E12" s="3"/>
      <c r="F12" s="9">
        <f t="shared" ca="1" si="0"/>
        <v>224278.87602094904</v>
      </c>
      <c r="G12" s="9">
        <f t="shared" ca="1" si="0"/>
        <v>53326.002806199256</v>
      </c>
      <c r="H12" s="9">
        <f t="shared" ca="1" si="0"/>
        <v>60620.692443938824</v>
      </c>
      <c r="I12" s="9">
        <f t="shared" ca="1" si="0"/>
        <v>73688.226625133437</v>
      </c>
      <c r="J12" s="9">
        <f t="shared" ca="1" si="0"/>
        <v>148197.21173883369</v>
      </c>
      <c r="O12"/>
    </row>
    <row r="13" spans="1:17" ht="12.75" customHeight="1" x14ac:dyDescent="0.2">
      <c r="B13" s="130"/>
      <c r="C13" s="1" t="s">
        <v>4</v>
      </c>
      <c r="D13" s="120" t="str">
        <f>B10&amp;C13</f>
        <v>Option 1Contracts</v>
      </c>
      <c r="F13" s="9">
        <f t="shared" ca="1" si="0"/>
        <v>2817054.9414034919</v>
      </c>
      <c r="G13" s="9">
        <f t="shared" ca="1" si="0"/>
        <v>0</v>
      </c>
      <c r="H13" s="9">
        <f t="shared" ca="1" si="0"/>
        <v>0</v>
      </c>
      <c r="I13" s="9">
        <f t="shared" ca="1" si="0"/>
        <v>0</v>
      </c>
      <c r="J13" s="9">
        <f t="shared" ca="1" si="0"/>
        <v>0</v>
      </c>
    </row>
    <row r="14" spans="1:17" ht="12.75" customHeight="1" x14ac:dyDescent="0.2">
      <c r="B14" s="131"/>
      <c r="C14" s="25" t="s">
        <v>82</v>
      </c>
      <c r="D14" s="25"/>
      <c r="E14" s="25"/>
      <c r="F14" s="26">
        <f ca="1">SUM(F11:F13)</f>
        <v>14368506.988453748</v>
      </c>
      <c r="G14" s="26">
        <f ca="1">SUM(G11:G13)</f>
        <v>3155969.5967905717</v>
      </c>
      <c r="H14" s="26">
        <f ca="1">SUM(H11:H13)</f>
        <v>60620.692443938824</v>
      </c>
      <c r="I14" s="26">
        <f ca="1">SUM(I11:I13)</f>
        <v>73688.226625133437</v>
      </c>
      <c r="J14" s="26">
        <f ca="1">SUM(J11:J13)</f>
        <v>148197.21173883369</v>
      </c>
      <c r="K14" s="43"/>
      <c r="L14" s="2"/>
      <c r="M14" s="2"/>
      <c r="N14" s="2"/>
      <c r="O14" s="2"/>
      <c r="P14" s="2"/>
      <c r="Q14" s="2"/>
    </row>
    <row r="15" spans="1:17" ht="12.75" customHeight="1" x14ac:dyDescent="0.2">
      <c r="B15" s="131"/>
      <c r="C15" s="7"/>
      <c r="D15" s="7"/>
      <c r="E15" s="7"/>
      <c r="F15" s="80"/>
      <c r="G15" s="80"/>
      <c r="H15" s="80"/>
      <c r="I15" s="80"/>
      <c r="J15" s="80"/>
    </row>
    <row r="16" spans="1:17" ht="12.75" customHeight="1" x14ac:dyDescent="0.2">
      <c r="B16" s="130"/>
      <c r="C16" s="40" t="s">
        <v>80</v>
      </c>
      <c r="D16" s="40"/>
      <c r="E16" s="7"/>
      <c r="F16" s="9">
        <f>Assumptions!E$34</f>
        <v>5170093.429883874</v>
      </c>
      <c r="G16" s="9">
        <f>Assumptions!F$34</f>
        <v>5305073.4307134617</v>
      </c>
      <c r="H16" s="9">
        <f>Assumptions!G$34</f>
        <v>4846401.2462584954</v>
      </c>
      <c r="I16" s="9">
        <f>Assumptions!H$34</f>
        <v>5172474.19969963</v>
      </c>
      <c r="J16" s="9">
        <f>Assumptions!I$34</f>
        <v>5412713.7411630275</v>
      </c>
    </row>
    <row r="17" spans="2:12" ht="12.75" customHeight="1" x14ac:dyDescent="0.2">
      <c r="B17" s="130"/>
      <c r="C17" s="40" t="s">
        <v>81</v>
      </c>
      <c r="D17" s="40"/>
      <c r="E17" s="7"/>
      <c r="F17" s="9">
        <f>Assumptions!E38</f>
        <v>557800.42690542818</v>
      </c>
      <c r="G17" s="9">
        <f>Assumptions!F38</f>
        <v>761243.34790433163</v>
      </c>
      <c r="H17" s="9">
        <f>Assumptions!G38</f>
        <v>971216.76686805871</v>
      </c>
      <c r="I17" s="9">
        <f>Assumptions!H38</f>
        <v>1201025.4982439834</v>
      </c>
      <c r="J17" s="9">
        <f>Assumptions!I38</f>
        <v>1450387.9618709565</v>
      </c>
    </row>
    <row r="18" spans="2:12" s="99" customFormat="1" ht="12.75" customHeight="1" x14ac:dyDescent="0.2">
      <c r="B18" s="131"/>
      <c r="C18" s="40"/>
      <c r="D18" s="40"/>
      <c r="E18" s="7"/>
      <c r="F18" s="80"/>
      <c r="G18" s="80"/>
      <c r="H18" s="80"/>
      <c r="I18" s="80"/>
      <c r="J18" s="80"/>
    </row>
    <row r="19" spans="2:12" s="99" customFormat="1" ht="12.75" customHeight="1" x14ac:dyDescent="0.2">
      <c r="C19" s="25" t="s">
        <v>49</v>
      </c>
      <c r="D19" s="25"/>
      <c r="E19" s="25"/>
      <c r="F19" s="26">
        <f ca="1">SUM(F14:F18)</f>
        <v>20096400.845243048</v>
      </c>
      <c r="G19" s="26">
        <f t="shared" ref="G19:J19" ca="1" si="1">SUM(G14:G18)</f>
        <v>9222286.3754083663</v>
      </c>
      <c r="H19" s="26">
        <f t="shared" ca="1" si="1"/>
        <v>5878238.7055704929</v>
      </c>
      <c r="I19" s="26">
        <f t="shared" ca="1" si="1"/>
        <v>6447187.9245687462</v>
      </c>
      <c r="J19" s="26">
        <f t="shared" ca="1" si="1"/>
        <v>7011298.9147728169</v>
      </c>
    </row>
    <row r="20" spans="2:12" ht="12.75" customHeight="1" x14ac:dyDescent="0.2">
      <c r="B20" s="7"/>
      <c r="C20" s="7"/>
      <c r="D20" s="7"/>
      <c r="E20" s="7"/>
      <c r="F20" s="27"/>
      <c r="G20" s="27"/>
      <c r="H20" s="27"/>
      <c r="I20" s="27"/>
      <c r="J20" s="27"/>
    </row>
    <row r="21" spans="2:12" s="99" customFormat="1" ht="12.75" customHeight="1" x14ac:dyDescent="0.2">
      <c r="B21" s="7"/>
      <c r="C21" s="141" t="s">
        <v>90</v>
      </c>
      <c r="D21" s="26"/>
      <c r="E21" s="26"/>
      <c r="F21" s="26">
        <f ca="1">NPV(Assumptions!$B$6,Summary!F19:J19)</f>
        <v>45618705.35914886</v>
      </c>
      <c r="G21" s="27"/>
      <c r="H21" s="27"/>
      <c r="I21" s="27"/>
      <c r="J21" s="27"/>
    </row>
    <row r="22" spans="2:12" s="99" customFormat="1" ht="12.75" customHeight="1" x14ac:dyDescent="0.2">
      <c r="B22" s="7"/>
      <c r="C22" s="7"/>
      <c r="D22" s="7"/>
      <c r="E22" s="7"/>
      <c r="F22" s="27"/>
      <c r="G22" s="27"/>
      <c r="H22" s="27"/>
      <c r="I22" s="27"/>
      <c r="J22" s="27"/>
    </row>
    <row r="23" spans="2:12" ht="12.75" customHeight="1" x14ac:dyDescent="0.2">
      <c r="B23" s="81" t="s">
        <v>21</v>
      </c>
      <c r="C23" s="81" t="s">
        <v>9</v>
      </c>
      <c r="D23" s="81"/>
      <c r="E23" s="82"/>
      <c r="F23" s="83" t="str">
        <f>F$10</f>
        <v>2021/22</v>
      </c>
      <c r="G23" s="83" t="str">
        <f t="shared" ref="G23:J23" si="2">G$10</f>
        <v>2022/23</v>
      </c>
      <c r="H23" s="83" t="str">
        <f t="shared" si="2"/>
        <v>2023/24</v>
      </c>
      <c r="I23" s="83" t="str">
        <f t="shared" si="2"/>
        <v>2024/25</v>
      </c>
      <c r="J23" s="83" t="str">
        <f t="shared" si="2"/>
        <v>2025/26</v>
      </c>
    </row>
    <row r="24" spans="2:12" ht="12.75" customHeight="1" x14ac:dyDescent="0.2">
      <c r="B24" s="130"/>
      <c r="C24" s="1" t="s">
        <v>2</v>
      </c>
      <c r="D24" s="120" t="str">
        <f>B23&amp;C24</f>
        <v>Option 2Labour</v>
      </c>
      <c r="E24" s="3"/>
      <c r="F24" s="9">
        <f t="shared" ref="F24:J26" ca="1" si="3">SUMIF(INDIRECT(LEFT($D24,6)&amp;MID($D24,8,1)&amp;"_categories"),$C24&amp;$B24,INDEX(INDIRECT(LEFT($D24,6)&amp;MID($D24,8,1)&amp;"_costs"),,MATCH(F$10,years,0)))*Conv_2021</f>
        <v>15858042.439441027</v>
      </c>
      <c r="G24" s="9">
        <f t="shared" ca="1" si="3"/>
        <v>4343701.0315781208</v>
      </c>
      <c r="H24" s="9">
        <f t="shared" ca="1" si="3"/>
        <v>0</v>
      </c>
      <c r="I24" s="9">
        <f t="shared" ca="1" si="3"/>
        <v>0</v>
      </c>
      <c r="J24" s="9">
        <f t="shared" ca="1" si="3"/>
        <v>0</v>
      </c>
    </row>
    <row r="25" spans="2:12" x14ac:dyDescent="0.2">
      <c r="B25" s="130"/>
      <c r="C25" s="1" t="s">
        <v>1</v>
      </c>
      <c r="D25" s="120" t="str">
        <f>B23&amp;C25</f>
        <v>Option 2Materials</v>
      </c>
      <c r="E25" s="3"/>
      <c r="F25" s="9">
        <f t="shared" ca="1" si="3"/>
        <v>224278.87602094904</v>
      </c>
      <c r="G25" s="9">
        <f t="shared" ca="1" si="3"/>
        <v>53326.002806199256</v>
      </c>
      <c r="H25" s="9">
        <f t="shared" ca="1" si="3"/>
        <v>60620.692443938824</v>
      </c>
      <c r="I25" s="9">
        <f t="shared" ca="1" si="3"/>
        <v>73688.226625133437</v>
      </c>
      <c r="J25" s="9">
        <f t="shared" ca="1" si="3"/>
        <v>148197.21173883369</v>
      </c>
    </row>
    <row r="26" spans="2:12" x14ac:dyDescent="0.2">
      <c r="B26" s="130"/>
      <c r="C26" s="1" t="s">
        <v>4</v>
      </c>
      <c r="D26" s="120" t="str">
        <f>B23&amp;C26</f>
        <v>Option 2Contracts</v>
      </c>
      <c r="F26" s="9">
        <f t="shared" ca="1" si="3"/>
        <v>2817054.9414034919</v>
      </c>
      <c r="G26" s="9">
        <f t="shared" ca="1" si="3"/>
        <v>0</v>
      </c>
      <c r="H26" s="9">
        <f t="shared" ca="1" si="3"/>
        <v>0</v>
      </c>
      <c r="I26" s="9">
        <f t="shared" ca="1" si="3"/>
        <v>0</v>
      </c>
      <c r="J26" s="9">
        <f t="shared" ca="1" si="3"/>
        <v>0</v>
      </c>
    </row>
    <row r="27" spans="2:12" x14ac:dyDescent="0.2">
      <c r="B27" s="131"/>
      <c r="C27" s="25" t="s">
        <v>49</v>
      </c>
      <c r="D27" s="25"/>
      <c r="E27" s="25"/>
      <c r="F27" s="26">
        <f ca="1">SUM(F24:F26)</f>
        <v>18899376.256865468</v>
      </c>
      <c r="G27" s="26">
        <f ca="1">SUM(G24:G26)</f>
        <v>4397027.0343843205</v>
      </c>
      <c r="H27" s="26">
        <f ca="1">SUM(H24:H26)</f>
        <v>60620.692443938824</v>
      </c>
      <c r="I27" s="26">
        <f ca="1">SUM(I24:I26)</f>
        <v>73688.226625133437</v>
      </c>
      <c r="J27" s="26">
        <f ca="1">SUM(J24:J26)</f>
        <v>148197.21173883369</v>
      </c>
      <c r="L27" s="2"/>
    </row>
    <row r="28" spans="2:12" x14ac:dyDescent="0.2">
      <c r="B28" s="131"/>
    </row>
    <row r="29" spans="2:12" x14ac:dyDescent="0.2">
      <c r="B29" s="130"/>
      <c r="C29" s="40" t="s">
        <v>80</v>
      </c>
      <c r="D29" s="40"/>
      <c r="E29" s="7"/>
      <c r="F29" s="9">
        <f>Assumptions!E$34</f>
        <v>5170093.429883874</v>
      </c>
      <c r="G29" s="9">
        <f>Assumptions!F$34</f>
        <v>5305073.4307134617</v>
      </c>
      <c r="H29" s="9">
        <f>Assumptions!G$34</f>
        <v>4846401.2462584954</v>
      </c>
      <c r="I29" s="9">
        <f>Assumptions!H$34</f>
        <v>5172474.19969963</v>
      </c>
      <c r="J29" s="9">
        <f>Assumptions!I$34</f>
        <v>5412713.7411630275</v>
      </c>
    </row>
    <row r="30" spans="2:12" x14ac:dyDescent="0.2">
      <c r="B30" s="130"/>
      <c r="C30" s="40" t="s">
        <v>81</v>
      </c>
      <c r="D30" s="40"/>
      <c r="E30" s="7"/>
      <c r="F30" s="9">
        <f>Assumptions!E$38</f>
        <v>557800.42690542818</v>
      </c>
      <c r="G30" s="9">
        <f>Assumptions!F$38</f>
        <v>761243.34790433163</v>
      </c>
      <c r="H30" s="9">
        <f>Assumptions!G$38</f>
        <v>971216.76686805871</v>
      </c>
      <c r="I30" s="9">
        <f>Assumptions!H$38</f>
        <v>1201025.4982439834</v>
      </c>
      <c r="J30" s="9">
        <f>Assumptions!I$38</f>
        <v>1450387.9618709565</v>
      </c>
    </row>
    <row r="31" spans="2:12" x14ac:dyDescent="0.2">
      <c r="C31" s="40"/>
      <c r="D31" s="40"/>
      <c r="E31" s="7"/>
      <c r="F31" s="80"/>
      <c r="G31" s="80"/>
      <c r="H31" s="80"/>
      <c r="I31" s="80"/>
      <c r="J31" s="80"/>
    </row>
    <row r="32" spans="2:12" x14ac:dyDescent="0.2">
      <c r="C32" s="25" t="s">
        <v>49</v>
      </c>
      <c r="D32" s="25"/>
      <c r="E32" s="25"/>
      <c r="F32" s="26">
        <f ca="1">SUM(F27:F31)</f>
        <v>24627270.11365477</v>
      </c>
      <c r="G32" s="26">
        <f t="shared" ref="G32" ca="1" si="4">SUM(G27:G31)</f>
        <v>10463343.813002113</v>
      </c>
      <c r="H32" s="26">
        <f t="shared" ref="H32" ca="1" si="5">SUM(H27:H31)</f>
        <v>5878238.7055704929</v>
      </c>
      <c r="I32" s="26">
        <f t="shared" ref="I32" ca="1" si="6">SUM(I27:I31)</f>
        <v>6447187.9245687462</v>
      </c>
      <c r="J32" s="26">
        <f t="shared" ref="J32" ca="1" si="7">SUM(J27:J31)</f>
        <v>7011298.9147728169</v>
      </c>
    </row>
    <row r="34" spans="3:6" x14ac:dyDescent="0.2">
      <c r="C34" s="141" t="s">
        <v>90</v>
      </c>
      <c r="D34" s="26"/>
      <c r="E34" s="26"/>
      <c r="F34" s="26">
        <f ca="1">NPV(Assumptions!$B$6,Summary!F32:J32)</f>
        <v>51203825.609099343</v>
      </c>
    </row>
  </sheetData>
  <conditionalFormatting sqref="D7">
    <cfRule type="expression" dxfId="4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1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7109375" customWidth="1"/>
    <col min="3" max="3" width="16.7109375" customWidth="1"/>
    <col min="4" max="4" width="13.42578125" customWidth="1"/>
    <col min="5" max="5" width="14.42578125" customWidth="1"/>
  </cols>
  <sheetData>
    <row r="1" spans="1:35" ht="21" x14ac:dyDescent="0.35">
      <c r="A1" s="18" t="s">
        <v>51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6" t="s">
        <v>3</v>
      </c>
      <c r="B3" s="34"/>
      <c r="C3" s="34"/>
      <c r="D3" s="34"/>
      <c r="E3" s="34"/>
      <c r="F3" s="34"/>
      <c r="G3" s="34"/>
      <c r="H3" s="34"/>
      <c r="I3" s="34"/>
      <c r="J3" s="3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3" customFormat="1" ht="12.75" customHeight="1" x14ac:dyDescent="0.25">
      <c r="A4" s="32" t="s">
        <v>8</v>
      </c>
      <c r="B4" s="96" t="s">
        <v>3</v>
      </c>
      <c r="C4" s="32" t="s">
        <v>6</v>
      </c>
      <c r="D4" s="32" t="s">
        <v>7</v>
      </c>
    </row>
    <row r="5" spans="1:35" s="33" customFormat="1" ht="12.75" customHeight="1" x14ac:dyDescent="0.25">
      <c r="A5" s="32"/>
      <c r="B5" s="96"/>
      <c r="C5" s="32"/>
      <c r="D5" s="32"/>
    </row>
    <row r="6" spans="1:35" s="33" customFormat="1" ht="12.75" customHeight="1" x14ac:dyDescent="0.25">
      <c r="A6" s="2" t="s">
        <v>14</v>
      </c>
      <c r="B6" s="104">
        <v>2.75E-2</v>
      </c>
      <c r="C6" s="2"/>
      <c r="D6" s="32"/>
    </row>
    <row r="7" spans="1:35" s="33" customFormat="1" ht="12.75" customHeight="1" x14ac:dyDescent="0.25">
      <c r="A7" s="32"/>
      <c r="B7" s="96"/>
      <c r="C7" s="32"/>
      <c r="D7" s="32"/>
    </row>
    <row r="8" spans="1:35" s="33" customFormat="1" ht="12.75" customHeight="1" x14ac:dyDescent="0.25">
      <c r="A8" s="98" t="s">
        <v>35</v>
      </c>
      <c r="B8" s="106">
        <v>2018</v>
      </c>
      <c r="C8" t="s">
        <v>38</v>
      </c>
      <c r="D8" s="32"/>
    </row>
    <row r="9" spans="1:35" s="33" customFormat="1" ht="12.75" customHeight="1" x14ac:dyDescent="0.25">
      <c r="A9" s="98"/>
      <c r="B9" s="98"/>
      <c r="C9" s="98"/>
      <c r="D9" s="98"/>
      <c r="E9" s="98"/>
    </row>
    <row r="10" spans="1:35" ht="12.75" customHeight="1" x14ac:dyDescent="0.25">
      <c r="A10" s="84"/>
      <c r="B10" s="84"/>
      <c r="C10" s="84"/>
      <c r="D10" s="84">
        <v>2015</v>
      </c>
      <c r="E10" s="84">
        <v>2016</v>
      </c>
      <c r="F10" s="84">
        <v>2017</v>
      </c>
      <c r="G10" s="84">
        <v>2018</v>
      </c>
      <c r="H10" s="84">
        <v>2019</v>
      </c>
      <c r="I10" s="85">
        <v>2020</v>
      </c>
      <c r="J10" s="85" t="s">
        <v>36</v>
      </c>
    </row>
    <row r="11" spans="1:35" ht="12.75" customHeight="1" x14ac:dyDescent="0.25">
      <c r="A11" s="144" t="s">
        <v>91</v>
      </c>
      <c r="B11" s="28"/>
      <c r="C11" s="102"/>
      <c r="D11" s="145" t="s">
        <v>95</v>
      </c>
      <c r="E11" s="145" t="s">
        <v>95</v>
      </c>
      <c r="F11" s="145" t="s">
        <v>95</v>
      </c>
      <c r="G11" s="145" t="s">
        <v>95</v>
      </c>
      <c r="H11" s="145" t="s">
        <v>95</v>
      </c>
      <c r="I11" s="145" t="s">
        <v>95</v>
      </c>
      <c r="J11" s="145" t="s">
        <v>96</v>
      </c>
    </row>
    <row r="12" spans="1:35" ht="12.75" customHeight="1" x14ac:dyDescent="0.25">
      <c r="A12" s="146" t="s">
        <v>92</v>
      </c>
      <c r="B12" s="4"/>
      <c r="C12" s="146"/>
      <c r="D12" s="147" t="s">
        <v>30</v>
      </c>
      <c r="E12" s="147" t="s">
        <v>30</v>
      </c>
      <c r="F12" s="147" t="s">
        <v>30</v>
      </c>
      <c r="G12" s="147" t="s">
        <v>30</v>
      </c>
      <c r="H12" s="147" t="s">
        <v>30</v>
      </c>
      <c r="I12" s="148" t="s">
        <v>31</v>
      </c>
      <c r="J12" s="148" t="s">
        <v>31</v>
      </c>
    </row>
    <row r="13" spans="1:35" ht="12.75" customHeight="1" x14ac:dyDescent="0.25">
      <c r="A13" s="99" t="s">
        <v>93</v>
      </c>
      <c r="B13" s="99"/>
      <c r="C13" s="86"/>
      <c r="D13" s="87"/>
      <c r="E13" s="104">
        <v>1.0232558139534831E-2</v>
      </c>
      <c r="F13" s="104">
        <v>1.9337016574585641E-2</v>
      </c>
      <c r="G13" s="104">
        <v>2.0776874435411097E-2</v>
      </c>
      <c r="H13" s="104">
        <v>1.5929203539823078E-2</v>
      </c>
      <c r="I13" s="104">
        <v>2.000000000000024E-2</v>
      </c>
      <c r="J13" s="104">
        <v>2.1998043050963867E-2</v>
      </c>
    </row>
    <row r="14" spans="1:35" ht="12.75" customHeight="1" x14ac:dyDescent="0.25">
      <c r="A14" s="93" t="s">
        <v>32</v>
      </c>
      <c r="B14" s="91"/>
      <c r="C14" s="91"/>
      <c r="D14" s="105">
        <v>1</v>
      </c>
      <c r="E14" s="94">
        <f t="shared" ref="E14:J14" si="0">D14*(1+E13)</f>
        <v>1.0102325581395348</v>
      </c>
      <c r="F14" s="94">
        <f t="shared" si="0"/>
        <v>1.029767441860465</v>
      </c>
      <c r="G14" s="94">
        <f t="shared" si="0"/>
        <v>1.0511627906976744</v>
      </c>
      <c r="H14" s="94">
        <f t="shared" si="0"/>
        <v>1.067906976744186</v>
      </c>
      <c r="I14" s="94">
        <f t="shared" si="0"/>
        <v>1.0892651162790701</v>
      </c>
      <c r="J14" s="94">
        <f t="shared" si="0"/>
        <v>1.1132268172008901</v>
      </c>
    </row>
    <row r="15" spans="1:35" ht="12.75" customHeight="1" x14ac:dyDescent="0.25">
      <c r="A15" s="91"/>
      <c r="B15" s="91"/>
      <c r="C15" s="91"/>
      <c r="D15" s="92"/>
      <c r="E15" s="92"/>
      <c r="F15" s="92"/>
      <c r="G15" s="92"/>
      <c r="H15" s="92"/>
    </row>
    <row r="16" spans="1:35" ht="12.75" customHeight="1" x14ac:dyDescent="0.25">
      <c r="A16" s="98" t="s">
        <v>37</v>
      </c>
      <c r="B16" s="97">
        <f>B8</f>
        <v>2018</v>
      </c>
      <c r="C16" s="99" t="s">
        <v>38</v>
      </c>
      <c r="G16" s="88"/>
      <c r="H16" s="88"/>
    </row>
    <row r="17" spans="1:11" ht="12.75" customHeight="1" x14ac:dyDescent="0.25">
      <c r="A17" s="98" t="s">
        <v>34</v>
      </c>
      <c r="B17" s="103" t="s">
        <v>36</v>
      </c>
      <c r="C17" s="99" t="s">
        <v>39</v>
      </c>
      <c r="G17" s="88"/>
      <c r="H17" s="88"/>
    </row>
    <row r="18" spans="1:11" ht="12.75" customHeight="1" x14ac:dyDescent="0.25">
      <c r="A18" s="98" t="s">
        <v>33</v>
      </c>
      <c r="B18" s="95">
        <f>INDEX($D$14:$J$14, MATCH(B17, $D$10:$J$10,0))/INDEX($D$14:$J$14, MATCH(B16, $D$10:$J$10,0))</f>
        <v>1.0590432110539443</v>
      </c>
      <c r="C18" s="116"/>
      <c r="D18" s="89"/>
      <c r="E18" s="86"/>
      <c r="F18" s="86"/>
      <c r="G18" s="86"/>
      <c r="H18" s="86"/>
    </row>
    <row r="19" spans="1:11" ht="12.75" customHeight="1" x14ac:dyDescent="0.25">
      <c r="A19" s="88"/>
      <c r="B19" s="90"/>
      <c r="C19" s="90"/>
      <c r="D19" s="90"/>
      <c r="E19" s="90"/>
      <c r="F19" s="90"/>
      <c r="G19" s="90"/>
      <c r="H19" s="88"/>
    </row>
    <row r="20" spans="1:11" ht="12.75" customHeight="1" x14ac:dyDescent="0.25"/>
    <row r="21" spans="1:11" ht="12.75" customHeight="1" x14ac:dyDescent="0.25"/>
    <row r="22" spans="1:11" ht="12.75" customHeight="1" x14ac:dyDescent="0.25">
      <c r="A22" s="123" t="s">
        <v>50</v>
      </c>
    </row>
    <row r="23" spans="1:11" ht="12.75" customHeight="1" x14ac:dyDescent="0.25">
      <c r="A23" s="98" t="str">
        <f>'Option 1'!$A$3</f>
        <v>Option 1</v>
      </c>
    </row>
    <row r="24" spans="1:11" ht="12.75" customHeight="1" x14ac:dyDescent="0.25">
      <c r="A24" s="98" t="str">
        <f>'Option 2'!$A$3</f>
        <v>Option 2</v>
      </c>
    </row>
    <row r="25" spans="1:11" ht="12.75" customHeight="1" x14ac:dyDescent="0.25">
      <c r="A25" s="98"/>
    </row>
    <row r="26" spans="1:11" ht="12.75" customHeight="1" x14ac:dyDescent="0.25"/>
    <row r="27" spans="1:11" ht="12.75" customHeight="1" x14ac:dyDescent="0.25">
      <c r="A27" s="121" t="s">
        <v>86</v>
      </c>
      <c r="B27" s="23"/>
      <c r="C27" s="23"/>
      <c r="D27" s="23"/>
      <c r="E27" s="23" t="s">
        <v>16</v>
      </c>
      <c r="F27" s="23" t="s">
        <v>17</v>
      </c>
      <c r="G27" s="23" t="s">
        <v>18</v>
      </c>
      <c r="H27" s="23" t="s">
        <v>19</v>
      </c>
      <c r="I27" s="23" t="s">
        <v>20</v>
      </c>
    </row>
    <row r="28" spans="1:11" ht="12.75" customHeight="1" x14ac:dyDescent="0.25">
      <c r="A28" s="7"/>
      <c r="B28" s="7"/>
      <c r="C28" s="7"/>
      <c r="D28" s="7"/>
      <c r="E28" s="138"/>
      <c r="F28" s="138"/>
      <c r="G28" s="138"/>
      <c r="H28" s="138"/>
      <c r="I28" s="138"/>
    </row>
    <row r="29" spans="1:11" ht="12.75" customHeight="1" x14ac:dyDescent="0.25">
      <c r="A29" s="7" t="s">
        <v>88</v>
      </c>
      <c r="B29" s="4"/>
      <c r="C29" s="4"/>
      <c r="D29" s="4"/>
      <c r="E29" s="99"/>
      <c r="F29" s="99"/>
      <c r="G29" s="99"/>
      <c r="H29" s="99"/>
      <c r="I29" s="99"/>
    </row>
    <row r="30" spans="1:11" ht="12.75" customHeight="1" x14ac:dyDescent="0.25">
      <c r="A30" s="135" t="s">
        <v>83</v>
      </c>
      <c r="B30" s="136"/>
      <c r="C30" s="136"/>
      <c r="D30" s="136"/>
      <c r="E30" s="111">
        <f>[1]Powercor!T$158</f>
        <v>2479808.5883678137</v>
      </c>
      <c r="F30" s="111">
        <f>[1]Powercor!U$158</f>
        <v>2544551.0480263475</v>
      </c>
      <c r="G30" s="111">
        <f>[1]Powercor!V$158</f>
        <v>2324551.3057233538</v>
      </c>
      <c r="H30" s="111">
        <f>[1]Powercor!W$158</f>
        <v>2480950.5123032522</v>
      </c>
      <c r="I30" s="111">
        <f>[1]Powercor!X$158</f>
        <v>2596180.1665185848</v>
      </c>
      <c r="K30" s="126"/>
    </row>
    <row r="31" spans="1:11" ht="12.75" customHeight="1" x14ac:dyDescent="0.25">
      <c r="A31" s="135" t="s">
        <v>84</v>
      </c>
      <c r="B31" s="136"/>
      <c r="C31" s="136"/>
      <c r="D31" s="136"/>
      <c r="E31" s="112">
        <f>[1]Powercor!T$158</f>
        <v>2479808.5883678137</v>
      </c>
      <c r="F31" s="112">
        <f>[1]Powercor!U$158</f>
        <v>2544551.0480263475</v>
      </c>
      <c r="G31" s="112">
        <f>[1]Powercor!V$158</f>
        <v>2324551.3057233538</v>
      </c>
      <c r="H31" s="112">
        <f>[1]Powercor!W$158</f>
        <v>2480950.5123032522</v>
      </c>
      <c r="I31" s="112">
        <f>[1]Powercor!X$158</f>
        <v>2596180.1665185848</v>
      </c>
    </row>
    <row r="32" spans="1:11" ht="12.75" customHeight="1" x14ac:dyDescent="0.25">
      <c r="A32" s="135"/>
      <c r="B32" s="136"/>
      <c r="C32" s="136"/>
      <c r="D32" s="136"/>
      <c r="E32" s="137"/>
      <c r="F32" s="137"/>
      <c r="G32" s="137"/>
      <c r="H32" s="137"/>
      <c r="I32" s="137"/>
    </row>
    <row r="33" spans="1:10" s="86" customFormat="1" ht="12.75" customHeight="1" x14ac:dyDescent="0.25">
      <c r="A33" s="139" t="s">
        <v>85</v>
      </c>
      <c r="B33" s="139"/>
      <c r="C33" s="139"/>
      <c r="D33" s="139"/>
      <c r="E33" s="140">
        <f>SUM(E30:E32)</f>
        <v>4959617.1767356275</v>
      </c>
      <c r="F33" s="140">
        <f>SUM(F30:F32)</f>
        <v>5089102.0960526951</v>
      </c>
      <c r="G33" s="140">
        <f>SUM(G30:G32)</f>
        <v>4649102.6114467075</v>
      </c>
      <c r="H33" s="140">
        <f>SUM(H30:H32)</f>
        <v>4961901.0246065045</v>
      </c>
      <c r="I33" s="140">
        <f>SUM(I30:I32)</f>
        <v>5192360.3330371697</v>
      </c>
    </row>
    <row r="34" spans="1:10" ht="12.75" customHeight="1" x14ac:dyDescent="0.25">
      <c r="A34" s="10" t="s">
        <v>87</v>
      </c>
      <c r="B34" s="10"/>
      <c r="C34" s="10"/>
      <c r="D34" s="10"/>
      <c r="E34" s="11">
        <f>E33/$H$14*$J$14</f>
        <v>5170093.429883874</v>
      </c>
      <c r="F34" s="11">
        <f t="shared" ref="F34:I34" si="1">F33/$H$14*$J$14</f>
        <v>5305073.4307134617</v>
      </c>
      <c r="G34" s="11">
        <f t="shared" si="1"/>
        <v>4846401.2462584954</v>
      </c>
      <c r="H34" s="11">
        <f t="shared" si="1"/>
        <v>5172474.19969963</v>
      </c>
      <c r="I34" s="11">
        <f t="shared" si="1"/>
        <v>5412713.7411630275</v>
      </c>
    </row>
    <row r="35" spans="1:10" ht="12.75" customHeight="1" x14ac:dyDescent="0.25">
      <c r="A35" s="151" t="str">
        <f>A30</f>
        <v>5 Minute Settlement - AMI comms devices expenditure - Powercor</v>
      </c>
      <c r="B35" s="151"/>
      <c r="C35" s="151"/>
      <c r="D35" s="151"/>
      <c r="E35" s="152">
        <f t="shared" ref="E35:I36" si="2">E30/$H$14*$J$14</f>
        <v>2585046.714941937</v>
      </c>
      <c r="F35" s="152">
        <f t="shared" si="2"/>
        <v>2652536.7153567309</v>
      </c>
      <c r="G35" s="152">
        <f t="shared" si="2"/>
        <v>2423200.6231292477</v>
      </c>
      <c r="H35" s="152">
        <f t="shared" si="2"/>
        <v>2586237.099849815</v>
      </c>
      <c r="I35" s="152">
        <f t="shared" si="2"/>
        <v>2706356.8705815137</v>
      </c>
      <c r="J35" s="150"/>
    </row>
    <row r="36" spans="1:10" ht="12.75" customHeight="1" x14ac:dyDescent="0.25">
      <c r="A36" s="153" t="str">
        <f t="shared" ref="A36" si="3">A31</f>
        <v>5 Minute Settlement - AMI comms devices expenditure - Citipower</v>
      </c>
      <c r="B36" s="153"/>
      <c r="C36" s="153"/>
      <c r="D36" s="153"/>
      <c r="E36" s="154">
        <f t="shared" si="2"/>
        <v>2585046.714941937</v>
      </c>
      <c r="F36" s="152">
        <f t="shared" si="2"/>
        <v>2652536.7153567309</v>
      </c>
      <c r="G36" s="152">
        <f t="shared" si="2"/>
        <v>2423200.6231292477</v>
      </c>
      <c r="H36" s="152">
        <f t="shared" si="2"/>
        <v>2586237.099849815</v>
      </c>
      <c r="I36" s="152">
        <f t="shared" si="2"/>
        <v>2706356.8705815137</v>
      </c>
      <c r="J36" s="150"/>
    </row>
    <row r="37" spans="1:10" ht="12.75" customHeight="1" x14ac:dyDescent="0.25">
      <c r="A37" s="7" t="s">
        <v>89</v>
      </c>
      <c r="B37" s="4"/>
      <c r="C37" s="4"/>
      <c r="D37" s="4"/>
      <c r="E37" s="99"/>
      <c r="F37" s="99"/>
      <c r="G37" s="99"/>
      <c r="H37" s="99"/>
      <c r="I37" s="99"/>
    </row>
    <row r="38" spans="1:10" ht="12.75" customHeight="1" x14ac:dyDescent="0.25">
      <c r="A38" s="135" t="s">
        <v>94</v>
      </c>
      <c r="B38" s="136"/>
      <c r="C38" s="136"/>
      <c r="D38" s="136"/>
      <c r="E38" s="111">
        <f>([2]Summary!M7+[2]Summary!M26)*1000</f>
        <v>557800.42690542818</v>
      </c>
      <c r="F38" s="111">
        <f>([2]Summary!N7+[2]Summary!N26)*1000</f>
        <v>761243.34790433163</v>
      </c>
      <c r="G38" s="111">
        <f>([2]Summary!O7+[2]Summary!O26)*1000</f>
        <v>971216.76686805871</v>
      </c>
      <c r="H38" s="111">
        <f>([2]Summary!P7+[2]Summary!P26)*1000</f>
        <v>1201025.4982439834</v>
      </c>
      <c r="I38" s="111">
        <f>([2]Summary!Q7+[2]Summary!Q26)*1000</f>
        <v>1450387.9618709565</v>
      </c>
    </row>
    <row r="39" spans="1:10" ht="12.75" customHeight="1" x14ac:dyDescent="0.25"/>
    <row r="40" spans="1:10" ht="12.75" customHeight="1" x14ac:dyDescent="0.25"/>
    <row r="41" spans="1:10" ht="12.75" customHeight="1" x14ac:dyDescent="0.25"/>
    <row r="42" spans="1:10" ht="12.75" customHeight="1" x14ac:dyDescent="0.25"/>
    <row r="43" spans="1:10" ht="12.75" customHeight="1" x14ac:dyDescent="0.25"/>
    <row r="44" spans="1:10" ht="12.75" customHeight="1" x14ac:dyDescent="0.25"/>
    <row r="45" spans="1:10" ht="12.75" customHeight="1" x14ac:dyDescent="0.25"/>
    <row r="46" spans="1:10" ht="12.75" customHeight="1" x14ac:dyDescent="0.25"/>
    <row r="47" spans="1:10" ht="12.75" customHeight="1" x14ac:dyDescent="0.25"/>
    <row r="48" spans="1:10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</sheetData>
  <dataValidations disablePrompts="1" count="2">
    <dataValidation type="list" allowBlank="1" showInputMessage="1" showErrorMessage="1" sqref="B16:B17 B8">
      <formula1>$D$10:$J$10</formula1>
    </dataValidation>
    <dataValidation type="list" allowBlank="1" showInputMessage="1" showErrorMessage="1" sqref="C30:C32 C38">
      <formula1>"CapEx, OpEx"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64"/>
  <sheetViews>
    <sheetView showGridLines="0" zoomScale="90" zoomScaleNormal="90" workbookViewId="0"/>
  </sheetViews>
  <sheetFormatPr defaultColWidth="9.28515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5" width="11.28515625" style="1" customWidth="1"/>
    <col min="6" max="6" width="2.7109375" style="1" customWidth="1"/>
    <col min="7" max="7" width="12.28515625" style="1" customWidth="1"/>
    <col min="8" max="8" width="12.7109375" style="12" customWidth="1"/>
    <col min="9" max="9" width="2.7109375" style="1" customWidth="1"/>
    <col min="10" max="14" width="12.28515625" style="1" customWidth="1"/>
    <col min="15" max="15" width="2.7109375" style="1" customWidth="1"/>
    <col min="16" max="20" width="12.28515625" style="1" customWidth="1"/>
    <col min="21" max="21" width="2.28515625" style="1" customWidth="1"/>
    <col min="22" max="24" width="9.28515625" style="1"/>
    <col min="25" max="25" width="10" style="1" bestFit="1" customWidth="1"/>
    <col min="26" max="16384" width="9.28515625" style="1"/>
  </cols>
  <sheetData>
    <row r="1" spans="1:25" ht="21" x14ac:dyDescent="0.35">
      <c r="A1" s="18" t="str">
        <f>Assumptions!A1</f>
        <v>5 minute settlement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8" customFormat="1" ht="15" x14ac:dyDescent="0.25">
      <c r="A3" s="36" t="s">
        <v>29</v>
      </c>
      <c r="B3" s="36"/>
      <c r="C3" s="36"/>
      <c r="D3" s="36"/>
      <c r="E3" s="36"/>
      <c r="F3" s="36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V3" s="119" t="b">
        <f>SUM(V7:V57)=0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99"/>
      <c r="C7" s="121" t="s">
        <v>45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I7" s="99"/>
      <c r="J7" s="23" t="s">
        <v>44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s="99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2" t="s">
        <v>16</v>
      </c>
      <c r="K8" s="122" t="s">
        <v>17</v>
      </c>
      <c r="L8" s="122" t="s">
        <v>18</v>
      </c>
      <c r="M8" s="122" t="s">
        <v>19</v>
      </c>
      <c r="N8" s="122" t="s">
        <v>20</v>
      </c>
      <c r="O8" s="4"/>
      <c r="P8" s="122" t="s">
        <v>16</v>
      </c>
      <c r="Q8" s="122" t="s">
        <v>17</v>
      </c>
      <c r="R8" s="122" t="s">
        <v>18</v>
      </c>
      <c r="S8" s="122" t="s">
        <v>19</v>
      </c>
      <c r="T8" s="122" t="s">
        <v>20</v>
      </c>
    </row>
    <row r="9" spans="1:25" ht="12.75" customHeight="1" x14ac:dyDescent="0.2">
      <c r="A9" s="99"/>
      <c r="B9" s="99"/>
      <c r="C9" s="4"/>
      <c r="D9" s="4"/>
      <c r="E9" s="4"/>
      <c r="F9" s="20"/>
      <c r="G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</row>
    <row r="10" spans="1:25" ht="12.75" customHeight="1" x14ac:dyDescent="0.2">
      <c r="A10" s="7"/>
      <c r="C10" s="107" t="s">
        <v>56</v>
      </c>
      <c r="D10" s="108" t="s">
        <v>5</v>
      </c>
      <c r="E10" s="109" t="s">
        <v>2</v>
      </c>
      <c r="F10" s="3"/>
      <c r="G10" s="110">
        <v>122.2</v>
      </c>
      <c r="H10" s="12" t="s">
        <v>42</v>
      </c>
      <c r="I10" s="3"/>
      <c r="J10" s="111">
        <v>7921.4402618657941</v>
      </c>
      <c r="K10" s="111">
        <v>2880.5237315875611</v>
      </c>
      <c r="L10" s="111"/>
      <c r="M10" s="111"/>
      <c r="N10" s="111"/>
      <c r="O10" s="3"/>
      <c r="P10" s="8">
        <f t="shared" ref="P10:P12" si="0">J10*$G10</f>
        <v>968000.00000000012</v>
      </c>
      <c r="Q10" s="8">
        <f t="shared" ref="Q10:Q12" si="1">K10*$G10</f>
        <v>352000</v>
      </c>
      <c r="R10" s="8">
        <f t="shared" ref="R10:R12" si="2">L10*$G10</f>
        <v>0</v>
      </c>
      <c r="S10" s="8">
        <f t="shared" ref="S10:S15" si="3">M10*$G10</f>
        <v>0</v>
      </c>
      <c r="T10" s="8">
        <f t="shared" ref="T10:T15" si="4">N10*$G10</f>
        <v>0</v>
      </c>
    </row>
    <row r="11" spans="1:25" ht="12.75" customHeight="1" x14ac:dyDescent="0.2">
      <c r="A11" s="7"/>
      <c r="C11" s="107" t="s">
        <v>57</v>
      </c>
      <c r="D11" s="108" t="s">
        <v>5</v>
      </c>
      <c r="E11" s="109" t="s">
        <v>2</v>
      </c>
      <c r="F11" s="3"/>
      <c r="G11" s="110">
        <v>122.2</v>
      </c>
      <c r="H11" s="12" t="s">
        <v>42</v>
      </c>
      <c r="I11" s="3"/>
      <c r="J11" s="112">
        <v>1440.2618657937805</v>
      </c>
      <c r="K11" s="112"/>
      <c r="L11" s="112"/>
      <c r="M11" s="112"/>
      <c r="N11" s="112"/>
      <c r="O11" s="3"/>
      <c r="P11" s="8">
        <f t="shared" si="0"/>
        <v>176000</v>
      </c>
      <c r="Q11" s="8">
        <f t="shared" si="1"/>
        <v>0</v>
      </c>
      <c r="R11" s="8">
        <f t="shared" si="2"/>
        <v>0</v>
      </c>
      <c r="S11" s="8">
        <f t="shared" si="3"/>
        <v>0</v>
      </c>
      <c r="T11" s="8">
        <f t="shared" si="4"/>
        <v>0</v>
      </c>
    </row>
    <row r="12" spans="1:25" ht="12.75" customHeight="1" x14ac:dyDescent="0.2">
      <c r="A12" s="7"/>
      <c r="C12" s="107" t="s">
        <v>58</v>
      </c>
      <c r="D12" s="108" t="s">
        <v>5</v>
      </c>
      <c r="E12" s="109" t="s">
        <v>2</v>
      </c>
      <c r="F12" s="3"/>
      <c r="G12" s="110">
        <v>122.2</v>
      </c>
      <c r="H12" s="12" t="s">
        <v>42</v>
      </c>
      <c r="I12" s="3"/>
      <c r="J12" s="112">
        <v>1440.2618657937805</v>
      </c>
      <c r="K12" s="112"/>
      <c r="L12" s="112"/>
      <c r="M12" s="112"/>
      <c r="N12" s="112"/>
      <c r="O12" s="3"/>
      <c r="P12" s="8">
        <f t="shared" si="0"/>
        <v>176000</v>
      </c>
      <c r="Q12" s="8">
        <f t="shared" si="1"/>
        <v>0</v>
      </c>
      <c r="R12" s="8">
        <f t="shared" si="2"/>
        <v>0</v>
      </c>
      <c r="S12" s="8">
        <f t="shared" si="3"/>
        <v>0</v>
      </c>
      <c r="T12" s="8">
        <f t="shared" si="4"/>
        <v>0</v>
      </c>
    </row>
    <row r="13" spans="1:25" ht="12.75" customHeight="1" x14ac:dyDescent="0.25">
      <c r="A13" s="7"/>
      <c r="C13" s="107" t="s">
        <v>59</v>
      </c>
      <c r="D13" s="108" t="s">
        <v>5</v>
      </c>
      <c r="E13" s="109" t="s">
        <v>2</v>
      </c>
      <c r="F13" s="3"/>
      <c r="G13" s="110">
        <v>122.2</v>
      </c>
      <c r="H13" s="12" t="s">
        <v>42</v>
      </c>
      <c r="I13" s="3"/>
      <c r="J13" s="112">
        <v>1650.3000545553739</v>
      </c>
      <c r="K13" s="112"/>
      <c r="L13" s="112"/>
      <c r="M13" s="112"/>
      <c r="N13" s="112"/>
      <c r="O13" s="3"/>
      <c r="P13" s="8">
        <f t="shared" ref="P13:P33" si="5">J13*$G13</f>
        <v>201666.66666666669</v>
      </c>
      <c r="Q13" s="8">
        <f t="shared" ref="Q13:Q33" si="6">K13*$G13</f>
        <v>0</v>
      </c>
      <c r="R13" s="8">
        <f t="shared" ref="R13:R33" si="7">L13*$G13</f>
        <v>0</v>
      </c>
      <c r="S13" s="8">
        <f t="shared" si="3"/>
        <v>0</v>
      </c>
      <c r="T13" s="8">
        <f t="shared" si="4"/>
        <v>0</v>
      </c>
      <c r="Y13"/>
    </row>
    <row r="14" spans="1:25" ht="12.75" customHeight="1" x14ac:dyDescent="0.25">
      <c r="A14" s="7"/>
      <c r="C14" s="107" t="s">
        <v>60</v>
      </c>
      <c r="D14" s="108" t="s">
        <v>5</v>
      </c>
      <c r="E14" s="109" t="s">
        <v>2</v>
      </c>
      <c r="F14" s="3"/>
      <c r="G14" s="110">
        <v>122.2</v>
      </c>
      <c r="H14" s="12" t="s">
        <v>42</v>
      </c>
      <c r="I14" s="3"/>
      <c r="J14" s="114">
        <v>1650.3000545553739</v>
      </c>
      <c r="K14" s="114"/>
      <c r="L14" s="112"/>
      <c r="M14" s="112"/>
      <c r="N14" s="112"/>
      <c r="O14" s="3"/>
      <c r="P14" s="8">
        <f t="shared" si="5"/>
        <v>201666.66666666669</v>
      </c>
      <c r="Q14" s="8">
        <f t="shared" si="6"/>
        <v>0</v>
      </c>
      <c r="R14" s="8">
        <f t="shared" si="7"/>
        <v>0</v>
      </c>
      <c r="S14" s="8">
        <f t="shared" si="3"/>
        <v>0</v>
      </c>
      <c r="T14" s="8">
        <f t="shared" si="4"/>
        <v>0</v>
      </c>
      <c r="Y14"/>
    </row>
    <row r="15" spans="1:25" ht="12.75" customHeight="1" x14ac:dyDescent="0.25">
      <c r="A15" s="7"/>
      <c r="C15" s="115" t="s">
        <v>61</v>
      </c>
      <c r="D15" s="108" t="s">
        <v>5</v>
      </c>
      <c r="E15" s="109" t="s">
        <v>2</v>
      </c>
      <c r="F15" s="3"/>
      <c r="G15" s="110">
        <v>122.2</v>
      </c>
      <c r="H15" s="12" t="s">
        <v>42</v>
      </c>
      <c r="I15" s="3"/>
      <c r="J15" s="114">
        <v>1440.2618657937805</v>
      </c>
      <c r="K15" s="114">
        <v>1440.2618657937805</v>
      </c>
      <c r="L15" s="114"/>
      <c r="M15" s="113"/>
      <c r="N15" s="114"/>
      <c r="O15" s="3"/>
      <c r="P15" s="8">
        <f t="shared" si="5"/>
        <v>176000</v>
      </c>
      <c r="Q15" s="8">
        <f t="shared" si="6"/>
        <v>176000</v>
      </c>
      <c r="R15" s="8">
        <f t="shared" si="7"/>
        <v>0</v>
      </c>
      <c r="S15" s="8">
        <f t="shared" si="3"/>
        <v>0</v>
      </c>
      <c r="T15" s="8">
        <f t="shared" si="4"/>
        <v>0</v>
      </c>
      <c r="Y15"/>
    </row>
    <row r="16" spans="1:25" s="99" customFormat="1" ht="12.75" customHeight="1" x14ac:dyDescent="0.25">
      <c r="A16" s="7"/>
      <c r="C16" s="115" t="s">
        <v>62</v>
      </c>
      <c r="D16" s="108" t="s">
        <v>5</v>
      </c>
      <c r="E16" s="109" t="s">
        <v>2</v>
      </c>
      <c r="F16" s="3"/>
      <c r="G16" s="110">
        <v>122.2</v>
      </c>
      <c r="H16" s="12" t="s">
        <v>42</v>
      </c>
      <c r="I16" s="3"/>
      <c r="J16" s="114">
        <v>1440.2618657937805</v>
      </c>
      <c r="K16" s="114">
        <v>1440.2618657937805</v>
      </c>
      <c r="L16" s="114"/>
      <c r="M16" s="113"/>
      <c r="N16" s="114"/>
      <c r="O16" s="3"/>
      <c r="P16" s="8">
        <f t="shared" si="5"/>
        <v>176000</v>
      </c>
      <c r="Q16" s="8">
        <f t="shared" si="6"/>
        <v>176000</v>
      </c>
      <c r="R16" s="8">
        <f t="shared" si="7"/>
        <v>0</v>
      </c>
      <c r="S16" s="8">
        <f t="shared" ref="S16:S34" si="8">M16*$G16</f>
        <v>0</v>
      </c>
      <c r="T16" s="8">
        <f t="shared" ref="T16:T34" si="9">N16*$G16</f>
        <v>0</v>
      </c>
      <c r="Y16"/>
    </row>
    <row r="17" spans="1:25" s="99" customFormat="1" ht="12.75" customHeight="1" x14ac:dyDescent="0.25">
      <c r="A17" s="7"/>
      <c r="C17" s="115" t="s">
        <v>63</v>
      </c>
      <c r="D17" s="108" t="s">
        <v>5</v>
      </c>
      <c r="E17" s="109" t="s">
        <v>2</v>
      </c>
      <c r="F17" s="3"/>
      <c r="G17" s="110">
        <v>122.2</v>
      </c>
      <c r="H17" s="12" t="s">
        <v>42</v>
      </c>
      <c r="I17" s="3"/>
      <c r="J17" s="114">
        <v>6436.1702127659573</v>
      </c>
      <c r="K17" s="114">
        <v>2340.4255319148938</v>
      </c>
      <c r="L17" s="114"/>
      <c r="M17" s="113"/>
      <c r="N17" s="114"/>
      <c r="O17" s="3"/>
      <c r="P17" s="8">
        <f t="shared" si="5"/>
        <v>786500</v>
      </c>
      <c r="Q17" s="8">
        <f t="shared" si="6"/>
        <v>286000</v>
      </c>
      <c r="R17" s="8">
        <f t="shared" si="7"/>
        <v>0</v>
      </c>
      <c r="S17" s="8">
        <f t="shared" si="8"/>
        <v>0</v>
      </c>
      <c r="T17" s="8">
        <f t="shared" si="9"/>
        <v>0</v>
      </c>
      <c r="Y17"/>
    </row>
    <row r="18" spans="1:25" s="99" customFormat="1" ht="12.75" customHeight="1" x14ac:dyDescent="0.25">
      <c r="A18" s="7"/>
      <c r="C18" s="115" t="s">
        <v>64</v>
      </c>
      <c r="D18" s="108" t="s">
        <v>5</v>
      </c>
      <c r="E18" s="109" t="s">
        <v>2</v>
      </c>
      <c r="F18" s="3"/>
      <c r="G18" s="110">
        <v>122.2</v>
      </c>
      <c r="H18" s="12" t="s">
        <v>42</v>
      </c>
      <c r="I18" s="3"/>
      <c r="J18" s="114">
        <v>3465.6301145662851</v>
      </c>
      <c r="K18" s="114">
        <v>1440.2618657937805</v>
      </c>
      <c r="L18" s="114"/>
      <c r="M18" s="113"/>
      <c r="N18" s="114"/>
      <c r="O18" s="3"/>
      <c r="P18" s="8">
        <f t="shared" si="5"/>
        <v>423500.00000000006</v>
      </c>
      <c r="Q18" s="8">
        <f t="shared" si="6"/>
        <v>176000</v>
      </c>
      <c r="R18" s="8">
        <f t="shared" si="7"/>
        <v>0</v>
      </c>
      <c r="S18" s="8">
        <f t="shared" si="8"/>
        <v>0</v>
      </c>
      <c r="T18" s="8">
        <f t="shared" si="9"/>
        <v>0</v>
      </c>
      <c r="Y18"/>
    </row>
    <row r="19" spans="1:25" s="99" customFormat="1" ht="12.75" customHeight="1" x14ac:dyDescent="0.25">
      <c r="A19" s="7"/>
      <c r="C19" s="115" t="s">
        <v>65</v>
      </c>
      <c r="D19" s="108" t="s">
        <v>5</v>
      </c>
      <c r="E19" s="109" t="s">
        <v>2</v>
      </c>
      <c r="F19" s="3"/>
      <c r="G19" s="110">
        <v>122.2</v>
      </c>
      <c r="H19" s="12" t="s">
        <v>42</v>
      </c>
      <c r="I19" s="3"/>
      <c r="J19" s="114">
        <v>3465.6301145662851</v>
      </c>
      <c r="K19" s="114">
        <v>1440.2618657937805</v>
      </c>
      <c r="L19" s="114"/>
      <c r="M19" s="113"/>
      <c r="N19" s="114"/>
      <c r="O19" s="3"/>
      <c r="P19" s="8">
        <f t="shared" si="5"/>
        <v>423500.00000000006</v>
      </c>
      <c r="Q19" s="8">
        <f t="shared" si="6"/>
        <v>176000</v>
      </c>
      <c r="R19" s="8">
        <f t="shared" si="7"/>
        <v>0</v>
      </c>
      <c r="S19" s="8">
        <f t="shared" si="8"/>
        <v>0</v>
      </c>
      <c r="T19" s="8">
        <f t="shared" si="9"/>
        <v>0</v>
      </c>
      <c r="Y19"/>
    </row>
    <row r="20" spans="1:25" s="99" customFormat="1" ht="12.75" customHeight="1" x14ac:dyDescent="0.25">
      <c r="A20" s="7"/>
      <c r="C20" s="115" t="s">
        <v>66</v>
      </c>
      <c r="D20" s="108" t="s">
        <v>5</v>
      </c>
      <c r="E20" s="109" t="s">
        <v>2</v>
      </c>
      <c r="F20" s="3"/>
      <c r="G20" s="110">
        <v>122.2</v>
      </c>
      <c r="H20" s="12" t="s">
        <v>42</v>
      </c>
      <c r="I20" s="3"/>
      <c r="J20" s="114">
        <v>1485.2700490998366</v>
      </c>
      <c r="K20" s="114"/>
      <c r="L20" s="114"/>
      <c r="M20" s="113"/>
      <c r="N20" s="114"/>
      <c r="O20" s="3"/>
      <c r="P20" s="8">
        <f t="shared" si="5"/>
        <v>181500.00000000003</v>
      </c>
      <c r="Q20" s="8">
        <f t="shared" si="6"/>
        <v>0</v>
      </c>
      <c r="R20" s="8">
        <f t="shared" si="7"/>
        <v>0</v>
      </c>
      <c r="S20" s="8">
        <f t="shared" si="8"/>
        <v>0</v>
      </c>
      <c r="T20" s="8">
        <f t="shared" si="9"/>
        <v>0</v>
      </c>
      <c r="Y20"/>
    </row>
    <row r="21" spans="1:25" s="99" customFormat="1" ht="12.75" customHeight="1" x14ac:dyDescent="0.25">
      <c r="A21" s="7"/>
      <c r="C21" s="115" t="s">
        <v>67</v>
      </c>
      <c r="D21" s="108" t="s">
        <v>5</v>
      </c>
      <c r="E21" s="109" t="s">
        <v>2</v>
      </c>
      <c r="F21" s="3"/>
      <c r="G21" s="110">
        <v>122.2</v>
      </c>
      <c r="H21" s="12" t="s">
        <v>42</v>
      </c>
      <c r="I21" s="3"/>
      <c r="J21" s="114">
        <v>990.18003273322427</v>
      </c>
      <c r="K21" s="114"/>
      <c r="L21" s="114"/>
      <c r="M21" s="113"/>
      <c r="N21" s="114"/>
      <c r="O21" s="3"/>
      <c r="P21" s="8">
        <f t="shared" si="5"/>
        <v>121000.00000000001</v>
      </c>
      <c r="Q21" s="8">
        <f t="shared" si="6"/>
        <v>0</v>
      </c>
      <c r="R21" s="8">
        <f t="shared" si="7"/>
        <v>0</v>
      </c>
      <c r="S21" s="8">
        <f t="shared" si="8"/>
        <v>0</v>
      </c>
      <c r="T21" s="8">
        <f t="shared" si="9"/>
        <v>0</v>
      </c>
      <c r="Y21"/>
    </row>
    <row r="22" spans="1:25" s="99" customFormat="1" ht="12.75" customHeight="1" x14ac:dyDescent="0.25">
      <c r="A22" s="7"/>
      <c r="C22" s="115" t="s">
        <v>68</v>
      </c>
      <c r="D22" s="108" t="s">
        <v>5</v>
      </c>
      <c r="E22" s="109" t="s">
        <v>2</v>
      </c>
      <c r="F22" s="3"/>
      <c r="G22" s="110">
        <v>122.2</v>
      </c>
      <c r="H22" s="12" t="s">
        <v>42</v>
      </c>
      <c r="I22" s="3"/>
      <c r="J22" s="114">
        <v>3960.7201309328971</v>
      </c>
      <c r="K22" s="114"/>
      <c r="L22" s="114"/>
      <c r="M22" s="113"/>
      <c r="N22" s="114"/>
      <c r="O22" s="3"/>
      <c r="P22" s="8">
        <f t="shared" si="5"/>
        <v>484000.00000000006</v>
      </c>
      <c r="Q22" s="8">
        <f t="shared" si="6"/>
        <v>0</v>
      </c>
      <c r="R22" s="8">
        <f t="shared" si="7"/>
        <v>0</v>
      </c>
      <c r="S22" s="8">
        <f t="shared" si="8"/>
        <v>0</v>
      </c>
      <c r="T22" s="8">
        <f t="shared" si="9"/>
        <v>0</v>
      </c>
      <c r="Y22"/>
    </row>
    <row r="23" spans="1:25" s="99" customFormat="1" ht="12.75" customHeight="1" x14ac:dyDescent="0.25">
      <c r="A23" s="7"/>
      <c r="C23" s="115" t="s">
        <v>69</v>
      </c>
      <c r="D23" s="108" t="s">
        <v>5</v>
      </c>
      <c r="E23" s="109" t="s">
        <v>2</v>
      </c>
      <c r="F23" s="3"/>
      <c r="G23" s="110">
        <v>122.2</v>
      </c>
      <c r="H23" s="12" t="s">
        <v>42</v>
      </c>
      <c r="I23" s="3"/>
      <c r="J23" s="114">
        <v>4455.8101472995086</v>
      </c>
      <c r="K23" s="114"/>
      <c r="L23" s="114"/>
      <c r="M23" s="113"/>
      <c r="N23" s="114"/>
      <c r="O23" s="3"/>
      <c r="P23" s="8">
        <f t="shared" si="5"/>
        <v>544500</v>
      </c>
      <c r="Q23" s="8">
        <f t="shared" si="6"/>
        <v>0</v>
      </c>
      <c r="R23" s="8">
        <f t="shared" si="7"/>
        <v>0</v>
      </c>
      <c r="S23" s="8">
        <f t="shared" si="8"/>
        <v>0</v>
      </c>
      <c r="T23" s="8">
        <f t="shared" si="9"/>
        <v>0</v>
      </c>
      <c r="Y23"/>
    </row>
    <row r="24" spans="1:25" s="99" customFormat="1" ht="12.75" customHeight="1" x14ac:dyDescent="0.25">
      <c r="A24" s="7"/>
      <c r="C24" s="115" t="s">
        <v>70</v>
      </c>
      <c r="D24" s="108" t="s">
        <v>5</v>
      </c>
      <c r="E24" s="109" t="s">
        <v>2</v>
      </c>
      <c r="F24" s="3"/>
      <c r="G24" s="110">
        <v>122.2</v>
      </c>
      <c r="H24" s="12" t="s">
        <v>42</v>
      </c>
      <c r="I24" s="3"/>
      <c r="J24" s="114">
        <v>1155.2100381887617</v>
      </c>
      <c r="K24" s="114">
        <v>1440.2618657937805</v>
      </c>
      <c r="L24" s="114"/>
      <c r="M24" s="113"/>
      <c r="N24" s="114"/>
      <c r="O24" s="3"/>
      <c r="P24" s="8">
        <f t="shared" si="5"/>
        <v>141166.66666666669</v>
      </c>
      <c r="Q24" s="8">
        <f t="shared" si="6"/>
        <v>176000</v>
      </c>
      <c r="R24" s="8">
        <f t="shared" si="7"/>
        <v>0</v>
      </c>
      <c r="S24" s="8">
        <f t="shared" si="8"/>
        <v>0</v>
      </c>
      <c r="T24" s="8">
        <f t="shared" si="9"/>
        <v>0</v>
      </c>
      <c r="Y24"/>
    </row>
    <row r="25" spans="1:25" s="99" customFormat="1" ht="12.75" customHeight="1" x14ac:dyDescent="0.25">
      <c r="A25" s="7"/>
      <c r="C25" s="115" t="s">
        <v>55</v>
      </c>
      <c r="D25" s="108" t="s">
        <v>5</v>
      </c>
      <c r="E25" s="109" t="s">
        <v>2</v>
      </c>
      <c r="F25" s="3"/>
      <c r="G25" s="110">
        <v>122.2</v>
      </c>
      <c r="H25" s="12" t="s">
        <v>42</v>
      </c>
      <c r="I25" s="3"/>
      <c r="J25" s="114">
        <v>660.12002182214951</v>
      </c>
      <c r="K25" s="114"/>
      <c r="L25" s="114"/>
      <c r="M25" s="113"/>
      <c r="N25" s="114"/>
      <c r="O25" s="3"/>
      <c r="P25" s="8">
        <f t="shared" si="5"/>
        <v>80666.666666666672</v>
      </c>
      <c r="Q25" s="8">
        <f t="shared" si="6"/>
        <v>0</v>
      </c>
      <c r="R25" s="8">
        <f t="shared" si="7"/>
        <v>0</v>
      </c>
      <c r="S25" s="8">
        <f t="shared" si="8"/>
        <v>0</v>
      </c>
      <c r="T25" s="8">
        <f t="shared" si="9"/>
        <v>0</v>
      </c>
      <c r="Y25"/>
    </row>
    <row r="26" spans="1:25" s="99" customFormat="1" ht="12.75" customHeight="1" x14ac:dyDescent="0.25">
      <c r="A26" s="7"/>
      <c r="C26" s="115" t="s">
        <v>71</v>
      </c>
      <c r="D26" s="108" t="s">
        <v>5</v>
      </c>
      <c r="E26" s="109" t="s">
        <v>2</v>
      </c>
      <c r="F26" s="3"/>
      <c r="G26" s="110">
        <v>122.2</v>
      </c>
      <c r="H26" s="12" t="s">
        <v>42</v>
      </c>
      <c r="I26" s="3"/>
      <c r="J26" s="114">
        <v>1440.2618657937805</v>
      </c>
      <c r="K26" s="114"/>
      <c r="L26" s="114"/>
      <c r="M26" s="113"/>
      <c r="N26" s="114"/>
      <c r="O26" s="3"/>
      <c r="P26" s="8">
        <f t="shared" si="5"/>
        <v>176000</v>
      </c>
      <c r="Q26" s="8">
        <f t="shared" si="6"/>
        <v>0</v>
      </c>
      <c r="R26" s="8">
        <f t="shared" si="7"/>
        <v>0</v>
      </c>
      <c r="S26" s="8">
        <f t="shared" si="8"/>
        <v>0</v>
      </c>
      <c r="T26" s="8">
        <f t="shared" si="9"/>
        <v>0</v>
      </c>
      <c r="Y26"/>
    </row>
    <row r="27" spans="1:25" s="99" customFormat="1" ht="12.75" customHeight="1" x14ac:dyDescent="0.25">
      <c r="A27" s="7"/>
      <c r="C27" s="115" t="s">
        <v>72</v>
      </c>
      <c r="D27" s="108" t="s">
        <v>5</v>
      </c>
      <c r="E27" s="109" t="s">
        <v>2</v>
      </c>
      <c r="F27" s="3"/>
      <c r="G27" s="110">
        <v>122.2</v>
      </c>
      <c r="H27" s="12" t="s">
        <v>42</v>
      </c>
      <c r="I27" s="3"/>
      <c r="J27" s="114">
        <v>4125.7501363884348</v>
      </c>
      <c r="K27" s="114"/>
      <c r="L27" s="114"/>
      <c r="M27" s="113"/>
      <c r="N27" s="114"/>
      <c r="O27" s="3"/>
      <c r="P27" s="8">
        <f t="shared" si="5"/>
        <v>504166.66666666674</v>
      </c>
      <c r="Q27" s="8">
        <f t="shared" si="6"/>
        <v>0</v>
      </c>
      <c r="R27" s="8">
        <f t="shared" si="7"/>
        <v>0</v>
      </c>
      <c r="S27" s="8">
        <f t="shared" si="8"/>
        <v>0</v>
      </c>
      <c r="T27" s="8">
        <f t="shared" si="9"/>
        <v>0</v>
      </c>
      <c r="Y27"/>
    </row>
    <row r="28" spans="1:25" s="99" customFormat="1" ht="12.75" customHeight="1" x14ac:dyDescent="0.25">
      <c r="A28" s="7"/>
      <c r="C28" s="115" t="s">
        <v>73</v>
      </c>
      <c r="D28" s="108" t="s">
        <v>5</v>
      </c>
      <c r="E28" s="109" t="s">
        <v>2</v>
      </c>
      <c r="F28" s="3"/>
      <c r="G28" s="110">
        <v>122.2</v>
      </c>
      <c r="H28" s="12" t="s">
        <v>42</v>
      </c>
      <c r="I28" s="3"/>
      <c r="J28" s="114">
        <v>1440.2618657937805</v>
      </c>
      <c r="K28" s="114"/>
      <c r="L28" s="114"/>
      <c r="M28" s="113"/>
      <c r="N28" s="114"/>
      <c r="O28" s="3"/>
      <c r="P28" s="8">
        <f t="shared" si="5"/>
        <v>176000</v>
      </c>
      <c r="Q28" s="8">
        <f t="shared" si="6"/>
        <v>0</v>
      </c>
      <c r="R28" s="8">
        <f t="shared" si="7"/>
        <v>0</v>
      </c>
      <c r="S28" s="8">
        <f t="shared" si="8"/>
        <v>0</v>
      </c>
      <c r="T28" s="8">
        <f t="shared" si="9"/>
        <v>0</v>
      </c>
      <c r="Y28"/>
    </row>
    <row r="29" spans="1:25" s="99" customFormat="1" ht="12.75" customHeight="1" x14ac:dyDescent="0.25">
      <c r="A29" s="7"/>
      <c r="C29" s="115" t="s">
        <v>74</v>
      </c>
      <c r="D29" s="108" t="s">
        <v>5</v>
      </c>
      <c r="E29" s="109" t="s">
        <v>2</v>
      </c>
      <c r="F29" s="3"/>
      <c r="G29" s="110">
        <v>122.2</v>
      </c>
      <c r="H29" s="12" t="s">
        <v>42</v>
      </c>
      <c r="I29" s="3"/>
      <c r="J29" s="114">
        <v>1650.3000545553739</v>
      </c>
      <c r="K29" s="114"/>
      <c r="L29" s="114"/>
      <c r="M29" s="113"/>
      <c r="N29" s="114"/>
      <c r="O29" s="3"/>
      <c r="P29" s="8">
        <f t="shared" si="5"/>
        <v>201666.66666666669</v>
      </c>
      <c r="Q29" s="8">
        <f t="shared" si="6"/>
        <v>0</v>
      </c>
      <c r="R29" s="8">
        <f t="shared" si="7"/>
        <v>0</v>
      </c>
      <c r="S29" s="8">
        <f t="shared" si="8"/>
        <v>0</v>
      </c>
      <c r="T29" s="8">
        <f t="shared" si="9"/>
        <v>0</v>
      </c>
      <c r="Y29"/>
    </row>
    <row r="30" spans="1:25" s="99" customFormat="1" ht="12.75" customHeight="1" x14ac:dyDescent="0.25">
      <c r="A30" s="7"/>
      <c r="C30" s="115" t="s">
        <v>75</v>
      </c>
      <c r="D30" s="108" t="s">
        <v>5</v>
      </c>
      <c r="E30" s="109" t="s">
        <v>2</v>
      </c>
      <c r="F30" s="3"/>
      <c r="G30" s="110">
        <v>122.2</v>
      </c>
      <c r="H30" s="12" t="s">
        <v>42</v>
      </c>
      <c r="I30" s="3"/>
      <c r="J30" s="114">
        <v>1650.3000545553739</v>
      </c>
      <c r="K30" s="114"/>
      <c r="L30" s="114"/>
      <c r="M30" s="113"/>
      <c r="N30" s="114"/>
      <c r="O30" s="3"/>
      <c r="P30" s="8">
        <f t="shared" si="5"/>
        <v>201666.66666666669</v>
      </c>
      <c r="Q30" s="8">
        <f t="shared" si="6"/>
        <v>0</v>
      </c>
      <c r="R30" s="8">
        <f t="shared" si="7"/>
        <v>0</v>
      </c>
      <c r="S30" s="8">
        <f t="shared" si="8"/>
        <v>0</v>
      </c>
      <c r="T30" s="8">
        <f t="shared" si="9"/>
        <v>0</v>
      </c>
      <c r="Y30"/>
    </row>
    <row r="31" spans="1:25" s="99" customFormat="1" ht="12.75" customHeight="1" x14ac:dyDescent="0.25">
      <c r="A31" s="7"/>
      <c r="C31" s="115" t="s">
        <v>76</v>
      </c>
      <c r="D31" s="108" t="s">
        <v>5</v>
      </c>
      <c r="E31" s="109" t="s">
        <v>2</v>
      </c>
      <c r="F31" s="3"/>
      <c r="G31" s="110">
        <v>122.2</v>
      </c>
      <c r="H31" s="12" t="s">
        <v>42</v>
      </c>
      <c r="I31" s="3"/>
      <c r="J31" s="114">
        <v>3135.57010365521</v>
      </c>
      <c r="K31" s="114"/>
      <c r="L31" s="114"/>
      <c r="M31" s="113"/>
      <c r="N31" s="114"/>
      <c r="O31" s="3"/>
      <c r="P31" s="8">
        <f t="shared" si="5"/>
        <v>383166.66666666669</v>
      </c>
      <c r="Q31" s="8">
        <f t="shared" si="6"/>
        <v>0</v>
      </c>
      <c r="R31" s="8">
        <f t="shared" si="7"/>
        <v>0</v>
      </c>
      <c r="S31" s="8">
        <f t="shared" si="8"/>
        <v>0</v>
      </c>
      <c r="T31" s="8">
        <f t="shared" si="9"/>
        <v>0</v>
      </c>
      <c r="Y31"/>
    </row>
    <row r="32" spans="1:25" s="99" customFormat="1" ht="12.75" customHeight="1" x14ac:dyDescent="0.25">
      <c r="A32" s="7"/>
      <c r="C32" s="115" t="s">
        <v>77</v>
      </c>
      <c r="D32" s="108" t="s">
        <v>5</v>
      </c>
      <c r="E32" s="109" t="s">
        <v>2</v>
      </c>
      <c r="F32" s="3"/>
      <c r="G32" s="110">
        <v>122.2</v>
      </c>
      <c r="H32" s="12" t="s">
        <v>42</v>
      </c>
      <c r="I32" s="3"/>
      <c r="J32" s="114">
        <v>4620.8401527550468</v>
      </c>
      <c r="K32" s="114"/>
      <c r="L32" s="114"/>
      <c r="M32" s="113"/>
      <c r="N32" s="114"/>
      <c r="O32" s="3"/>
      <c r="P32" s="8">
        <f t="shared" si="5"/>
        <v>564666.66666666674</v>
      </c>
      <c r="Q32" s="8">
        <f t="shared" si="6"/>
        <v>0</v>
      </c>
      <c r="R32" s="8">
        <f t="shared" si="7"/>
        <v>0</v>
      </c>
      <c r="S32" s="8">
        <f t="shared" si="8"/>
        <v>0</v>
      </c>
      <c r="T32" s="8">
        <f t="shared" si="9"/>
        <v>0</v>
      </c>
      <c r="Y32"/>
    </row>
    <row r="33" spans="1:26" s="99" customFormat="1" ht="12.75" customHeight="1" x14ac:dyDescent="0.25">
      <c r="A33" s="7"/>
      <c r="C33" s="115" t="s">
        <v>78</v>
      </c>
      <c r="D33" s="108" t="s">
        <v>5</v>
      </c>
      <c r="E33" s="109" t="s">
        <v>2</v>
      </c>
      <c r="F33" s="3"/>
      <c r="G33" s="110">
        <v>122.2</v>
      </c>
      <c r="H33" s="12" t="s">
        <v>42</v>
      </c>
      <c r="I33" s="3"/>
      <c r="J33" s="114">
        <v>4455.8101472995086</v>
      </c>
      <c r="K33" s="114">
        <v>4455.8101472995086</v>
      </c>
      <c r="L33" s="114"/>
      <c r="M33" s="113"/>
      <c r="N33" s="114"/>
      <c r="O33" s="3"/>
      <c r="P33" s="8">
        <f t="shared" si="5"/>
        <v>544500</v>
      </c>
      <c r="Q33" s="8">
        <f t="shared" si="6"/>
        <v>544500</v>
      </c>
      <c r="R33" s="8">
        <f t="shared" si="7"/>
        <v>0</v>
      </c>
      <c r="S33" s="8">
        <f t="shared" si="8"/>
        <v>0</v>
      </c>
      <c r="T33" s="8">
        <f t="shared" si="9"/>
        <v>0</v>
      </c>
      <c r="Y33"/>
    </row>
    <row r="34" spans="1:26" s="99" customFormat="1" ht="12.75" customHeight="1" x14ac:dyDescent="0.25">
      <c r="A34" s="7"/>
      <c r="C34" s="115" t="s">
        <v>79</v>
      </c>
      <c r="D34" s="108" t="s">
        <v>5</v>
      </c>
      <c r="E34" s="109" t="s">
        <v>2</v>
      </c>
      <c r="F34" s="3"/>
      <c r="G34" s="110">
        <v>122.2</v>
      </c>
      <c r="H34" s="12" t="s">
        <v>42</v>
      </c>
      <c r="I34" s="3"/>
      <c r="J34" s="114">
        <v>21948.990725586467</v>
      </c>
      <c r="K34" s="114">
        <v>7096.2902345881084</v>
      </c>
      <c r="L34" s="114"/>
      <c r="M34" s="113"/>
      <c r="N34" s="114"/>
      <c r="O34" s="3"/>
      <c r="P34" s="8">
        <f t="shared" ref="P34" si="10">J34*$G34</f>
        <v>2682166.6666666665</v>
      </c>
      <c r="Q34" s="8">
        <f t="shared" ref="Q34" si="11">K34*$G34</f>
        <v>867166.66666666686</v>
      </c>
      <c r="R34" s="8">
        <f t="shared" ref="R34" si="12">L34*$G34</f>
        <v>0</v>
      </c>
      <c r="S34" s="8">
        <f t="shared" si="8"/>
        <v>0</v>
      </c>
      <c r="T34" s="8">
        <f t="shared" si="9"/>
        <v>0</v>
      </c>
      <c r="Y34"/>
    </row>
    <row r="35" spans="1:26" ht="12.75" customHeight="1" x14ac:dyDescent="0.25">
      <c r="A35" s="7"/>
      <c r="C35" s="99"/>
      <c r="D35" s="99"/>
      <c r="E35" s="99"/>
      <c r="F35" s="3"/>
      <c r="G35" s="99"/>
      <c r="I35" s="3"/>
      <c r="J35" s="99"/>
      <c r="K35" s="99"/>
      <c r="L35" s="99"/>
      <c r="M35" s="99"/>
      <c r="N35" s="99"/>
      <c r="O35" s="3"/>
      <c r="Y35"/>
    </row>
    <row r="36" spans="1:26" ht="12.75" customHeight="1" x14ac:dyDescent="0.25">
      <c r="A36" s="7"/>
      <c r="C36" s="99"/>
      <c r="D36" s="99"/>
      <c r="E36" s="99"/>
      <c r="F36" s="3"/>
      <c r="G36" s="99"/>
      <c r="I36" s="3"/>
      <c r="J36" s="99"/>
      <c r="K36" s="99"/>
      <c r="L36" s="99"/>
      <c r="M36" s="99"/>
      <c r="N36" s="99"/>
      <c r="O36" s="3"/>
      <c r="Y36"/>
    </row>
    <row r="37" spans="1:26" ht="12.75" customHeight="1" x14ac:dyDescent="0.25">
      <c r="A37" s="7"/>
      <c r="C37" s="107" t="s">
        <v>53</v>
      </c>
      <c r="D37" s="108" t="s">
        <v>5</v>
      </c>
      <c r="E37" s="109" t="s">
        <v>1</v>
      </c>
      <c r="F37" s="3"/>
      <c r="G37" s="6"/>
      <c r="H37" s="13" t="s">
        <v>43</v>
      </c>
      <c r="I37" s="3"/>
      <c r="J37" s="124">
        <f>26640+178099+7036</f>
        <v>211775</v>
      </c>
      <c r="K37" s="124">
        <f>6334+42346+1673</f>
        <v>50353</v>
      </c>
      <c r="L37" s="124">
        <f>7201+48138+1902</f>
        <v>57241</v>
      </c>
      <c r="M37" s="124">
        <f>8674+58591+2315</f>
        <v>69580</v>
      </c>
      <c r="N37" s="124">
        <f>17603+117683+4649</f>
        <v>139935</v>
      </c>
      <c r="O37" s="3"/>
      <c r="P37" s="8">
        <f t="shared" ref="P37:P38" si="13">J37</f>
        <v>211775</v>
      </c>
      <c r="Q37" s="8">
        <f t="shared" ref="Q37:Q38" si="14">K37</f>
        <v>50353</v>
      </c>
      <c r="R37" s="8">
        <f t="shared" ref="R37:R38" si="15">L37</f>
        <v>57241</v>
      </c>
      <c r="S37" s="8">
        <f t="shared" ref="S37:S38" si="16">M37</f>
        <v>69580</v>
      </c>
      <c r="T37" s="8">
        <f t="shared" ref="T37:T38" si="17">N37</f>
        <v>139935</v>
      </c>
      <c r="Y37" s="127"/>
      <c r="Z37" s="127"/>
    </row>
    <row r="38" spans="1:26" ht="12.75" customHeight="1" x14ac:dyDescent="0.25">
      <c r="A38" s="7"/>
      <c r="C38" s="107"/>
      <c r="D38" s="108"/>
      <c r="E38" s="109"/>
      <c r="F38" s="3"/>
      <c r="G38" s="6"/>
      <c r="H38" s="13"/>
      <c r="I38" s="3"/>
      <c r="J38" s="125"/>
      <c r="K38" s="125"/>
      <c r="L38" s="125"/>
      <c r="M38" s="125"/>
      <c r="N38" s="125"/>
      <c r="O38" s="3"/>
      <c r="P38" s="8">
        <f t="shared" si="13"/>
        <v>0</v>
      </c>
      <c r="Q38" s="8">
        <f t="shared" si="14"/>
        <v>0</v>
      </c>
      <c r="R38" s="8">
        <f t="shared" si="15"/>
        <v>0</v>
      </c>
      <c r="S38" s="8">
        <f t="shared" si="16"/>
        <v>0</v>
      </c>
      <c r="T38" s="8">
        <f t="shared" si="17"/>
        <v>0</v>
      </c>
      <c r="Y38" s="126"/>
      <c r="Z38" s="128"/>
    </row>
    <row r="39" spans="1:26" ht="12.75" customHeight="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Y39"/>
      <c r="Z39" s="128"/>
    </row>
    <row r="40" spans="1:26" ht="12.75" customHeight="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Y40"/>
      <c r="Z40" s="128"/>
    </row>
    <row r="41" spans="1:26" ht="12.75" customHeight="1" x14ac:dyDescent="0.2">
      <c r="A41" s="7"/>
      <c r="C41" s="107" t="s">
        <v>54</v>
      </c>
      <c r="D41" s="108" t="s">
        <v>5</v>
      </c>
      <c r="E41" s="109" t="s">
        <v>4</v>
      </c>
      <c r="F41" s="99"/>
      <c r="G41" s="6"/>
      <c r="H41" s="13" t="s">
        <v>43</v>
      </c>
      <c r="I41" s="99"/>
      <c r="J41" s="124">
        <v>300000</v>
      </c>
      <c r="K41" s="114"/>
      <c r="L41" s="113"/>
      <c r="M41" s="114"/>
      <c r="N41" s="113"/>
      <c r="P41" s="8">
        <f t="shared" ref="P41" si="18">J41</f>
        <v>300000</v>
      </c>
      <c r="Q41" s="8">
        <f t="shared" ref="Q41" si="19">K41</f>
        <v>0</v>
      </c>
      <c r="R41" s="8">
        <f t="shared" ref="R41" si="20">L41</f>
        <v>0</v>
      </c>
      <c r="S41" s="8">
        <f t="shared" ref="S41" si="21">M41</f>
        <v>0</v>
      </c>
      <c r="T41" s="8">
        <f t="shared" ref="T41" si="22">N41</f>
        <v>0</v>
      </c>
      <c r="Z41" s="129"/>
    </row>
    <row r="42" spans="1:26" s="99" customFormat="1" ht="12.75" customHeight="1" x14ac:dyDescent="0.2">
      <c r="A42" s="7"/>
      <c r="C42" s="107" t="s">
        <v>52</v>
      </c>
      <c r="D42" s="108" t="s">
        <v>5</v>
      </c>
      <c r="E42" s="109" t="s">
        <v>4</v>
      </c>
      <c r="G42" s="6"/>
      <c r="H42" s="13" t="s">
        <v>43</v>
      </c>
      <c r="J42" s="124">
        <v>490000</v>
      </c>
      <c r="K42" s="114"/>
      <c r="L42" s="113"/>
      <c r="M42" s="114"/>
      <c r="N42" s="113"/>
      <c r="P42" s="8">
        <f t="shared" ref="P42:P44" si="23">J42</f>
        <v>490000</v>
      </c>
      <c r="Q42" s="8">
        <f t="shared" ref="Q42:Q44" si="24">K42</f>
        <v>0</v>
      </c>
      <c r="R42" s="8">
        <f t="shared" ref="R42:R44" si="25">L42</f>
        <v>0</v>
      </c>
      <c r="S42" s="8">
        <f t="shared" ref="S42:S44" si="26">M42</f>
        <v>0</v>
      </c>
      <c r="T42" s="8">
        <f t="shared" ref="T42:T44" si="27">N42</f>
        <v>0</v>
      </c>
    </row>
    <row r="43" spans="1:26" s="99" customFormat="1" ht="12.75" customHeight="1" x14ac:dyDescent="0.2">
      <c r="A43" s="7"/>
      <c r="C43" s="107" t="s">
        <v>55</v>
      </c>
      <c r="D43" s="108" t="s">
        <v>5</v>
      </c>
      <c r="E43" s="109" t="s">
        <v>4</v>
      </c>
      <c r="G43" s="6"/>
      <c r="H43" s="13" t="s">
        <v>43</v>
      </c>
      <c r="J43" s="124">
        <v>1870000</v>
      </c>
      <c r="K43" s="114"/>
      <c r="L43" s="113"/>
      <c r="M43" s="114"/>
      <c r="N43" s="113"/>
      <c r="P43" s="8">
        <f t="shared" si="23"/>
        <v>1870000</v>
      </c>
      <c r="Q43" s="8">
        <f t="shared" si="24"/>
        <v>0</v>
      </c>
      <c r="R43" s="8">
        <f t="shared" si="25"/>
        <v>0</v>
      </c>
      <c r="S43" s="8">
        <f t="shared" si="26"/>
        <v>0</v>
      </c>
      <c r="T43" s="8">
        <f t="shared" si="27"/>
        <v>0</v>
      </c>
    </row>
    <row r="44" spans="1:26" ht="12.75" customHeight="1" x14ac:dyDescent="0.2">
      <c r="A44" s="7"/>
      <c r="C44" s="107"/>
      <c r="D44" s="108"/>
      <c r="E44" s="109"/>
      <c r="F44" s="99"/>
      <c r="G44" s="6"/>
      <c r="H44" s="13" t="s">
        <v>43</v>
      </c>
      <c r="I44" s="99"/>
      <c r="J44" s="113"/>
      <c r="K44" s="114"/>
      <c r="L44" s="113"/>
      <c r="M44" s="114"/>
      <c r="N44" s="113"/>
      <c r="P44" s="8">
        <f t="shared" si="23"/>
        <v>0</v>
      </c>
      <c r="Q44" s="8">
        <f t="shared" si="24"/>
        <v>0</v>
      </c>
      <c r="R44" s="8">
        <f t="shared" si="25"/>
        <v>0</v>
      </c>
      <c r="S44" s="8">
        <f t="shared" si="26"/>
        <v>0</v>
      </c>
      <c r="T44" s="8">
        <f t="shared" si="27"/>
        <v>0</v>
      </c>
    </row>
    <row r="45" spans="1:26" ht="12.75" customHeight="1" x14ac:dyDescent="0.2">
      <c r="A45" s="7"/>
      <c r="B45" s="99"/>
      <c r="C45" s="107"/>
      <c r="D45" s="108"/>
      <c r="E45" s="109"/>
      <c r="F45" s="99"/>
      <c r="G45" s="6"/>
      <c r="H45" s="13" t="s">
        <v>43</v>
      </c>
      <c r="I45" s="99"/>
      <c r="J45" s="113"/>
      <c r="K45" s="114"/>
      <c r="L45" s="113"/>
      <c r="M45" s="114"/>
      <c r="N45" s="113"/>
      <c r="O45" s="99"/>
      <c r="P45" s="8">
        <f t="shared" ref="P45" si="28">J45</f>
        <v>0</v>
      </c>
      <c r="Q45" s="8">
        <f t="shared" ref="Q45" si="29">K45</f>
        <v>0</v>
      </c>
      <c r="R45" s="8">
        <f t="shared" ref="R45" si="30">L45</f>
        <v>0</v>
      </c>
      <c r="S45" s="8">
        <f t="shared" ref="S45" si="31">M45</f>
        <v>0</v>
      </c>
      <c r="T45" s="8">
        <f t="shared" ref="T45" si="32">N45</f>
        <v>0</v>
      </c>
    </row>
    <row r="46" spans="1:26" ht="12.75" customHeight="1" x14ac:dyDescent="0.25">
      <c r="F46" s="3"/>
      <c r="I46" s="3"/>
      <c r="O46" s="3"/>
      <c r="Y46"/>
    </row>
    <row r="47" spans="1:26" ht="12.75" customHeight="1" x14ac:dyDescent="0.25">
      <c r="F47" s="3"/>
      <c r="I47" s="3"/>
      <c r="O47" s="3"/>
      <c r="Y47"/>
    </row>
    <row r="48" spans="1:26" ht="12.75" customHeight="1" x14ac:dyDescent="0.25">
      <c r="C48" s="5" t="s">
        <v>13</v>
      </c>
      <c r="F48" s="3"/>
      <c r="I48" s="3"/>
      <c r="O48" s="3"/>
      <c r="Y48"/>
    </row>
    <row r="49" spans="3:22" ht="12.75" customHeight="1" x14ac:dyDescent="0.2">
      <c r="C49" s="28" t="s">
        <v>2</v>
      </c>
      <c r="D49" s="28" t="s">
        <v>5</v>
      </c>
      <c r="E49" s="132"/>
      <c r="F49" s="3"/>
      <c r="G49" s="28"/>
      <c r="H49" s="29"/>
      <c r="I49" s="3"/>
      <c r="J49" s="28"/>
      <c r="K49" s="28"/>
      <c r="L49" s="28"/>
      <c r="M49" s="28"/>
      <c r="N49" s="28"/>
      <c r="O49" s="3"/>
      <c r="P49" s="30">
        <f t="shared" ref="P49:T54" si="33">SUMIFS(P$10:P$44,$E$10:$E$44,$C49,$D$10:$D$44,$D49)</f>
        <v>10695666.66666667</v>
      </c>
      <c r="Q49" s="30">
        <f t="shared" si="33"/>
        <v>2929666.666666667</v>
      </c>
      <c r="R49" s="30">
        <f t="shared" si="33"/>
        <v>0</v>
      </c>
      <c r="S49" s="30">
        <f t="shared" si="33"/>
        <v>0</v>
      </c>
      <c r="T49" s="30">
        <f t="shared" si="33"/>
        <v>0</v>
      </c>
    </row>
    <row r="50" spans="3:22" ht="12.75" customHeight="1" x14ac:dyDescent="0.2">
      <c r="C50" s="4" t="s">
        <v>1</v>
      </c>
      <c r="D50" s="4" t="s">
        <v>5</v>
      </c>
      <c r="E50" s="133"/>
      <c r="F50" s="3"/>
      <c r="G50" s="4"/>
      <c r="H50" s="13"/>
      <c r="I50" s="3"/>
      <c r="J50" s="4"/>
      <c r="K50" s="4"/>
      <c r="L50" s="4"/>
      <c r="M50" s="4"/>
      <c r="N50" s="4"/>
      <c r="O50" s="3"/>
      <c r="P50" s="9">
        <f t="shared" si="33"/>
        <v>211775</v>
      </c>
      <c r="Q50" s="9">
        <f t="shared" si="33"/>
        <v>50353</v>
      </c>
      <c r="R50" s="9">
        <f t="shared" si="33"/>
        <v>57241</v>
      </c>
      <c r="S50" s="9">
        <f t="shared" si="33"/>
        <v>69580</v>
      </c>
      <c r="T50" s="9">
        <f t="shared" si="33"/>
        <v>139935</v>
      </c>
    </row>
    <row r="51" spans="3:22" ht="12.75" customHeight="1" x14ac:dyDescent="0.2">
      <c r="C51" s="4" t="s">
        <v>4</v>
      </c>
      <c r="D51" s="4" t="s">
        <v>5</v>
      </c>
      <c r="E51" s="133"/>
      <c r="F51" s="3"/>
      <c r="G51" s="4"/>
      <c r="H51" s="13"/>
      <c r="I51" s="3"/>
      <c r="J51" s="4"/>
      <c r="K51" s="4"/>
      <c r="L51" s="4"/>
      <c r="M51" s="4"/>
      <c r="N51" s="4"/>
      <c r="O51" s="3"/>
      <c r="P51" s="9">
        <f t="shared" si="33"/>
        <v>2660000</v>
      </c>
      <c r="Q51" s="9">
        <f t="shared" si="33"/>
        <v>0</v>
      </c>
      <c r="R51" s="9">
        <f t="shared" si="33"/>
        <v>0</v>
      </c>
      <c r="S51" s="9">
        <f t="shared" si="33"/>
        <v>0</v>
      </c>
      <c r="T51" s="9">
        <f t="shared" si="33"/>
        <v>0</v>
      </c>
    </row>
    <row r="52" spans="3:22" ht="12.75" customHeight="1" x14ac:dyDescent="0.2">
      <c r="C52" s="4" t="s">
        <v>2</v>
      </c>
      <c r="D52" s="4" t="s">
        <v>41</v>
      </c>
      <c r="E52" s="133"/>
      <c r="F52" s="3"/>
      <c r="G52" s="4"/>
      <c r="H52" s="13"/>
      <c r="I52" s="3"/>
      <c r="J52" s="4"/>
      <c r="K52" s="4"/>
      <c r="L52" s="4"/>
      <c r="M52" s="4"/>
      <c r="N52" s="4"/>
      <c r="O52" s="3"/>
      <c r="P52" s="9">
        <f t="shared" si="33"/>
        <v>0</v>
      </c>
      <c r="Q52" s="9">
        <f t="shared" si="33"/>
        <v>0</v>
      </c>
      <c r="R52" s="9">
        <f t="shared" si="33"/>
        <v>0</v>
      </c>
      <c r="S52" s="9">
        <f t="shared" si="33"/>
        <v>0</v>
      </c>
      <c r="T52" s="9">
        <f t="shared" si="33"/>
        <v>0</v>
      </c>
    </row>
    <row r="53" spans="3:22" ht="12.75" customHeight="1" x14ac:dyDescent="0.2">
      <c r="C53" s="4" t="s">
        <v>1</v>
      </c>
      <c r="D53" s="4" t="s">
        <v>41</v>
      </c>
      <c r="E53" s="133"/>
      <c r="F53" s="3"/>
      <c r="G53" s="4"/>
      <c r="H53" s="13"/>
      <c r="I53" s="3"/>
      <c r="J53" s="4"/>
      <c r="K53" s="4"/>
      <c r="L53" s="4"/>
      <c r="M53" s="4"/>
      <c r="N53" s="4"/>
      <c r="O53" s="3"/>
      <c r="P53" s="9">
        <f t="shared" si="33"/>
        <v>0</v>
      </c>
      <c r="Q53" s="9">
        <f t="shared" si="33"/>
        <v>0</v>
      </c>
      <c r="R53" s="9">
        <f t="shared" si="33"/>
        <v>0</v>
      </c>
      <c r="S53" s="9">
        <f t="shared" si="33"/>
        <v>0</v>
      </c>
      <c r="T53" s="9">
        <f t="shared" si="33"/>
        <v>0</v>
      </c>
    </row>
    <row r="54" spans="3:22" ht="12.75" customHeight="1" x14ac:dyDescent="0.2">
      <c r="C54" s="4" t="s">
        <v>4</v>
      </c>
      <c r="D54" s="4" t="s">
        <v>41</v>
      </c>
      <c r="E54" s="134"/>
      <c r="F54" s="3"/>
      <c r="G54" s="7"/>
      <c r="H54" s="31"/>
      <c r="I54" s="3"/>
      <c r="J54" s="7"/>
      <c r="K54" s="7"/>
      <c r="L54" s="7"/>
      <c r="M54" s="7"/>
      <c r="N54" s="7"/>
      <c r="O54" s="3"/>
      <c r="P54" s="9">
        <f t="shared" si="33"/>
        <v>0</v>
      </c>
      <c r="Q54" s="9">
        <f t="shared" si="33"/>
        <v>0</v>
      </c>
      <c r="R54" s="9">
        <f t="shared" si="33"/>
        <v>0</v>
      </c>
      <c r="S54" s="9">
        <f t="shared" si="33"/>
        <v>0</v>
      </c>
      <c r="T54" s="9">
        <f t="shared" si="33"/>
        <v>0</v>
      </c>
    </row>
    <row r="55" spans="3:22" ht="12.75" customHeight="1" x14ac:dyDescent="0.2">
      <c r="C55" s="10" t="str">
        <f>"Total Expenditure ($ "&amp;Assumptions!$B$8&amp;")"</f>
        <v>Total Expenditure ($ 2018)</v>
      </c>
      <c r="D55" s="10"/>
      <c r="E55" s="10"/>
      <c r="F55" s="3"/>
      <c r="G55" s="10"/>
      <c r="H55" s="14"/>
      <c r="I55" s="3"/>
      <c r="J55" s="10"/>
      <c r="K55" s="10"/>
      <c r="L55" s="10"/>
      <c r="M55" s="10"/>
      <c r="N55" s="10"/>
      <c r="O55" s="3"/>
      <c r="P55" s="11">
        <f>SUM(P49:P54)</f>
        <v>13567441.66666667</v>
      </c>
      <c r="Q55" s="11">
        <f t="shared" ref="Q55:T55" si="34">SUM(Q49:Q54)</f>
        <v>2980019.666666667</v>
      </c>
      <c r="R55" s="11">
        <f t="shared" si="34"/>
        <v>57241</v>
      </c>
      <c r="S55" s="11">
        <f t="shared" si="34"/>
        <v>69580</v>
      </c>
      <c r="T55" s="11">
        <f t="shared" si="34"/>
        <v>139935</v>
      </c>
      <c r="U55" s="43"/>
    </row>
    <row r="56" spans="3:22" ht="12.75" customHeight="1" x14ac:dyDescent="0.2">
      <c r="C56" s="28" t="str">
        <f>"Total Expenditure ($ "&amp;Assumptions!B17&amp;")"</f>
        <v>Total Expenditure ($ 2020/21)</v>
      </c>
      <c r="D56" s="28"/>
      <c r="E56" s="28"/>
      <c r="F56" s="3"/>
      <c r="G56" s="28"/>
      <c r="H56" s="29"/>
      <c r="I56" s="3"/>
      <c r="J56" s="28"/>
      <c r="K56" s="28"/>
      <c r="L56" s="28"/>
      <c r="M56" s="28"/>
      <c r="N56" s="28"/>
      <c r="O56" s="3"/>
      <c r="P56" s="44">
        <f>P55*Assumptions!$B$18</f>
        <v>14368506.988453748</v>
      </c>
      <c r="Q56" s="44">
        <f>Q55*Assumptions!$B$18</f>
        <v>3155969.5967905717</v>
      </c>
      <c r="R56" s="44">
        <f>R55*Assumptions!$B$18</f>
        <v>60620.692443938824</v>
      </c>
      <c r="S56" s="44">
        <f>S55*Assumptions!$B$18</f>
        <v>73688.226625133437</v>
      </c>
      <c r="T56" s="44">
        <f>T55*Assumptions!$B$18</f>
        <v>148197.21173883369</v>
      </c>
      <c r="U56" s="43"/>
    </row>
    <row r="57" spans="3:22" ht="12.75" customHeight="1" x14ac:dyDescent="0.2">
      <c r="C57" s="100" t="s">
        <v>12</v>
      </c>
      <c r="D57" s="100"/>
      <c r="E57" s="100"/>
      <c r="F57" s="3"/>
      <c r="G57" s="100"/>
      <c r="H57" s="100"/>
      <c r="I57" s="3"/>
      <c r="J57" s="100"/>
      <c r="K57" s="100"/>
      <c r="L57" s="100"/>
      <c r="M57" s="100"/>
      <c r="N57" s="100"/>
      <c r="O57" s="3"/>
      <c r="P57" s="101">
        <f>P55-SUM(P10:P45)</f>
        <v>0</v>
      </c>
      <c r="Q57" s="101">
        <f>Q55-SUM(Q10:Q45)</f>
        <v>0</v>
      </c>
      <c r="R57" s="101">
        <f>R55-SUM(R10:R45)</f>
        <v>0</v>
      </c>
      <c r="S57" s="101">
        <f>S55-SUM(S10:S45)</f>
        <v>0</v>
      </c>
      <c r="T57" s="101">
        <f>T55-SUM(T10:T45)</f>
        <v>0</v>
      </c>
      <c r="V57" s="101">
        <f>SUM(P57:T57)</f>
        <v>0</v>
      </c>
    </row>
    <row r="58" spans="3:22" ht="12.75" customHeight="1" x14ac:dyDescent="0.2">
      <c r="F58" s="3"/>
      <c r="I58" s="3"/>
      <c r="O58" s="3"/>
    </row>
    <row r="59" spans="3:22" ht="12.75" customHeight="1" x14ac:dyDescent="0.2">
      <c r="C59" s="142" t="str">
        <f>"NPV ($ "&amp;Assumptions!$B$17&amp;")"</f>
        <v>NPV ($ 2020/21)</v>
      </c>
      <c r="D59" s="143">
        <f>NPV(Assumptions!$B$6,$P$56:$T$56)</f>
        <v>17224637.966358762</v>
      </c>
      <c r="F59" s="3"/>
      <c r="I59" s="3"/>
      <c r="O59" s="3"/>
    </row>
    <row r="60" spans="3:22" ht="12.75" customHeight="1" x14ac:dyDescent="0.2">
      <c r="O60" s="3"/>
    </row>
    <row r="61" spans="3:22" ht="12.75" customHeight="1" x14ac:dyDescent="0.2">
      <c r="O61" s="3"/>
    </row>
    <row r="62" spans="3:22" ht="12.75" customHeight="1" x14ac:dyDescent="0.2"/>
    <row r="63" spans="3:22" ht="12.75" customHeight="1" x14ac:dyDescent="0.2"/>
    <row r="64" spans="3:22" ht="12.75" customHeight="1" x14ac:dyDescent="0.2"/>
  </sheetData>
  <sortState ref="B59:B61">
    <sortCondition ref="B59:B61"/>
  </sortState>
  <conditionalFormatting sqref="V57">
    <cfRule type="expression" dxfId="3" priority="2">
      <formula>ABS(V57)&gt;0.001</formula>
    </cfRule>
  </conditionalFormatting>
  <conditionalFormatting sqref="P57:T57">
    <cfRule type="expression" dxfId="2" priority="1">
      <formula>ABS(P57)&gt;0.001</formula>
    </cfRule>
  </conditionalFormatting>
  <dataValidations count="2">
    <dataValidation type="list" allowBlank="1" showInputMessage="1" showErrorMessage="1" sqref="D37:D38 D41:D45 D10:D34">
      <formula1>"CapEx, OpEx"</formula1>
    </dataValidation>
    <dataValidation type="list" allowBlank="1" showInputMessage="1" showErrorMessage="1" sqref="E37:E38 E41:E45 E10:E34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64"/>
  <sheetViews>
    <sheetView showGridLines="0" zoomScale="90" zoomScaleNormal="90" workbookViewId="0"/>
  </sheetViews>
  <sheetFormatPr defaultColWidth="9.28515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5" width="11.28515625" style="1" customWidth="1"/>
    <col min="6" max="6" width="2.7109375" style="1" customWidth="1"/>
    <col min="7" max="7" width="12.28515625" style="1" customWidth="1"/>
    <col min="8" max="8" width="12.7109375" style="12" customWidth="1"/>
    <col min="9" max="9" width="2.7109375" style="1" customWidth="1"/>
    <col min="10" max="14" width="12.28515625" style="1" customWidth="1"/>
    <col min="15" max="15" width="2.7109375" style="1" customWidth="1"/>
    <col min="16" max="20" width="12.28515625" style="1" customWidth="1"/>
    <col min="21" max="21" width="2.28515625" style="1" customWidth="1"/>
    <col min="22" max="16384" width="9.28515625" style="1"/>
  </cols>
  <sheetData>
    <row r="1" spans="1:22" ht="21" x14ac:dyDescent="0.35">
      <c r="A1" s="18" t="str">
        <f>Assumptions!A1</f>
        <v>5 minute settlement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2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2" s="38" customFormat="1" ht="15" x14ac:dyDescent="0.25">
      <c r="A3" s="36" t="s">
        <v>21</v>
      </c>
      <c r="B3" s="36"/>
      <c r="C3" s="36"/>
      <c r="D3" s="36"/>
      <c r="E3" s="36"/>
      <c r="F3" s="36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V3" s="119" t="b">
        <f>SUM(V7:V57)=0</f>
        <v>1</v>
      </c>
    </row>
    <row r="4" spans="1:22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2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2" ht="12.75" customHeight="1" x14ac:dyDescent="0.2">
      <c r="A6" s="7"/>
      <c r="F6" s="20"/>
    </row>
    <row r="7" spans="1:22" ht="12.75" customHeight="1" x14ac:dyDescent="0.2">
      <c r="A7" s="7"/>
      <c r="B7" s="99"/>
      <c r="C7" s="121" t="s">
        <v>45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I7" s="99"/>
      <c r="J7" s="23" t="s">
        <v>44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2" s="99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2" t="s">
        <v>16</v>
      </c>
      <c r="K8" s="122" t="s">
        <v>17</v>
      </c>
      <c r="L8" s="122" t="s">
        <v>18</v>
      </c>
      <c r="M8" s="122" t="s">
        <v>19</v>
      </c>
      <c r="N8" s="122" t="s">
        <v>20</v>
      </c>
      <c r="O8" s="4"/>
      <c r="P8" s="122" t="s">
        <v>16</v>
      </c>
      <c r="Q8" s="122" t="s">
        <v>17</v>
      </c>
      <c r="R8" s="122" t="s">
        <v>18</v>
      </c>
      <c r="S8" s="122" t="s">
        <v>19</v>
      </c>
      <c r="T8" s="122" t="s">
        <v>20</v>
      </c>
    </row>
    <row r="9" spans="1:22" ht="12.75" customHeight="1" x14ac:dyDescent="0.2">
      <c r="A9" s="99"/>
      <c r="B9" s="99"/>
      <c r="C9" s="99"/>
      <c r="D9" s="99"/>
      <c r="E9" s="99"/>
      <c r="F9" s="20"/>
      <c r="G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</row>
    <row r="10" spans="1:22" ht="12.75" customHeight="1" x14ac:dyDescent="0.2">
      <c r="A10" s="7" t="str">
        <f>IF(ISBLANK(B10),"",1+MAX(A$6:A9))</f>
        <v/>
      </c>
      <c r="C10" s="107" t="s">
        <v>56</v>
      </c>
      <c r="D10" s="108" t="s">
        <v>5</v>
      </c>
      <c r="E10" s="109" t="s">
        <v>2</v>
      </c>
      <c r="F10" s="3"/>
      <c r="G10" s="110">
        <v>122.2</v>
      </c>
      <c r="H10" s="12" t="s">
        <v>42</v>
      </c>
      <c r="I10" s="3"/>
      <c r="J10" s="111">
        <v>11090.016366612112</v>
      </c>
      <c r="K10" s="111">
        <v>4032.7332242225852</v>
      </c>
      <c r="L10" s="111"/>
      <c r="M10" s="111"/>
      <c r="N10" s="111"/>
      <c r="O10" s="3"/>
      <c r="P10" s="8">
        <f t="shared" ref="P10:T34" si="0">J10*$G10</f>
        <v>1355200</v>
      </c>
      <c r="Q10" s="8">
        <f t="shared" si="0"/>
        <v>492799.99999999994</v>
      </c>
      <c r="R10" s="8">
        <f t="shared" si="0"/>
        <v>0</v>
      </c>
      <c r="S10" s="8">
        <f t="shared" si="0"/>
        <v>0</v>
      </c>
      <c r="T10" s="8">
        <f t="shared" si="0"/>
        <v>0</v>
      </c>
    </row>
    <row r="11" spans="1:22" s="99" customFormat="1" ht="12.75" customHeight="1" x14ac:dyDescent="0.2">
      <c r="A11" s="7"/>
      <c r="C11" s="107" t="s">
        <v>57</v>
      </c>
      <c r="D11" s="108" t="s">
        <v>5</v>
      </c>
      <c r="E11" s="109" t="s">
        <v>2</v>
      </c>
      <c r="F11" s="3"/>
      <c r="G11" s="110">
        <v>122.2</v>
      </c>
      <c r="H11" s="12" t="s">
        <v>42</v>
      </c>
      <c r="I11" s="3"/>
      <c r="J11" s="111">
        <v>2016.3666121112926</v>
      </c>
      <c r="K11" s="111"/>
      <c r="L11" s="111"/>
      <c r="M11" s="111"/>
      <c r="N11" s="111"/>
      <c r="O11" s="3"/>
      <c r="P11" s="8">
        <f t="shared" ref="P11:P30" si="1">J11*$G11</f>
        <v>246399.99999999997</v>
      </c>
      <c r="Q11" s="8">
        <f t="shared" ref="Q11:Q30" si="2">K11*$G11</f>
        <v>0</v>
      </c>
      <c r="R11" s="8">
        <f t="shared" ref="R11:R30" si="3">L11*$G11</f>
        <v>0</v>
      </c>
      <c r="S11" s="8">
        <f t="shared" ref="S11:S30" si="4">M11*$G11</f>
        <v>0</v>
      </c>
      <c r="T11" s="8">
        <f t="shared" ref="T11:T30" si="5">N11*$G11</f>
        <v>0</v>
      </c>
    </row>
    <row r="12" spans="1:22" s="99" customFormat="1" ht="12.75" customHeight="1" x14ac:dyDescent="0.2">
      <c r="A12" s="7"/>
      <c r="C12" s="107" t="s">
        <v>58</v>
      </c>
      <c r="D12" s="108" t="s">
        <v>5</v>
      </c>
      <c r="E12" s="109" t="s">
        <v>2</v>
      </c>
      <c r="F12" s="3"/>
      <c r="G12" s="110">
        <v>122.2</v>
      </c>
      <c r="H12" s="12" t="s">
        <v>42</v>
      </c>
      <c r="I12" s="3"/>
      <c r="J12" s="111">
        <v>2016.3666121112926</v>
      </c>
      <c r="K12" s="111"/>
      <c r="L12" s="111"/>
      <c r="M12" s="111"/>
      <c r="N12" s="111"/>
      <c r="O12" s="3"/>
      <c r="P12" s="8">
        <f t="shared" si="1"/>
        <v>246399.99999999997</v>
      </c>
      <c r="Q12" s="8">
        <f t="shared" si="2"/>
        <v>0</v>
      </c>
      <c r="R12" s="8">
        <f t="shared" si="3"/>
        <v>0</v>
      </c>
      <c r="S12" s="8">
        <f t="shared" si="4"/>
        <v>0</v>
      </c>
      <c r="T12" s="8">
        <f t="shared" si="5"/>
        <v>0</v>
      </c>
    </row>
    <row r="13" spans="1:22" s="99" customFormat="1" ht="12.75" customHeight="1" x14ac:dyDescent="0.2">
      <c r="A13" s="7"/>
      <c r="C13" s="107" t="s">
        <v>59</v>
      </c>
      <c r="D13" s="108" t="s">
        <v>5</v>
      </c>
      <c r="E13" s="109" t="s">
        <v>2</v>
      </c>
      <c r="F13" s="3"/>
      <c r="G13" s="110">
        <v>122.2</v>
      </c>
      <c r="H13" s="12" t="s">
        <v>42</v>
      </c>
      <c r="I13" s="3"/>
      <c r="J13" s="111">
        <v>2310.4200763775234</v>
      </c>
      <c r="K13" s="111"/>
      <c r="L13" s="111"/>
      <c r="M13" s="111"/>
      <c r="N13" s="111"/>
      <c r="O13" s="3"/>
      <c r="P13" s="8">
        <f t="shared" si="1"/>
        <v>282333.33333333337</v>
      </c>
      <c r="Q13" s="8">
        <f t="shared" si="2"/>
        <v>0</v>
      </c>
      <c r="R13" s="8">
        <f t="shared" si="3"/>
        <v>0</v>
      </c>
      <c r="S13" s="8">
        <f t="shared" si="4"/>
        <v>0</v>
      </c>
      <c r="T13" s="8">
        <f t="shared" si="5"/>
        <v>0</v>
      </c>
    </row>
    <row r="14" spans="1:22" s="99" customFormat="1" ht="12.75" customHeight="1" x14ac:dyDescent="0.2">
      <c r="A14" s="7"/>
      <c r="C14" s="107" t="s">
        <v>60</v>
      </c>
      <c r="D14" s="108" t="s">
        <v>5</v>
      </c>
      <c r="E14" s="109" t="s">
        <v>2</v>
      </c>
      <c r="F14" s="3"/>
      <c r="G14" s="110">
        <v>122.2</v>
      </c>
      <c r="H14" s="12" t="s">
        <v>42</v>
      </c>
      <c r="I14" s="3"/>
      <c r="J14" s="111">
        <v>2310.4200763775234</v>
      </c>
      <c r="K14" s="111"/>
      <c r="L14" s="111"/>
      <c r="M14" s="111"/>
      <c r="N14" s="111"/>
      <c r="O14" s="3"/>
      <c r="P14" s="8">
        <f t="shared" si="1"/>
        <v>282333.33333333337</v>
      </c>
      <c r="Q14" s="8">
        <f t="shared" si="2"/>
        <v>0</v>
      </c>
      <c r="R14" s="8">
        <f t="shared" si="3"/>
        <v>0</v>
      </c>
      <c r="S14" s="8">
        <f t="shared" si="4"/>
        <v>0</v>
      </c>
      <c r="T14" s="8">
        <f t="shared" si="5"/>
        <v>0</v>
      </c>
    </row>
    <row r="15" spans="1:22" s="99" customFormat="1" ht="12.75" customHeight="1" x14ac:dyDescent="0.2">
      <c r="A15" s="7"/>
      <c r="C15" s="115" t="s">
        <v>61</v>
      </c>
      <c r="D15" s="108" t="s">
        <v>5</v>
      </c>
      <c r="E15" s="109" t="s">
        <v>2</v>
      </c>
      <c r="F15" s="3"/>
      <c r="G15" s="110">
        <v>122.2</v>
      </c>
      <c r="H15" s="12" t="s">
        <v>42</v>
      </c>
      <c r="I15" s="3"/>
      <c r="J15" s="111">
        <v>2016.3666121112926</v>
      </c>
      <c r="K15" s="111">
        <v>2016.3666121112926</v>
      </c>
      <c r="L15" s="111"/>
      <c r="M15" s="111"/>
      <c r="N15" s="111"/>
      <c r="O15" s="3"/>
      <c r="P15" s="8">
        <f t="shared" si="1"/>
        <v>246399.99999999997</v>
      </c>
      <c r="Q15" s="8">
        <f t="shared" si="2"/>
        <v>246399.99999999997</v>
      </c>
      <c r="R15" s="8">
        <f t="shared" si="3"/>
        <v>0</v>
      </c>
      <c r="S15" s="8">
        <f t="shared" si="4"/>
        <v>0</v>
      </c>
      <c r="T15" s="8">
        <f t="shared" si="5"/>
        <v>0</v>
      </c>
    </row>
    <row r="16" spans="1:22" s="99" customFormat="1" ht="12.75" customHeight="1" x14ac:dyDescent="0.2">
      <c r="A16" s="7"/>
      <c r="C16" s="115" t="s">
        <v>62</v>
      </c>
      <c r="D16" s="108" t="s">
        <v>5</v>
      </c>
      <c r="E16" s="109" t="s">
        <v>2</v>
      </c>
      <c r="F16" s="3"/>
      <c r="G16" s="110">
        <v>122.2</v>
      </c>
      <c r="H16" s="12" t="s">
        <v>42</v>
      </c>
      <c r="I16" s="3"/>
      <c r="J16" s="111">
        <v>2016.3666121112926</v>
      </c>
      <c r="K16" s="111">
        <v>2016.3666121112926</v>
      </c>
      <c r="L16" s="111"/>
      <c r="M16" s="111"/>
      <c r="N16" s="111"/>
      <c r="O16" s="3"/>
      <c r="P16" s="8">
        <f t="shared" si="1"/>
        <v>246399.99999999997</v>
      </c>
      <c r="Q16" s="8">
        <f t="shared" si="2"/>
        <v>246399.99999999997</v>
      </c>
      <c r="R16" s="8">
        <f t="shared" si="3"/>
        <v>0</v>
      </c>
      <c r="S16" s="8">
        <f t="shared" si="4"/>
        <v>0</v>
      </c>
      <c r="T16" s="8">
        <f t="shared" si="5"/>
        <v>0</v>
      </c>
    </row>
    <row r="17" spans="1:20" s="99" customFormat="1" ht="12.75" customHeight="1" x14ac:dyDescent="0.2">
      <c r="A17" s="7"/>
      <c r="C17" s="115" t="s">
        <v>63</v>
      </c>
      <c r="D17" s="108" t="s">
        <v>5</v>
      </c>
      <c r="E17" s="109" t="s">
        <v>2</v>
      </c>
      <c r="F17" s="3"/>
      <c r="G17" s="110">
        <v>122.2</v>
      </c>
      <c r="H17" s="12" t="s">
        <v>42</v>
      </c>
      <c r="I17" s="3"/>
      <c r="J17" s="111">
        <v>9010.6382978723395</v>
      </c>
      <c r="K17" s="111">
        <v>3276.5957446808507</v>
      </c>
      <c r="L17" s="111"/>
      <c r="M17" s="111"/>
      <c r="N17" s="111"/>
      <c r="O17" s="3"/>
      <c r="P17" s="8">
        <f t="shared" si="1"/>
        <v>1101100</v>
      </c>
      <c r="Q17" s="8">
        <f t="shared" si="2"/>
        <v>400399.99999999994</v>
      </c>
      <c r="R17" s="8">
        <f t="shared" si="3"/>
        <v>0</v>
      </c>
      <c r="S17" s="8">
        <f t="shared" si="4"/>
        <v>0</v>
      </c>
      <c r="T17" s="8">
        <f t="shared" si="5"/>
        <v>0</v>
      </c>
    </row>
    <row r="18" spans="1:20" s="99" customFormat="1" ht="12.75" customHeight="1" x14ac:dyDescent="0.2">
      <c r="A18" s="7"/>
      <c r="C18" s="115" t="s">
        <v>64</v>
      </c>
      <c r="D18" s="108" t="s">
        <v>5</v>
      </c>
      <c r="E18" s="109" t="s">
        <v>2</v>
      </c>
      <c r="F18" s="3"/>
      <c r="G18" s="110">
        <v>122.2</v>
      </c>
      <c r="H18" s="12" t="s">
        <v>42</v>
      </c>
      <c r="I18" s="3"/>
      <c r="J18" s="111">
        <v>4851.8821603928</v>
      </c>
      <c r="K18" s="111">
        <v>2016.3666121112926</v>
      </c>
      <c r="L18" s="111"/>
      <c r="M18" s="111"/>
      <c r="N18" s="111"/>
      <c r="O18" s="3"/>
      <c r="P18" s="8">
        <f t="shared" si="1"/>
        <v>592900.00000000012</v>
      </c>
      <c r="Q18" s="8">
        <f t="shared" si="2"/>
        <v>246399.99999999997</v>
      </c>
      <c r="R18" s="8">
        <f t="shared" si="3"/>
        <v>0</v>
      </c>
      <c r="S18" s="8">
        <f t="shared" si="4"/>
        <v>0</v>
      </c>
      <c r="T18" s="8">
        <f t="shared" si="5"/>
        <v>0</v>
      </c>
    </row>
    <row r="19" spans="1:20" s="99" customFormat="1" ht="12.75" customHeight="1" x14ac:dyDescent="0.2">
      <c r="A19" s="7"/>
      <c r="C19" s="115" t="s">
        <v>65</v>
      </c>
      <c r="D19" s="108" t="s">
        <v>5</v>
      </c>
      <c r="E19" s="109" t="s">
        <v>2</v>
      </c>
      <c r="F19" s="3"/>
      <c r="G19" s="110">
        <v>122.2</v>
      </c>
      <c r="H19" s="12" t="s">
        <v>42</v>
      </c>
      <c r="I19" s="3"/>
      <c r="J19" s="111">
        <v>4851.8821603928</v>
      </c>
      <c r="K19" s="111">
        <v>2016.3666121112926</v>
      </c>
      <c r="L19" s="111"/>
      <c r="M19" s="111"/>
      <c r="N19" s="111"/>
      <c r="O19" s="3"/>
      <c r="P19" s="8">
        <f t="shared" si="1"/>
        <v>592900.00000000012</v>
      </c>
      <c r="Q19" s="8">
        <f t="shared" si="2"/>
        <v>246399.99999999997</v>
      </c>
      <c r="R19" s="8">
        <f t="shared" si="3"/>
        <v>0</v>
      </c>
      <c r="S19" s="8">
        <f t="shared" si="4"/>
        <v>0</v>
      </c>
      <c r="T19" s="8">
        <f t="shared" si="5"/>
        <v>0</v>
      </c>
    </row>
    <row r="20" spans="1:20" s="99" customFormat="1" ht="12.75" customHeight="1" x14ac:dyDescent="0.2">
      <c r="A20" s="7"/>
      <c r="C20" s="115" t="s">
        <v>66</v>
      </c>
      <c r="D20" s="108" t="s">
        <v>5</v>
      </c>
      <c r="E20" s="109" t="s">
        <v>2</v>
      </c>
      <c r="F20" s="3"/>
      <c r="G20" s="110">
        <v>122.2</v>
      </c>
      <c r="H20" s="12" t="s">
        <v>42</v>
      </c>
      <c r="I20" s="3"/>
      <c r="J20" s="111">
        <v>2079.3780687397707</v>
      </c>
      <c r="K20" s="111"/>
      <c r="L20" s="111"/>
      <c r="M20" s="111"/>
      <c r="N20" s="111"/>
      <c r="O20" s="3"/>
      <c r="P20" s="8">
        <f t="shared" si="1"/>
        <v>254099.99999999997</v>
      </c>
      <c r="Q20" s="8">
        <f t="shared" si="2"/>
        <v>0</v>
      </c>
      <c r="R20" s="8">
        <f t="shared" si="3"/>
        <v>0</v>
      </c>
      <c r="S20" s="8">
        <f t="shared" si="4"/>
        <v>0</v>
      </c>
      <c r="T20" s="8">
        <f t="shared" si="5"/>
        <v>0</v>
      </c>
    </row>
    <row r="21" spans="1:20" s="99" customFormat="1" ht="12.75" customHeight="1" x14ac:dyDescent="0.2">
      <c r="A21" s="7"/>
      <c r="C21" s="115" t="s">
        <v>67</v>
      </c>
      <c r="D21" s="108" t="s">
        <v>5</v>
      </c>
      <c r="E21" s="109" t="s">
        <v>2</v>
      </c>
      <c r="F21" s="3"/>
      <c r="G21" s="110">
        <v>122.2</v>
      </c>
      <c r="H21" s="12" t="s">
        <v>42</v>
      </c>
      <c r="I21" s="3"/>
      <c r="J21" s="111">
        <v>1386.2520458265139</v>
      </c>
      <c r="K21" s="111"/>
      <c r="L21" s="111"/>
      <c r="M21" s="111"/>
      <c r="N21" s="111"/>
      <c r="O21" s="3"/>
      <c r="P21" s="8">
        <f t="shared" si="1"/>
        <v>169400</v>
      </c>
      <c r="Q21" s="8">
        <f t="shared" si="2"/>
        <v>0</v>
      </c>
      <c r="R21" s="8">
        <f t="shared" si="3"/>
        <v>0</v>
      </c>
      <c r="S21" s="8">
        <f t="shared" si="4"/>
        <v>0</v>
      </c>
      <c r="T21" s="8">
        <f t="shared" si="5"/>
        <v>0</v>
      </c>
    </row>
    <row r="22" spans="1:20" s="99" customFormat="1" ht="12.75" customHeight="1" x14ac:dyDescent="0.2">
      <c r="A22" s="7"/>
      <c r="C22" s="115" t="s">
        <v>68</v>
      </c>
      <c r="D22" s="108" t="s">
        <v>5</v>
      </c>
      <c r="E22" s="109" t="s">
        <v>2</v>
      </c>
      <c r="F22" s="3"/>
      <c r="G22" s="110">
        <v>122.2</v>
      </c>
      <c r="H22" s="12" t="s">
        <v>42</v>
      </c>
      <c r="I22" s="3"/>
      <c r="J22" s="111">
        <v>5545.0081833060558</v>
      </c>
      <c r="K22" s="111"/>
      <c r="L22" s="111"/>
      <c r="M22" s="111"/>
      <c r="N22" s="111"/>
      <c r="O22" s="3"/>
      <c r="P22" s="8">
        <f t="shared" si="1"/>
        <v>677600</v>
      </c>
      <c r="Q22" s="8">
        <f t="shared" si="2"/>
        <v>0</v>
      </c>
      <c r="R22" s="8">
        <f t="shared" si="3"/>
        <v>0</v>
      </c>
      <c r="S22" s="8">
        <f t="shared" si="4"/>
        <v>0</v>
      </c>
      <c r="T22" s="8">
        <f t="shared" si="5"/>
        <v>0</v>
      </c>
    </row>
    <row r="23" spans="1:20" s="99" customFormat="1" ht="12.75" customHeight="1" x14ac:dyDescent="0.2">
      <c r="A23" s="7"/>
      <c r="C23" s="115" t="s">
        <v>69</v>
      </c>
      <c r="D23" s="108" t="s">
        <v>5</v>
      </c>
      <c r="E23" s="109" t="s">
        <v>2</v>
      </c>
      <c r="F23" s="3"/>
      <c r="G23" s="110">
        <v>122.2</v>
      </c>
      <c r="H23" s="12" t="s">
        <v>42</v>
      </c>
      <c r="I23" s="3"/>
      <c r="J23" s="111">
        <v>6238.1342062193125</v>
      </c>
      <c r="K23" s="111"/>
      <c r="L23" s="111"/>
      <c r="M23" s="111"/>
      <c r="N23" s="111"/>
      <c r="O23" s="3"/>
      <c r="P23" s="8">
        <f t="shared" si="1"/>
        <v>762300</v>
      </c>
      <c r="Q23" s="8">
        <f t="shared" si="2"/>
        <v>0</v>
      </c>
      <c r="R23" s="8">
        <f t="shared" si="3"/>
        <v>0</v>
      </c>
      <c r="S23" s="8">
        <f t="shared" si="4"/>
        <v>0</v>
      </c>
      <c r="T23" s="8">
        <f t="shared" si="5"/>
        <v>0</v>
      </c>
    </row>
    <row r="24" spans="1:20" s="99" customFormat="1" ht="12.75" customHeight="1" x14ac:dyDescent="0.2">
      <c r="A24" s="7"/>
      <c r="C24" s="115" t="s">
        <v>70</v>
      </c>
      <c r="D24" s="108" t="s">
        <v>5</v>
      </c>
      <c r="E24" s="109" t="s">
        <v>2</v>
      </c>
      <c r="F24" s="3"/>
      <c r="G24" s="110">
        <v>122.2</v>
      </c>
      <c r="H24" s="12" t="s">
        <v>42</v>
      </c>
      <c r="I24" s="3"/>
      <c r="J24" s="111">
        <v>1617.2940534642662</v>
      </c>
      <c r="K24" s="111">
        <v>2016.3666121112926</v>
      </c>
      <c r="L24" s="111"/>
      <c r="M24" s="111"/>
      <c r="N24" s="111"/>
      <c r="O24" s="3"/>
      <c r="P24" s="8">
        <f t="shared" si="1"/>
        <v>197633.33333333334</v>
      </c>
      <c r="Q24" s="8">
        <f t="shared" si="2"/>
        <v>246399.99999999997</v>
      </c>
      <c r="R24" s="8">
        <f t="shared" si="3"/>
        <v>0</v>
      </c>
      <c r="S24" s="8">
        <f t="shared" si="4"/>
        <v>0</v>
      </c>
      <c r="T24" s="8">
        <f t="shared" si="5"/>
        <v>0</v>
      </c>
    </row>
    <row r="25" spans="1:20" s="99" customFormat="1" ht="12.75" customHeight="1" x14ac:dyDescent="0.2">
      <c r="A25" s="7"/>
      <c r="C25" s="115" t="s">
        <v>55</v>
      </c>
      <c r="D25" s="108" t="s">
        <v>5</v>
      </c>
      <c r="E25" s="109" t="s">
        <v>2</v>
      </c>
      <c r="F25" s="3"/>
      <c r="G25" s="110">
        <v>122.2</v>
      </c>
      <c r="H25" s="12" t="s">
        <v>42</v>
      </c>
      <c r="I25" s="3"/>
      <c r="J25" s="111">
        <v>924.16803055100922</v>
      </c>
      <c r="K25" s="111"/>
      <c r="L25" s="111"/>
      <c r="M25" s="111"/>
      <c r="N25" s="111"/>
      <c r="O25" s="3"/>
      <c r="P25" s="8">
        <f t="shared" si="1"/>
        <v>112933.33333333333</v>
      </c>
      <c r="Q25" s="8">
        <f t="shared" si="2"/>
        <v>0</v>
      </c>
      <c r="R25" s="8">
        <f t="shared" si="3"/>
        <v>0</v>
      </c>
      <c r="S25" s="8">
        <f t="shared" si="4"/>
        <v>0</v>
      </c>
      <c r="T25" s="8">
        <f t="shared" si="5"/>
        <v>0</v>
      </c>
    </row>
    <row r="26" spans="1:20" s="99" customFormat="1" ht="12.75" customHeight="1" x14ac:dyDescent="0.2">
      <c r="A26" s="7"/>
      <c r="C26" s="115" t="s">
        <v>71</v>
      </c>
      <c r="D26" s="108" t="s">
        <v>5</v>
      </c>
      <c r="E26" s="109" t="s">
        <v>2</v>
      </c>
      <c r="F26" s="3"/>
      <c r="G26" s="110">
        <v>122.2</v>
      </c>
      <c r="H26" s="12" t="s">
        <v>42</v>
      </c>
      <c r="I26" s="3"/>
      <c r="J26" s="111">
        <v>2016.3666121112926</v>
      </c>
      <c r="K26" s="111"/>
      <c r="L26" s="111"/>
      <c r="M26" s="111"/>
      <c r="N26" s="111"/>
      <c r="O26" s="3"/>
      <c r="P26" s="8">
        <f t="shared" si="1"/>
        <v>246399.99999999997</v>
      </c>
      <c r="Q26" s="8">
        <f t="shared" si="2"/>
        <v>0</v>
      </c>
      <c r="R26" s="8">
        <f t="shared" si="3"/>
        <v>0</v>
      </c>
      <c r="S26" s="8">
        <f t="shared" si="4"/>
        <v>0</v>
      </c>
      <c r="T26" s="8">
        <f t="shared" si="5"/>
        <v>0</v>
      </c>
    </row>
    <row r="27" spans="1:20" s="99" customFormat="1" ht="12.75" customHeight="1" x14ac:dyDescent="0.2">
      <c r="A27" s="7"/>
      <c r="C27" s="115" t="s">
        <v>72</v>
      </c>
      <c r="D27" s="108" t="s">
        <v>5</v>
      </c>
      <c r="E27" s="109" t="s">
        <v>2</v>
      </c>
      <c r="F27" s="3"/>
      <c r="G27" s="110">
        <v>122.2</v>
      </c>
      <c r="H27" s="12" t="s">
        <v>42</v>
      </c>
      <c r="I27" s="3"/>
      <c r="J27" s="111">
        <v>5776.050190943808</v>
      </c>
      <c r="K27" s="111"/>
      <c r="L27" s="111"/>
      <c r="M27" s="111"/>
      <c r="N27" s="111"/>
      <c r="O27" s="3"/>
      <c r="P27" s="8">
        <f t="shared" si="1"/>
        <v>705833.33333333337</v>
      </c>
      <c r="Q27" s="8">
        <f t="shared" si="2"/>
        <v>0</v>
      </c>
      <c r="R27" s="8">
        <f t="shared" si="3"/>
        <v>0</v>
      </c>
      <c r="S27" s="8">
        <f t="shared" si="4"/>
        <v>0</v>
      </c>
      <c r="T27" s="8">
        <f t="shared" si="5"/>
        <v>0</v>
      </c>
    </row>
    <row r="28" spans="1:20" s="99" customFormat="1" ht="12.75" customHeight="1" x14ac:dyDescent="0.2">
      <c r="A28" s="7"/>
      <c r="C28" s="115" t="s">
        <v>73</v>
      </c>
      <c r="D28" s="108" t="s">
        <v>5</v>
      </c>
      <c r="E28" s="109" t="s">
        <v>2</v>
      </c>
      <c r="F28" s="3"/>
      <c r="G28" s="110">
        <v>122.2</v>
      </c>
      <c r="H28" s="12" t="s">
        <v>42</v>
      </c>
      <c r="I28" s="3"/>
      <c r="J28" s="111">
        <v>2016.3666121112926</v>
      </c>
      <c r="K28" s="111"/>
      <c r="L28" s="111"/>
      <c r="M28" s="111"/>
      <c r="N28" s="111"/>
      <c r="O28" s="3"/>
      <c r="P28" s="8">
        <f t="shared" si="1"/>
        <v>246399.99999999997</v>
      </c>
      <c r="Q28" s="8">
        <f t="shared" si="2"/>
        <v>0</v>
      </c>
      <c r="R28" s="8">
        <f t="shared" si="3"/>
        <v>0</v>
      </c>
      <c r="S28" s="8">
        <f t="shared" si="4"/>
        <v>0</v>
      </c>
      <c r="T28" s="8">
        <f t="shared" si="5"/>
        <v>0</v>
      </c>
    </row>
    <row r="29" spans="1:20" s="99" customFormat="1" ht="12.75" customHeight="1" x14ac:dyDescent="0.2">
      <c r="A29" s="7"/>
      <c r="C29" s="115" t="s">
        <v>74</v>
      </c>
      <c r="D29" s="108" t="s">
        <v>5</v>
      </c>
      <c r="E29" s="109" t="s">
        <v>2</v>
      </c>
      <c r="F29" s="3"/>
      <c r="G29" s="110">
        <v>122.2</v>
      </c>
      <c r="H29" s="12" t="s">
        <v>42</v>
      </c>
      <c r="I29" s="3"/>
      <c r="J29" s="111">
        <v>2310.4200763775234</v>
      </c>
      <c r="K29" s="111"/>
      <c r="L29" s="111"/>
      <c r="M29" s="111"/>
      <c r="N29" s="111"/>
      <c r="O29" s="3"/>
      <c r="P29" s="8">
        <f t="shared" si="1"/>
        <v>282333.33333333337</v>
      </c>
      <c r="Q29" s="8">
        <f t="shared" si="2"/>
        <v>0</v>
      </c>
      <c r="R29" s="8">
        <f t="shared" si="3"/>
        <v>0</v>
      </c>
      <c r="S29" s="8">
        <f t="shared" si="4"/>
        <v>0</v>
      </c>
      <c r="T29" s="8">
        <f t="shared" si="5"/>
        <v>0</v>
      </c>
    </row>
    <row r="30" spans="1:20" s="99" customFormat="1" ht="12.75" customHeight="1" x14ac:dyDescent="0.2">
      <c r="A30" s="7"/>
      <c r="C30" s="115" t="s">
        <v>75</v>
      </c>
      <c r="D30" s="108" t="s">
        <v>5</v>
      </c>
      <c r="E30" s="109" t="s">
        <v>2</v>
      </c>
      <c r="F30" s="3"/>
      <c r="G30" s="110">
        <v>122.2</v>
      </c>
      <c r="H30" s="12" t="s">
        <v>42</v>
      </c>
      <c r="I30" s="3"/>
      <c r="J30" s="111">
        <v>2310.4200763775234</v>
      </c>
      <c r="K30" s="111"/>
      <c r="L30" s="111"/>
      <c r="M30" s="111"/>
      <c r="N30" s="111"/>
      <c r="O30" s="3"/>
      <c r="P30" s="8">
        <f t="shared" si="1"/>
        <v>282333.33333333337</v>
      </c>
      <c r="Q30" s="8">
        <f t="shared" si="2"/>
        <v>0</v>
      </c>
      <c r="R30" s="8">
        <f t="shared" si="3"/>
        <v>0</v>
      </c>
      <c r="S30" s="8">
        <f t="shared" si="4"/>
        <v>0</v>
      </c>
      <c r="T30" s="8">
        <f t="shared" si="5"/>
        <v>0</v>
      </c>
    </row>
    <row r="31" spans="1:20" ht="12.75" customHeight="1" x14ac:dyDescent="0.2">
      <c r="A31" s="7" t="str">
        <f>IF(ISBLANK(B31),"",1+MAX(A$6:A10))</f>
        <v/>
      </c>
      <c r="C31" s="115" t="s">
        <v>76</v>
      </c>
      <c r="D31" s="108" t="s">
        <v>5</v>
      </c>
      <c r="E31" s="109" t="s">
        <v>2</v>
      </c>
      <c r="F31" s="3"/>
      <c r="G31" s="110">
        <v>122.2</v>
      </c>
      <c r="H31" s="12" t="s">
        <v>42</v>
      </c>
      <c r="I31" s="3"/>
      <c r="J31" s="111">
        <v>4389.7981451172936</v>
      </c>
      <c r="K31" s="111"/>
      <c r="L31" s="111"/>
      <c r="M31" s="111"/>
      <c r="N31" s="111"/>
      <c r="O31" s="3"/>
      <c r="P31" s="8">
        <f t="shared" si="0"/>
        <v>536433.33333333326</v>
      </c>
      <c r="Q31" s="8">
        <f t="shared" si="0"/>
        <v>0</v>
      </c>
      <c r="R31" s="8">
        <f t="shared" si="0"/>
        <v>0</v>
      </c>
      <c r="S31" s="8">
        <f t="shared" si="0"/>
        <v>0</v>
      </c>
      <c r="T31" s="8">
        <f t="shared" si="0"/>
        <v>0</v>
      </c>
    </row>
    <row r="32" spans="1:20" ht="12.75" customHeight="1" x14ac:dyDescent="0.2">
      <c r="A32" s="7" t="str">
        <f>IF(ISBLANK(B32),"",1+MAX(A$6:A31))</f>
        <v/>
      </c>
      <c r="C32" s="115" t="s">
        <v>77</v>
      </c>
      <c r="D32" s="108" t="s">
        <v>5</v>
      </c>
      <c r="E32" s="109" t="s">
        <v>2</v>
      </c>
      <c r="F32" s="3"/>
      <c r="G32" s="110">
        <v>122.2</v>
      </c>
      <c r="H32" s="12" t="s">
        <v>42</v>
      </c>
      <c r="I32" s="3"/>
      <c r="J32" s="111">
        <v>6469.1762138570648</v>
      </c>
      <c r="K32" s="111"/>
      <c r="L32" s="111"/>
      <c r="M32" s="111"/>
      <c r="N32" s="111"/>
      <c r="O32" s="3"/>
      <c r="P32" s="8">
        <f t="shared" si="0"/>
        <v>790533.33333333337</v>
      </c>
      <c r="Q32" s="8">
        <f t="shared" si="0"/>
        <v>0</v>
      </c>
      <c r="R32" s="8">
        <f t="shared" si="0"/>
        <v>0</v>
      </c>
      <c r="S32" s="8">
        <f t="shared" si="0"/>
        <v>0</v>
      </c>
      <c r="T32" s="8">
        <f t="shared" si="0"/>
        <v>0</v>
      </c>
    </row>
    <row r="33" spans="1:25" ht="12.75" customHeight="1" x14ac:dyDescent="0.25">
      <c r="A33" s="7" t="str">
        <f>IF(ISBLANK(B33),"",1+MAX(A$6:A32))</f>
        <v/>
      </c>
      <c r="C33" s="115" t="s">
        <v>78</v>
      </c>
      <c r="D33" s="108" t="s">
        <v>5</v>
      </c>
      <c r="E33" s="109" t="s">
        <v>2</v>
      </c>
      <c r="F33" s="3"/>
      <c r="G33" s="110">
        <v>122.2</v>
      </c>
      <c r="H33" s="12" t="s">
        <v>42</v>
      </c>
      <c r="I33" s="3"/>
      <c r="J33" s="111">
        <v>6238.1342062193125</v>
      </c>
      <c r="K33" s="111">
        <v>6238.1342062193125</v>
      </c>
      <c r="L33" s="111"/>
      <c r="M33" s="111"/>
      <c r="N33" s="111"/>
      <c r="O33" s="3"/>
      <c r="P33" s="8">
        <f t="shared" si="0"/>
        <v>762300</v>
      </c>
      <c r="Q33" s="8">
        <f t="shared" si="0"/>
        <v>762300</v>
      </c>
      <c r="R33" s="8">
        <f t="shared" si="0"/>
        <v>0</v>
      </c>
      <c r="S33" s="8">
        <f t="shared" si="0"/>
        <v>0</v>
      </c>
      <c r="T33" s="8">
        <f t="shared" si="0"/>
        <v>0</v>
      </c>
      <c r="Y33"/>
    </row>
    <row r="34" spans="1:25" ht="12.75" customHeight="1" x14ac:dyDescent="0.25">
      <c r="A34" s="7" t="str">
        <f>IF(ISBLANK(B34),"",1+MAX(A$6:A33))</f>
        <v/>
      </c>
      <c r="C34" s="115" t="s">
        <v>79</v>
      </c>
      <c r="D34" s="108" t="s">
        <v>5</v>
      </c>
      <c r="E34" s="109" t="s">
        <v>2</v>
      </c>
      <c r="F34" s="3"/>
      <c r="G34" s="110">
        <v>122.2</v>
      </c>
      <c r="H34" s="12" t="s">
        <v>42</v>
      </c>
      <c r="I34" s="3"/>
      <c r="J34" s="111">
        <v>30728.587015821056</v>
      </c>
      <c r="K34" s="111">
        <v>9934.8063284233504</v>
      </c>
      <c r="L34" s="111"/>
      <c r="M34" s="111"/>
      <c r="N34" s="111"/>
      <c r="O34" s="3"/>
      <c r="P34" s="8">
        <f t="shared" si="0"/>
        <v>3755033.333333333</v>
      </c>
      <c r="Q34" s="8">
        <f t="shared" si="0"/>
        <v>1214033.3333333335</v>
      </c>
      <c r="R34" s="8">
        <f t="shared" si="0"/>
        <v>0</v>
      </c>
      <c r="S34" s="8">
        <f t="shared" si="0"/>
        <v>0</v>
      </c>
      <c r="T34" s="8">
        <f t="shared" si="0"/>
        <v>0</v>
      </c>
      <c r="Y34"/>
    </row>
    <row r="35" spans="1:25" ht="12.75" customHeight="1" x14ac:dyDescent="0.25">
      <c r="A35" s="7" t="str">
        <f>IF(ISBLANK(B35),"",1+MAX(A$6:A34))</f>
        <v/>
      </c>
      <c r="F35" s="3"/>
      <c r="I35" s="3"/>
      <c r="O35" s="3"/>
      <c r="Y35"/>
    </row>
    <row r="36" spans="1:25" ht="12.75" customHeight="1" x14ac:dyDescent="0.25">
      <c r="A36" s="7"/>
      <c r="F36" s="3"/>
      <c r="I36" s="3"/>
      <c r="O36" s="3"/>
      <c r="Y36"/>
    </row>
    <row r="37" spans="1:25" ht="12.75" customHeight="1" x14ac:dyDescent="0.25">
      <c r="A37" s="7" t="str">
        <f>IF(ISBLANK(B37),"",1+MAX(A$6:A36))</f>
        <v/>
      </c>
      <c r="C37" s="107" t="s">
        <v>53</v>
      </c>
      <c r="D37" s="108" t="s">
        <v>5</v>
      </c>
      <c r="E37" s="109" t="s">
        <v>1</v>
      </c>
      <c r="F37" s="3"/>
      <c r="G37" s="6"/>
      <c r="H37" s="13" t="s">
        <v>43</v>
      </c>
      <c r="I37" s="3"/>
      <c r="J37" s="124">
        <f>26640+178099+7036</f>
        <v>211775</v>
      </c>
      <c r="K37" s="124">
        <f>6334+42346+1673</f>
        <v>50353</v>
      </c>
      <c r="L37" s="124">
        <f>7201+48138+1902</f>
        <v>57241</v>
      </c>
      <c r="M37" s="124">
        <f>8674+58591+2315</f>
        <v>69580</v>
      </c>
      <c r="N37" s="124">
        <f>17603+117683+4649</f>
        <v>139935</v>
      </c>
      <c r="O37" s="3"/>
      <c r="P37" s="8">
        <f t="shared" ref="P37:T38" si="6">J37</f>
        <v>211775</v>
      </c>
      <c r="Q37" s="8">
        <f t="shared" si="6"/>
        <v>50353</v>
      </c>
      <c r="R37" s="8">
        <f t="shared" si="6"/>
        <v>57241</v>
      </c>
      <c r="S37" s="8">
        <f t="shared" si="6"/>
        <v>69580</v>
      </c>
      <c r="T37" s="8">
        <f t="shared" si="6"/>
        <v>139935</v>
      </c>
      <c r="Y37"/>
    </row>
    <row r="38" spans="1:25" ht="12.75" customHeight="1" x14ac:dyDescent="0.25">
      <c r="A38" s="7" t="str">
        <f>IF(ISBLANK(B38),"",1+MAX(A$6:A37))</f>
        <v/>
      </c>
      <c r="C38" s="107"/>
      <c r="D38" s="108"/>
      <c r="E38" s="109"/>
      <c r="F38" s="3"/>
      <c r="G38" s="6"/>
      <c r="H38" s="13"/>
      <c r="I38" s="3"/>
      <c r="J38" s="125"/>
      <c r="K38" s="125"/>
      <c r="L38" s="125"/>
      <c r="M38" s="125"/>
      <c r="N38" s="125"/>
      <c r="O38" s="3"/>
      <c r="P38" s="8">
        <f t="shared" si="6"/>
        <v>0</v>
      </c>
      <c r="Q38" s="8">
        <f t="shared" si="6"/>
        <v>0</v>
      </c>
      <c r="R38" s="8">
        <f t="shared" si="6"/>
        <v>0</v>
      </c>
      <c r="S38" s="8">
        <f t="shared" si="6"/>
        <v>0</v>
      </c>
      <c r="T38" s="8">
        <f t="shared" si="6"/>
        <v>0</v>
      </c>
      <c r="Y38"/>
    </row>
    <row r="39" spans="1:25" ht="12.75" customHeight="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Y39"/>
    </row>
    <row r="40" spans="1:25" ht="12.75" customHeight="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Y40"/>
    </row>
    <row r="41" spans="1:25" ht="12.75" customHeight="1" x14ac:dyDescent="0.2">
      <c r="A41" s="7" t="str">
        <f>IF(ISBLANK(B41),"",1+MAX(A$6:A40))</f>
        <v/>
      </c>
      <c r="C41" s="107" t="s">
        <v>54</v>
      </c>
      <c r="D41" s="108" t="s">
        <v>5</v>
      </c>
      <c r="E41" s="109" t="s">
        <v>4</v>
      </c>
      <c r="G41" s="6"/>
      <c r="H41" s="13" t="s">
        <v>43</v>
      </c>
      <c r="J41" s="124">
        <v>300000</v>
      </c>
      <c r="K41" s="114"/>
      <c r="L41" s="113"/>
      <c r="M41" s="114"/>
      <c r="N41" s="113"/>
      <c r="P41" s="8">
        <f t="shared" ref="P41:T41" si="7">J41</f>
        <v>300000</v>
      </c>
      <c r="Q41" s="8">
        <f t="shared" si="7"/>
        <v>0</v>
      </c>
      <c r="R41" s="8">
        <f t="shared" si="7"/>
        <v>0</v>
      </c>
      <c r="S41" s="8">
        <f t="shared" si="7"/>
        <v>0</v>
      </c>
      <c r="T41" s="8">
        <f t="shared" si="7"/>
        <v>0</v>
      </c>
    </row>
    <row r="42" spans="1:25" s="99" customFormat="1" ht="12.75" customHeight="1" x14ac:dyDescent="0.2">
      <c r="A42" s="7"/>
      <c r="C42" s="107" t="s">
        <v>52</v>
      </c>
      <c r="D42" s="108" t="s">
        <v>5</v>
      </c>
      <c r="E42" s="109" t="s">
        <v>4</v>
      </c>
      <c r="G42" s="6"/>
      <c r="H42" s="13" t="s">
        <v>43</v>
      </c>
      <c r="J42" s="124">
        <v>490000</v>
      </c>
      <c r="K42" s="114"/>
      <c r="L42" s="113"/>
      <c r="M42" s="114"/>
      <c r="N42" s="113"/>
      <c r="P42" s="8">
        <f t="shared" ref="P42:P44" si="8">J42</f>
        <v>490000</v>
      </c>
      <c r="Q42" s="8">
        <f t="shared" ref="Q42:Q44" si="9">K42</f>
        <v>0</v>
      </c>
      <c r="R42" s="8">
        <f t="shared" ref="R42:R44" si="10">L42</f>
        <v>0</v>
      </c>
      <c r="S42" s="8">
        <f t="shared" ref="S42:S44" si="11">M42</f>
        <v>0</v>
      </c>
      <c r="T42" s="8">
        <f t="shared" ref="T42:T44" si="12">N42</f>
        <v>0</v>
      </c>
    </row>
    <row r="43" spans="1:25" s="99" customFormat="1" ht="12.75" customHeight="1" x14ac:dyDescent="0.2">
      <c r="A43" s="7"/>
      <c r="C43" s="107" t="s">
        <v>55</v>
      </c>
      <c r="D43" s="108" t="s">
        <v>5</v>
      </c>
      <c r="E43" s="109" t="s">
        <v>4</v>
      </c>
      <c r="G43" s="6"/>
      <c r="H43" s="13" t="s">
        <v>43</v>
      </c>
      <c r="J43" s="124">
        <v>1870000</v>
      </c>
      <c r="K43" s="114"/>
      <c r="L43" s="113"/>
      <c r="M43" s="114"/>
      <c r="N43" s="113"/>
      <c r="P43" s="8">
        <f t="shared" si="8"/>
        <v>1870000</v>
      </c>
      <c r="Q43" s="8">
        <f t="shared" si="9"/>
        <v>0</v>
      </c>
      <c r="R43" s="8">
        <f t="shared" si="10"/>
        <v>0</v>
      </c>
      <c r="S43" s="8">
        <f t="shared" si="11"/>
        <v>0</v>
      </c>
      <c r="T43" s="8">
        <f t="shared" si="12"/>
        <v>0</v>
      </c>
    </row>
    <row r="44" spans="1:25" ht="12.75" customHeight="1" x14ac:dyDescent="0.2">
      <c r="A44" s="7"/>
      <c r="C44" s="107"/>
      <c r="D44" s="108"/>
      <c r="E44" s="109"/>
      <c r="G44" s="6"/>
      <c r="H44" s="13" t="s">
        <v>43</v>
      </c>
      <c r="J44" s="113"/>
      <c r="K44" s="114"/>
      <c r="L44" s="113"/>
      <c r="M44" s="114"/>
      <c r="N44" s="113"/>
      <c r="P44" s="8">
        <f t="shared" si="8"/>
        <v>0</v>
      </c>
      <c r="Q44" s="8">
        <f t="shared" si="9"/>
        <v>0</v>
      </c>
      <c r="R44" s="8">
        <f t="shared" si="10"/>
        <v>0</v>
      </c>
      <c r="S44" s="8">
        <f t="shared" si="11"/>
        <v>0</v>
      </c>
      <c r="T44" s="8">
        <f t="shared" si="12"/>
        <v>0</v>
      </c>
    </row>
    <row r="45" spans="1:25" ht="12.75" customHeight="1" x14ac:dyDescent="0.2">
      <c r="A45" s="7"/>
      <c r="B45" s="99"/>
      <c r="C45" s="107"/>
      <c r="D45" s="108"/>
      <c r="E45" s="109"/>
      <c r="F45" s="99"/>
      <c r="G45" s="6"/>
      <c r="H45" s="13" t="s">
        <v>43</v>
      </c>
      <c r="I45" s="99"/>
      <c r="J45" s="113"/>
      <c r="K45" s="114"/>
      <c r="L45" s="113"/>
      <c r="M45" s="114"/>
      <c r="N45" s="113"/>
      <c r="O45" s="99"/>
      <c r="P45" s="8">
        <f t="shared" ref="P45" si="13">J45</f>
        <v>0</v>
      </c>
      <c r="Q45" s="8">
        <f t="shared" ref="Q45" si="14">K45</f>
        <v>0</v>
      </c>
      <c r="R45" s="8">
        <f t="shared" ref="R45" si="15">L45</f>
        <v>0</v>
      </c>
      <c r="S45" s="8">
        <f t="shared" ref="S45" si="16">M45</f>
        <v>0</v>
      </c>
      <c r="T45" s="8">
        <f t="shared" ref="T45" si="17">N45</f>
        <v>0</v>
      </c>
    </row>
    <row r="46" spans="1:25" ht="12.75" customHeight="1" x14ac:dyDescent="0.25">
      <c r="F46" s="99"/>
      <c r="I46" s="99"/>
      <c r="O46" s="99"/>
      <c r="Y46"/>
    </row>
    <row r="47" spans="1:25" ht="12.75" customHeight="1" x14ac:dyDescent="0.25">
      <c r="F47" s="99"/>
      <c r="I47" s="99"/>
      <c r="O47" s="99"/>
      <c r="Y47"/>
    </row>
    <row r="48" spans="1:25" ht="12.75" customHeight="1" x14ac:dyDescent="0.25">
      <c r="C48" s="5" t="s">
        <v>13</v>
      </c>
      <c r="F48" s="99"/>
      <c r="I48" s="99"/>
      <c r="O48" s="99"/>
      <c r="Y48"/>
    </row>
    <row r="49" spans="3:24" ht="12.75" customHeight="1" x14ac:dyDescent="0.2">
      <c r="C49" s="28" t="s">
        <v>2</v>
      </c>
      <c r="D49" s="28" t="s">
        <v>5</v>
      </c>
      <c r="E49" s="132"/>
      <c r="F49" s="99"/>
      <c r="G49" s="28"/>
      <c r="H49" s="29"/>
      <c r="I49" s="99"/>
      <c r="J49" s="28"/>
      <c r="K49" s="28"/>
      <c r="L49" s="28"/>
      <c r="M49" s="28"/>
      <c r="N49" s="28"/>
      <c r="O49" s="99"/>
      <c r="P49" s="30">
        <f t="shared" ref="P49:T54" si="18">SUMIFS(P$10:P$44,$E$10:$E$44,$C49,$D$10:$D$44,$D49)</f>
        <v>14973933.333333336</v>
      </c>
      <c r="Q49" s="30">
        <f t="shared" si="18"/>
        <v>4101533.333333333</v>
      </c>
      <c r="R49" s="30">
        <f t="shared" si="18"/>
        <v>0</v>
      </c>
      <c r="S49" s="30">
        <f t="shared" si="18"/>
        <v>0</v>
      </c>
      <c r="T49" s="30">
        <f t="shared" si="18"/>
        <v>0</v>
      </c>
    </row>
    <row r="50" spans="3:24" ht="12.75" customHeight="1" x14ac:dyDescent="0.2">
      <c r="C50" s="4" t="s">
        <v>1</v>
      </c>
      <c r="D50" s="4" t="s">
        <v>5</v>
      </c>
      <c r="E50" s="133"/>
      <c r="F50" s="99"/>
      <c r="G50" s="4"/>
      <c r="H50" s="13"/>
      <c r="I50" s="99"/>
      <c r="J50" s="4"/>
      <c r="K50" s="4"/>
      <c r="L50" s="4"/>
      <c r="M50" s="4"/>
      <c r="N50" s="4"/>
      <c r="O50" s="99"/>
      <c r="P50" s="9">
        <f t="shared" si="18"/>
        <v>211775</v>
      </c>
      <c r="Q50" s="9">
        <f t="shared" si="18"/>
        <v>50353</v>
      </c>
      <c r="R50" s="9">
        <f t="shared" si="18"/>
        <v>57241</v>
      </c>
      <c r="S50" s="9">
        <f t="shared" si="18"/>
        <v>69580</v>
      </c>
      <c r="T50" s="9">
        <f t="shared" si="18"/>
        <v>139935</v>
      </c>
    </row>
    <row r="51" spans="3:24" ht="12.75" customHeight="1" x14ac:dyDescent="0.2">
      <c r="C51" s="4" t="s">
        <v>4</v>
      </c>
      <c r="D51" s="4" t="s">
        <v>5</v>
      </c>
      <c r="E51" s="133"/>
      <c r="F51" s="99"/>
      <c r="G51" s="4"/>
      <c r="H51" s="13"/>
      <c r="I51" s="99"/>
      <c r="J51" s="4"/>
      <c r="K51" s="4"/>
      <c r="L51" s="4"/>
      <c r="M51" s="4"/>
      <c r="N51" s="4"/>
      <c r="O51" s="99"/>
      <c r="P51" s="9">
        <f t="shared" si="18"/>
        <v>2660000</v>
      </c>
      <c r="Q51" s="9">
        <f t="shared" si="18"/>
        <v>0</v>
      </c>
      <c r="R51" s="9">
        <f t="shared" si="18"/>
        <v>0</v>
      </c>
      <c r="S51" s="9">
        <f t="shared" si="18"/>
        <v>0</v>
      </c>
      <c r="T51" s="9">
        <f t="shared" si="18"/>
        <v>0</v>
      </c>
    </row>
    <row r="52" spans="3:24" ht="12.75" customHeight="1" x14ac:dyDescent="0.2">
      <c r="C52" s="4" t="s">
        <v>2</v>
      </c>
      <c r="D52" s="4" t="s">
        <v>41</v>
      </c>
      <c r="E52" s="133"/>
      <c r="F52" s="99"/>
      <c r="G52" s="4"/>
      <c r="H52" s="13"/>
      <c r="I52" s="99"/>
      <c r="J52" s="4"/>
      <c r="K52" s="4"/>
      <c r="L52" s="4"/>
      <c r="M52" s="4"/>
      <c r="N52" s="4"/>
      <c r="O52" s="99"/>
      <c r="P52" s="9">
        <f t="shared" si="18"/>
        <v>0</v>
      </c>
      <c r="Q52" s="9">
        <f t="shared" si="18"/>
        <v>0</v>
      </c>
      <c r="R52" s="9">
        <f t="shared" si="18"/>
        <v>0</v>
      </c>
      <c r="S52" s="9">
        <f t="shared" si="18"/>
        <v>0</v>
      </c>
      <c r="T52" s="9">
        <f t="shared" si="18"/>
        <v>0</v>
      </c>
    </row>
    <row r="53" spans="3:24" ht="12.75" customHeight="1" x14ac:dyDescent="0.2">
      <c r="C53" s="4" t="s">
        <v>1</v>
      </c>
      <c r="D53" s="4" t="s">
        <v>41</v>
      </c>
      <c r="E53" s="133"/>
      <c r="F53" s="99"/>
      <c r="G53" s="4"/>
      <c r="H53" s="13"/>
      <c r="I53" s="99"/>
      <c r="J53" s="4"/>
      <c r="K53" s="4"/>
      <c r="L53" s="4"/>
      <c r="M53" s="4"/>
      <c r="N53" s="4"/>
      <c r="O53" s="99"/>
      <c r="P53" s="9">
        <f t="shared" si="18"/>
        <v>0</v>
      </c>
      <c r="Q53" s="9">
        <f t="shared" si="18"/>
        <v>0</v>
      </c>
      <c r="R53" s="9">
        <f t="shared" si="18"/>
        <v>0</v>
      </c>
      <c r="S53" s="9">
        <f t="shared" si="18"/>
        <v>0</v>
      </c>
      <c r="T53" s="9">
        <f t="shared" si="18"/>
        <v>0</v>
      </c>
    </row>
    <row r="54" spans="3:24" ht="12.75" customHeight="1" x14ac:dyDescent="0.2">
      <c r="C54" s="4" t="s">
        <v>4</v>
      </c>
      <c r="D54" s="4" t="s">
        <v>41</v>
      </c>
      <c r="E54" s="134"/>
      <c r="F54" s="99"/>
      <c r="G54" s="7"/>
      <c r="H54" s="31"/>
      <c r="I54" s="99"/>
      <c r="J54" s="7"/>
      <c r="K54" s="7"/>
      <c r="L54" s="7"/>
      <c r="M54" s="7"/>
      <c r="N54" s="7"/>
      <c r="O54" s="99"/>
      <c r="P54" s="9">
        <f t="shared" si="18"/>
        <v>0</v>
      </c>
      <c r="Q54" s="9">
        <f t="shared" si="18"/>
        <v>0</v>
      </c>
      <c r="R54" s="9">
        <f t="shared" si="18"/>
        <v>0</v>
      </c>
      <c r="S54" s="9">
        <f t="shared" si="18"/>
        <v>0</v>
      </c>
      <c r="T54" s="9">
        <f t="shared" si="18"/>
        <v>0</v>
      </c>
    </row>
    <row r="55" spans="3:24" ht="12.75" customHeight="1" x14ac:dyDescent="0.2">
      <c r="C55" s="10" t="str">
        <f>"Total Expenditure ($ "&amp;Assumptions!$B$8&amp;")"</f>
        <v>Total Expenditure ($ 2018)</v>
      </c>
      <c r="D55" s="10"/>
      <c r="E55" s="10"/>
      <c r="F55" s="99"/>
      <c r="G55" s="10"/>
      <c r="H55" s="14"/>
      <c r="I55" s="99"/>
      <c r="J55" s="10"/>
      <c r="K55" s="10"/>
      <c r="L55" s="10"/>
      <c r="M55" s="10"/>
      <c r="N55" s="10"/>
      <c r="O55" s="99"/>
      <c r="P55" s="11">
        <f>SUM(P49:P54)</f>
        <v>17845708.333333336</v>
      </c>
      <c r="Q55" s="11">
        <f t="shared" ref="Q55:T55" si="19">SUM(Q49:Q54)</f>
        <v>4151886.333333333</v>
      </c>
      <c r="R55" s="11">
        <f t="shared" si="19"/>
        <v>57241</v>
      </c>
      <c r="S55" s="11">
        <f t="shared" si="19"/>
        <v>69580</v>
      </c>
      <c r="T55" s="11">
        <f t="shared" si="19"/>
        <v>139935</v>
      </c>
      <c r="U55" s="43"/>
      <c r="V55" s="99"/>
      <c r="W55" s="99"/>
      <c r="X55" s="99"/>
    </row>
    <row r="56" spans="3:24" ht="12.75" customHeight="1" x14ac:dyDescent="0.2">
      <c r="C56" s="28" t="str">
        <f>"Total Expenditure ($ "&amp;Assumptions!B17&amp;")"</f>
        <v>Total Expenditure ($ 2020/21)</v>
      </c>
      <c r="D56" s="28"/>
      <c r="E56" s="28"/>
      <c r="F56" s="99"/>
      <c r="G56" s="28"/>
      <c r="H56" s="29"/>
      <c r="I56" s="99"/>
      <c r="J56" s="28"/>
      <c r="K56" s="28"/>
      <c r="L56" s="28"/>
      <c r="M56" s="28"/>
      <c r="N56" s="28"/>
      <c r="O56" s="99"/>
      <c r="P56" s="44">
        <f>P55*Assumptions!$B$18</f>
        <v>18899376.256865468</v>
      </c>
      <c r="Q56" s="44">
        <f>Q55*Assumptions!$B$18</f>
        <v>4397027.0343843196</v>
      </c>
      <c r="R56" s="44">
        <f>R55*Assumptions!$B$18</f>
        <v>60620.692443938824</v>
      </c>
      <c r="S56" s="44">
        <f>S55*Assumptions!$B$18</f>
        <v>73688.226625133437</v>
      </c>
      <c r="T56" s="44">
        <f>T55*Assumptions!$B$18</f>
        <v>148197.21173883369</v>
      </c>
      <c r="U56" s="43"/>
      <c r="V56" s="99"/>
      <c r="W56" s="99"/>
      <c r="X56" s="99"/>
    </row>
    <row r="57" spans="3:24" x14ac:dyDescent="0.2">
      <c r="C57" s="100" t="s">
        <v>12</v>
      </c>
      <c r="D57" s="100"/>
      <c r="E57" s="100"/>
      <c r="F57" s="99"/>
      <c r="G57" s="100"/>
      <c r="H57" s="100"/>
      <c r="I57" s="99"/>
      <c r="J57" s="100"/>
      <c r="K57" s="100"/>
      <c r="L57" s="100"/>
      <c r="M57" s="100"/>
      <c r="N57" s="100"/>
      <c r="O57" s="99"/>
      <c r="P57" s="101">
        <f>P55-SUM(P10:P45)</f>
        <v>0</v>
      </c>
      <c r="Q57" s="101">
        <f>Q55-SUM(Q10:Q45)</f>
        <v>0</v>
      </c>
      <c r="R57" s="101">
        <f>R55-SUM(R10:R45)</f>
        <v>0</v>
      </c>
      <c r="S57" s="101">
        <f>S55-SUM(S10:S45)</f>
        <v>0</v>
      </c>
      <c r="T57" s="101">
        <f>T55-SUM(T10:T45)</f>
        <v>0</v>
      </c>
      <c r="U57" s="99"/>
      <c r="V57" s="101">
        <f>SUM(P57:T57)</f>
        <v>0</v>
      </c>
      <c r="W57" s="99"/>
      <c r="X57" s="99"/>
    </row>
    <row r="58" spans="3:24" ht="12.75" customHeight="1" x14ac:dyDescent="0.2">
      <c r="C58" s="99"/>
      <c r="D58" s="99"/>
      <c r="E58" s="99"/>
      <c r="F58" s="99"/>
      <c r="G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</row>
    <row r="59" spans="3:24" ht="12.75" customHeight="1" x14ac:dyDescent="0.2">
      <c r="C59" s="142" t="str">
        <f>"NPV ($ "&amp;Assumptions!$B$17&amp;")"</f>
        <v>NPV ($ 2020/21)</v>
      </c>
      <c r="D59" s="143">
        <f>NPV(Assumptions!$B$6,$P$56:$T$56)</f>
        <v>22809758.216309253</v>
      </c>
      <c r="E59" s="39"/>
      <c r="F59" s="99"/>
      <c r="G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</row>
    <row r="60" spans="3:24" ht="12.75" customHeight="1" x14ac:dyDescent="0.2">
      <c r="F60" s="99"/>
      <c r="I60" s="99"/>
      <c r="O60" s="99"/>
    </row>
    <row r="61" spans="3:24" ht="12.75" customHeight="1" x14ac:dyDescent="0.2">
      <c r="F61" s="99"/>
      <c r="I61" s="99"/>
      <c r="O61" s="99"/>
    </row>
    <row r="62" spans="3:24" ht="12.75" customHeight="1" x14ac:dyDescent="0.2">
      <c r="F62" s="99"/>
      <c r="I62" s="99"/>
      <c r="O62" s="99"/>
    </row>
    <row r="63" spans="3:24" ht="12.75" customHeight="1" x14ac:dyDescent="0.2">
      <c r="F63" s="99"/>
      <c r="I63" s="99"/>
      <c r="O63" s="99"/>
    </row>
    <row r="64" spans="3:24" ht="12.75" customHeight="1" x14ac:dyDescent="0.2"/>
  </sheetData>
  <conditionalFormatting sqref="V57">
    <cfRule type="expression" dxfId="1" priority="2">
      <formula>ABS(V57)&gt;0.001</formula>
    </cfRule>
  </conditionalFormatting>
  <conditionalFormatting sqref="P57:T57">
    <cfRule type="expression" dxfId="0" priority="1">
      <formula>ABS(P57)&gt;0.001</formula>
    </cfRule>
  </conditionalFormatting>
  <dataValidations count="2">
    <dataValidation type="list" allowBlank="1" showInputMessage="1" showErrorMessage="1" sqref="E37:E38 E41:E45 E10:E34">
      <formula1>"Labour, Materials, Contracts"</formula1>
    </dataValidation>
    <dataValidation type="list" allowBlank="1" showInputMessage="1" showErrorMessage="1" sqref="D37:D38 D41:D45 D10:D34">
      <formula1>"CapEx, OpEx"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Output</vt:lpstr>
      <vt:lpstr>Summary</vt:lpstr>
      <vt:lpstr>Assumptions</vt:lpstr>
      <vt:lpstr>Option 1</vt:lpstr>
      <vt:lpstr>Option 2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2019-11-17T22:50:22Z</dcterms:created>
  <dcterms:modified xsi:type="dcterms:W3CDTF">2020-01-28T07:30:53Z</dcterms:modified>
</cp:coreProperties>
</file>