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https://apamscloud.sharepoint.com/teams/EconomicRegandPolicy-EconomicRegExtPol/Shared Documents/RBP/AA FY 23 to 27/Documents to File/"/>
    </mc:Choice>
  </mc:AlternateContent>
  <xr:revisionPtr revIDLastSave="2" documentId="8_{C573FB39-5DD4-4788-94C2-2F4F85F6947C}" xr6:coauthVersionLast="45" xr6:coauthVersionMax="47" xr10:uidLastSave="{1652EAD2-B76A-455D-9076-DDBDE422D3E5}"/>
  <bookViews>
    <workbookView xWindow="-28920" yWindow="-4755" windowWidth="29040" windowHeight="15840" activeTab="2" xr2:uid="{00000000-000D-0000-FFFF-FFFF00000000}"/>
  </bookViews>
  <sheets>
    <sheet name="Historic Data" sheetId="7" r:id="rId1"/>
    <sheet name="Inputs" sheetId="5" r:id="rId2"/>
    <sheet name="Calculation" sheetId="8" r:id="rId3"/>
    <sheet name="Output" sheetId="10" r:id="rId4"/>
    <sheet name="Graphs" sheetId="3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8" i="8" l="1"/>
  <c r="F45" i="10" l="1"/>
  <c r="G60" i="10" l="1"/>
  <c r="L56" i="10" s="1"/>
  <c r="G59" i="10"/>
  <c r="G57" i="10"/>
  <c r="G56" i="10"/>
  <c r="F60" i="10"/>
  <c r="F59" i="10"/>
  <c r="F57" i="10"/>
  <c r="F56" i="10"/>
  <c r="E18" i="10"/>
  <c r="L58" i="10" l="1"/>
  <c r="L59" i="10"/>
  <c r="L57" i="10"/>
  <c r="L60" i="10" s="1"/>
  <c r="A57" i="10" l="1"/>
  <c r="A58" i="10"/>
  <c r="A59" i="10"/>
  <c r="A60" i="10"/>
  <c r="A56" i="10"/>
  <c r="F18" i="10" l="1"/>
  <c r="B25" i="8" l="1"/>
  <c r="H18" i="10" l="1"/>
  <c r="I18" i="10"/>
  <c r="J18" i="10"/>
  <c r="K18" i="10"/>
  <c r="G18" i="10"/>
  <c r="H7" i="10" l="1"/>
  <c r="I7" i="10"/>
  <c r="J7" i="10"/>
  <c r="K7" i="10"/>
  <c r="G7" i="10"/>
  <c r="B70" i="8" l="1"/>
  <c r="P25" i="5"/>
  <c r="T25" i="5" l="1"/>
  <c r="S25" i="5"/>
  <c r="R25" i="5"/>
  <c r="Q25" i="5"/>
  <c r="B3" i="10"/>
  <c r="Q26" i="5" l="1"/>
  <c r="R26" i="5"/>
  <c r="S26" i="5"/>
  <c r="T26" i="5"/>
  <c r="P26" i="5"/>
  <c r="C32" i="8"/>
  <c r="F50" i="8" l="1"/>
  <c r="E41" i="8" l="1"/>
  <c r="B37" i="8" l="1"/>
  <c r="B47" i="8" s="1"/>
  <c r="B36" i="8"/>
  <c r="B46" i="8" s="1"/>
  <c r="B35" i="8"/>
  <c r="B45" i="8" s="1"/>
  <c r="B43" i="8" l="1"/>
  <c r="B52" i="8" s="1"/>
  <c r="B54" i="8"/>
  <c r="B62" i="8"/>
  <c r="B63" i="8"/>
  <c r="B72" i="8" s="1"/>
  <c r="B80" i="8" s="1"/>
  <c r="B86" i="8" s="1"/>
  <c r="E8" i="10" s="1"/>
  <c r="B55" i="8"/>
  <c r="B42" i="8"/>
  <c r="B51" i="8" s="1"/>
  <c r="B64" i="8"/>
  <c r="B73" i="8" s="1"/>
  <c r="B81" i="8" s="1"/>
  <c r="B87" i="8" s="1"/>
  <c r="E9" i="10" s="1"/>
  <c r="B56" i="8"/>
  <c r="B41" i="8"/>
  <c r="B50" i="8" s="1"/>
  <c r="J14" i="10" l="1"/>
  <c r="J15" i="10"/>
  <c r="B3" i="3" l="1"/>
  <c r="B3" i="8"/>
  <c r="B44" i="7" l="1"/>
  <c r="D10" i="8" l="1"/>
  <c r="H60" i="8"/>
  <c r="I60" i="8"/>
  <c r="J60" i="8"/>
  <c r="K60" i="8"/>
  <c r="G60" i="8"/>
  <c r="B17" i="8" l="1"/>
  <c r="B18" i="8"/>
  <c r="B23" i="8" l="1"/>
  <c r="B24" i="8"/>
  <c r="B22" i="8"/>
  <c r="B21" i="8"/>
  <c r="B28" i="8"/>
  <c r="B29" i="8"/>
  <c r="D23" i="8" a="1"/>
  <c r="D23" i="8" s="1"/>
  <c r="B16" i="8"/>
  <c r="D11" i="8"/>
  <c r="D16" i="8" l="1" a="1"/>
  <c r="D16" i="8" s="1"/>
  <c r="D25" i="8" a="1"/>
  <c r="D25" i="8" s="1"/>
  <c r="D17" i="8" a="1"/>
  <c r="D17" i="8" s="1"/>
  <c r="D18" i="8" a="1"/>
  <c r="D18" i="8" s="1"/>
  <c r="D7" i="8" l="1"/>
  <c r="D12" i="8" s="1"/>
  <c r="D24" i="8" a="1"/>
  <c r="D24" i="8" s="1"/>
  <c r="D21" i="8" a="1"/>
  <c r="D21" i="8" s="1"/>
  <c r="D29" i="8" a="1"/>
  <c r="D29" i="8" s="1"/>
  <c r="D28" i="8" a="1"/>
  <c r="D28" i="8" s="1"/>
  <c r="D22" i="8" a="1"/>
  <c r="D22" i="8" s="1"/>
  <c r="C21" i="7"/>
  <c r="C44" i="7"/>
  <c r="D19" i="8"/>
  <c r="C45" i="7" l="1"/>
  <c r="E30" i="10"/>
  <c r="E32" i="10"/>
  <c r="D30" i="8"/>
  <c r="D37" i="8" s="1"/>
  <c r="D35" i="8"/>
  <c r="E45" i="8" s="1"/>
  <c r="D26" i="8"/>
  <c r="D36" i="8" l="1"/>
  <c r="F32" i="10"/>
  <c r="E54" i="8"/>
  <c r="F30" i="10"/>
  <c r="D32" i="8"/>
  <c r="E42" i="8" l="1"/>
  <c r="E43" i="8" l="1"/>
  <c r="E47" i="8" s="1"/>
  <c r="E46" i="8"/>
  <c r="F54" i="8" l="1"/>
  <c r="F62" i="8" s="1"/>
  <c r="F51" i="8"/>
  <c r="E55" i="8" s="1"/>
  <c r="G30" i="10" l="1"/>
  <c r="G62" i="8"/>
  <c r="F38" i="10"/>
  <c r="G32" i="10"/>
  <c r="P27" i="5"/>
  <c r="G70" i="8" s="1"/>
  <c r="G24" i="10" s="1"/>
  <c r="T27" i="5"/>
  <c r="K70" i="8" s="1"/>
  <c r="K24" i="10" s="1"/>
  <c r="S27" i="5"/>
  <c r="J70" i="8" s="1"/>
  <c r="J24" i="10" s="1"/>
  <c r="R27" i="5"/>
  <c r="I70" i="8" s="1"/>
  <c r="I24" i="10" s="1"/>
  <c r="Q27" i="5"/>
  <c r="H70" i="8" s="1"/>
  <c r="H24" i="10" s="1"/>
  <c r="F52" i="8"/>
  <c r="F55" i="8"/>
  <c r="F63" i="8" s="1"/>
  <c r="F56" i="8" l="1"/>
  <c r="F64" i="8" s="1"/>
  <c r="F66" i="8" s="1"/>
  <c r="E56" i="8"/>
  <c r="H62" i="8"/>
  <c r="G38" i="10"/>
  <c r="H32" i="10"/>
  <c r="H30" i="10"/>
  <c r="F70" i="8"/>
  <c r="F24" i="10" s="1"/>
  <c r="G63" i="8"/>
  <c r="F22" i="10" l="1"/>
  <c r="G22" i="10" s="1"/>
  <c r="H22" i="10" s="1"/>
  <c r="I22" i="10" s="1"/>
  <c r="J22" i="10" s="1"/>
  <c r="K22" i="10" s="1"/>
  <c r="G64" i="8"/>
  <c r="G66" i="8" s="1"/>
  <c r="F73" i="8"/>
  <c r="F81" i="8" s="1"/>
  <c r="F87" i="8" s="1"/>
  <c r="F39" i="10"/>
  <c r="F40" i="10" s="1"/>
  <c r="I62" i="8"/>
  <c r="I32" i="10"/>
  <c r="I30" i="10"/>
  <c r="H38" i="10"/>
  <c r="G72" i="8"/>
  <c r="G39" i="10"/>
  <c r="G40" i="10" s="1"/>
  <c r="F72" i="8"/>
  <c r="F80" i="8" s="1"/>
  <c r="H63" i="8"/>
  <c r="H64" i="8"/>
  <c r="G73" i="8" l="1"/>
  <c r="G81" i="8" s="1"/>
  <c r="G87" i="8" s="1"/>
  <c r="G9" i="10" s="1"/>
  <c r="I38" i="10"/>
  <c r="J62" i="8"/>
  <c r="J32" i="10"/>
  <c r="J30" i="10"/>
  <c r="H72" i="8"/>
  <c r="H39" i="10"/>
  <c r="H40" i="10" s="1"/>
  <c r="F75" i="8"/>
  <c r="H73" i="8"/>
  <c r="H81" i="8" s="1"/>
  <c r="H87" i="8" s="1"/>
  <c r="H9" i="10" s="1"/>
  <c r="I64" i="8"/>
  <c r="H66" i="8"/>
  <c r="I63" i="8"/>
  <c r="F86" i="8"/>
  <c r="F83" i="8"/>
  <c r="G75" i="8"/>
  <c r="G80" i="8"/>
  <c r="K30" i="10" l="1"/>
  <c r="J38" i="10"/>
  <c r="K62" i="8"/>
  <c r="K38" i="10" s="1"/>
  <c r="K32" i="10"/>
  <c r="I72" i="8"/>
  <c r="I39" i="10"/>
  <c r="I40" i="10" s="1"/>
  <c r="H75" i="8"/>
  <c r="H80" i="8"/>
  <c r="F90" i="8"/>
  <c r="F27" i="10" s="1"/>
  <c r="I73" i="8"/>
  <c r="I81" i="8" s="1"/>
  <c r="I87" i="8" s="1"/>
  <c r="I9" i="10" s="1"/>
  <c r="J64" i="8"/>
  <c r="G86" i="8"/>
  <c r="G8" i="10" s="1"/>
  <c r="G83" i="8"/>
  <c r="I66" i="8"/>
  <c r="J63" i="8"/>
  <c r="F43" i="10" l="1"/>
  <c r="F44" i="10"/>
  <c r="F46" i="10"/>
  <c r="J72" i="8"/>
  <c r="J39" i="10"/>
  <c r="J40" i="10" s="1"/>
  <c r="F20" i="10"/>
  <c r="F33" i="10"/>
  <c r="F34" i="10" s="1"/>
  <c r="K63" i="8"/>
  <c r="J66" i="8"/>
  <c r="I80" i="8"/>
  <c r="I75" i="8"/>
  <c r="J73" i="8"/>
  <c r="J81" i="8" s="1"/>
  <c r="J87" i="8" s="1"/>
  <c r="K64" i="8"/>
  <c r="K73" i="8" s="1"/>
  <c r="K81" i="8" s="1"/>
  <c r="K87" i="8" s="1"/>
  <c r="K9" i="10" s="1"/>
  <c r="H86" i="8"/>
  <c r="H8" i="10" s="1"/>
  <c r="H83" i="8"/>
  <c r="K15" i="10" l="1"/>
  <c r="J9" i="10"/>
  <c r="F47" i="10"/>
  <c r="K72" i="8"/>
  <c r="K39" i="10"/>
  <c r="K40" i="10" s="1"/>
  <c r="I86" i="8"/>
  <c r="I8" i="10" s="1"/>
  <c r="I83" i="8"/>
  <c r="K66" i="8"/>
  <c r="J75" i="8"/>
  <c r="J80" i="8"/>
  <c r="K75" i="8" l="1"/>
  <c r="K80" i="8"/>
  <c r="J86" i="8"/>
  <c r="J8" i="10" s="1"/>
  <c r="J83" i="8"/>
  <c r="K86" i="8" l="1"/>
  <c r="K83" i="8"/>
  <c r="K8" i="10" l="1"/>
  <c r="K14" i="10"/>
  <c r="G88" i="8" l="1"/>
  <c r="G45" i="10" l="1"/>
  <c r="G90" i="8"/>
  <c r="G27" i="10" s="1"/>
  <c r="G44" i="10" l="1"/>
  <c r="G20" i="10"/>
  <c r="G33" i="10"/>
  <c r="G34" i="10" s="1"/>
  <c r="G46" i="10"/>
  <c r="G43" i="10"/>
  <c r="G47" i="10" l="1"/>
  <c r="H88" i="8" l="1"/>
  <c r="H45" i="10" l="1"/>
  <c r="H90" i="8"/>
  <c r="H27" i="10" s="1"/>
  <c r="I88" i="8"/>
  <c r="I45" i="10" l="1"/>
  <c r="I90" i="8"/>
  <c r="I27" i="10" s="1"/>
  <c r="H20" i="10"/>
  <c r="H43" i="10"/>
  <c r="H47" i="10" s="1"/>
  <c r="H33" i="10"/>
  <c r="H34" i="10" s="1"/>
  <c r="H46" i="10"/>
  <c r="H44" i="10"/>
  <c r="I20" i="10" l="1"/>
  <c r="I43" i="10"/>
  <c r="I33" i="10"/>
  <c r="I34" i="10" s="1"/>
  <c r="I44" i="10"/>
  <c r="I46" i="10"/>
  <c r="J88" i="8"/>
  <c r="I47" i="10" l="1"/>
  <c r="J45" i="10"/>
  <c r="J90" i="8"/>
  <c r="J27" i="10" s="1"/>
  <c r="K88" i="8" l="1"/>
  <c r="J46" i="10"/>
  <c r="J43" i="10"/>
  <c r="J20" i="10"/>
  <c r="J44" i="10"/>
  <c r="J33" i="10"/>
  <c r="J34" i="10" s="1"/>
  <c r="J47" i="10" l="1"/>
  <c r="K45" i="10"/>
  <c r="K90" i="8"/>
  <c r="K27" i="10" s="1"/>
  <c r="K43" i="10" l="1"/>
  <c r="K33" i="10"/>
  <c r="K34" i="10" s="1"/>
  <c r="K20" i="10"/>
  <c r="K44" i="10"/>
  <c r="K46" i="10"/>
  <c r="K47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APA</author>
  </authors>
  <commentList>
    <comment ref="C4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APA:</t>
        </r>
        <r>
          <rPr>
            <sz val="9"/>
            <color indexed="81"/>
            <rFont val="Tahoma"/>
            <family val="2"/>
          </rPr>
          <t xml:space="preserve">
To be updated with March Data when available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<sst xmlns="http://schemas.openxmlformats.org/spreadsheetml/2006/main" count="220" uniqueCount="108">
  <si>
    <t>Roma Brisbane Pipeline:  Access Arrangement</t>
  </si>
  <si>
    <t>Operating Expenditure Forecast</t>
  </si>
  <si>
    <t>Sheet:</t>
  </si>
  <si>
    <t>Consistent with ARIN</t>
  </si>
  <si>
    <t>FY20</t>
  </si>
  <si>
    <t>Debt Rasing Costs</t>
  </si>
  <si>
    <t>Total</t>
  </si>
  <si>
    <t>ARIN Total Opex</t>
  </si>
  <si>
    <t>Difference</t>
  </si>
  <si>
    <t>Categorised for Forecast Purposes</t>
  </si>
  <si>
    <t>Total in forecast</t>
  </si>
  <si>
    <t>Nominal</t>
  </si>
  <si>
    <t>FY 19</t>
  </si>
  <si>
    <t>FY 20</t>
  </si>
  <si>
    <t>FY 11</t>
  </si>
  <si>
    <t>FY 12</t>
  </si>
  <si>
    <t>FY 13</t>
  </si>
  <si>
    <t>FY 14</t>
  </si>
  <si>
    <t>FY 15</t>
  </si>
  <si>
    <t>FY 16</t>
  </si>
  <si>
    <t>FY 17</t>
  </si>
  <si>
    <t>FY 18</t>
  </si>
  <si>
    <t>FY 21</t>
  </si>
  <si>
    <t>FY22</t>
  </si>
  <si>
    <t>FY23</t>
  </si>
  <si>
    <t>FY24</t>
  </si>
  <si>
    <t>FY25</t>
  </si>
  <si>
    <t>FY26</t>
  </si>
  <si>
    <t>FY27</t>
  </si>
  <si>
    <t>CPI</t>
  </si>
  <si>
    <t>Index</t>
  </si>
  <si>
    <t>WPI</t>
  </si>
  <si>
    <t>Source: Powerlink Transmission Determination Proposal</t>
  </si>
  <si>
    <t>Source: Energex Revenue Determination Proposal</t>
  </si>
  <si>
    <t>Group IT</t>
  </si>
  <si>
    <t>Actual RBP  Group IT expenditure</t>
  </si>
  <si>
    <t>$FY 21</t>
  </si>
  <si>
    <t>Operating Expendiutre Allocator</t>
  </si>
  <si>
    <t>Actural RBP actual operating expenditure</t>
  </si>
  <si>
    <t>Historic Average</t>
  </si>
  <si>
    <t>Forecast RBP Group IT operating expenditure</t>
  </si>
  <si>
    <t>SFY 22</t>
  </si>
  <si>
    <t>$</t>
  </si>
  <si>
    <t>FY21</t>
  </si>
  <si>
    <t>Calculating Base Opex</t>
  </si>
  <si>
    <t>Base Year Operating expenditure in RIN</t>
  </si>
  <si>
    <t>Operating Expenditure Financial Year 2020</t>
  </si>
  <si>
    <t>Removal of reported items subject to different calculation</t>
  </si>
  <si>
    <t>Debt Raising Costs</t>
  </si>
  <si>
    <t>Leases</t>
  </si>
  <si>
    <t>Subtotal</t>
  </si>
  <si>
    <t>Separation into categories relevant for forecasting</t>
  </si>
  <si>
    <t>Labour related</t>
  </si>
  <si>
    <t>Labour Costs</t>
  </si>
  <si>
    <t>Controllable</t>
  </si>
  <si>
    <t>Controllable Costs</t>
  </si>
  <si>
    <t>Uncontrollable</t>
  </si>
  <si>
    <t>Uncontrollable Costs</t>
  </si>
  <si>
    <t>Adjustment for PTRM $</t>
  </si>
  <si>
    <t>Adjustment Factor</t>
  </si>
  <si>
    <t>WPI Dec 2020</t>
  </si>
  <si>
    <t>CPI Dec 2020</t>
  </si>
  <si>
    <t>$2021</t>
  </si>
  <si>
    <t>WPI Forecast</t>
  </si>
  <si>
    <t>CPI Forecast</t>
  </si>
  <si>
    <t>$2022</t>
  </si>
  <si>
    <t>Forecast</t>
  </si>
  <si>
    <t>Forecast WPI</t>
  </si>
  <si>
    <t>Step Changes</t>
  </si>
  <si>
    <t>Separate Line item forecast</t>
  </si>
  <si>
    <t>None</t>
  </si>
  <si>
    <t>FY19</t>
  </si>
  <si>
    <t>PTRM input</t>
  </si>
  <si>
    <t>Cost</t>
  </si>
  <si>
    <t>Graphs</t>
  </si>
  <si>
    <t>By cost type</t>
  </si>
  <si>
    <t>RIN Outputs</t>
  </si>
  <si>
    <t>Price Growth</t>
  </si>
  <si>
    <t>Base Opex</t>
  </si>
  <si>
    <t>Step Change</t>
  </si>
  <si>
    <t>In-house labour expenditure</t>
  </si>
  <si>
    <t>Labour expenditure outsourced to related parties</t>
  </si>
  <si>
    <t>Labour expenditure outsourced to unrelated parties</t>
  </si>
  <si>
    <t>Non-labour expenditure</t>
  </si>
  <si>
    <t>Corporate</t>
  </si>
  <si>
    <t>Historic Data</t>
  </si>
  <si>
    <t>Labour</t>
  </si>
  <si>
    <t>Contractors</t>
  </si>
  <si>
    <t>Materials</t>
  </si>
  <si>
    <t>Services</t>
  </si>
  <si>
    <t>Insurance</t>
  </si>
  <si>
    <t>Licences</t>
  </si>
  <si>
    <t>Communications</t>
  </si>
  <si>
    <t>Other</t>
  </si>
  <si>
    <t>Corporate Labour</t>
  </si>
  <si>
    <t>Corporate Non Labour</t>
  </si>
  <si>
    <t>Repairs and maintenance</t>
  </si>
  <si>
    <t>labour expenditure</t>
  </si>
  <si>
    <t>insurance expenditure</t>
  </si>
  <si>
    <t>licence and regulatory expenditure</t>
  </si>
  <si>
    <t>leasing and rental expenditure</t>
  </si>
  <si>
    <t>equity raising costs</t>
  </si>
  <si>
    <t>Other operating</t>
  </si>
  <si>
    <t>Debt raising</t>
  </si>
  <si>
    <t>Equity raising</t>
  </si>
  <si>
    <t>Inputs</t>
  </si>
  <si>
    <t>Ratios</t>
  </si>
  <si>
    <t>Debt Rasising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</si>
</sst>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;[Red]\-&quot;$&quot;#,##0"/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-* #,##0.00_-;\-* #,##0.00_-;_-* &quot;-&quot;_-;_-@_-"/>
    <numFmt numFmtId="167" formatCode="_(* #,##0.00_);_(\-* #,##0.00_);_(* &quot;-&quot;??_);_(@_)"/>
    <numFmt numFmtId="168" formatCode="_-* #,##0.0_-;\-* #,##0.0_-;_-* &quot;-&quot;??_-;_-@_-"/>
    <numFmt numFmtId="169" formatCode="_(* #,##0_);_(* \(#,##0\);_(* &quot;-&quot;??_);_(@_)"/>
  </numFmts>
  <fonts count="17" x14ac:knownFonts="1">
    <font>
      <sz val="8"/>
      <color theme="1"/>
      <name val="Calibri"/>
      <family val="2"/>
      <scheme val="minor"/>
    </font>
    <font>
      <sz val="8"/>
      <color rgb="FFC00000"/>
      <name val="Century Gothic"/>
      <family val="2"/>
    </font>
    <font>
      <sz val="8"/>
      <color theme="1" tint="0.34998626667073579"/>
      <name val="Century Gothic"/>
      <family val="2"/>
    </font>
    <font>
      <sz val="8"/>
      <color theme="1" tint="0.24994659260841701"/>
      <name val="Calibri"/>
      <family val="2"/>
      <scheme val="minor"/>
    </font>
    <font>
      <sz val="8"/>
      <color theme="1" tint="0.24994659260841701"/>
      <name val="Century Gothic"/>
      <family val="2"/>
    </font>
    <font>
      <b/>
      <sz val="8"/>
      <color rgb="FFC00000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rgb="FF006100"/>
      <name val="Century Gothic"/>
      <family val="2"/>
    </font>
    <font>
      <b/>
      <i/>
      <sz val="18"/>
      <color rgb="FFC00000"/>
      <name val="Century Gothic"/>
      <family val="2"/>
    </font>
    <font>
      <b/>
      <sz val="15"/>
      <color theme="1" tint="0.24994659260841701"/>
      <name val="Century Gothic"/>
      <family val="2"/>
    </font>
    <font>
      <b/>
      <sz val="8"/>
      <color theme="1" tint="0.24994659260841701"/>
      <name val="Century Gothic"/>
      <family val="2"/>
    </font>
    <font>
      <b/>
      <sz val="10"/>
      <color theme="1" tint="0.24994659260841701"/>
      <name val="Century Gothic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rgb="FF9C0006"/>
      <name val="Century Gothic"/>
      <family val="2"/>
    </font>
    <font>
      <b/>
      <sz val="10"/>
      <name val="Arial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/>
      <right/>
      <top/>
      <bottom style="thick">
        <color rgb="FFC00000"/>
      </bottom>
      <diagonal/>
    </border>
    <border>
      <left/>
      <right/>
      <top/>
      <bottom style="medium">
        <color theme="1" tint="0.24994659260841701"/>
      </bottom>
      <diagonal/>
    </border>
    <border>
      <left/>
      <right/>
      <top/>
      <bottom style="thick">
        <color theme="1" tint="0.24994659260841701"/>
      </bottom>
      <diagonal/>
    </border>
  </borders>
  <cellStyleXfs count="16">
    <xf numFmtId="0" fontId="0" fillId="4" borderId="0"/>
    <xf numFmtId="0" fontId="11" fillId="0" borderId="6" applyNumberFormat="0" applyFill="0" applyAlignment="0" applyProtection="0"/>
    <xf numFmtId="0" fontId="2" fillId="0" borderId="1" applyNumberFormat="0" applyAlignment="0" applyProtection="0"/>
    <xf numFmtId="0" fontId="1" fillId="3" borderId="2" applyNumberFormat="0" applyAlignment="0" applyProtection="0"/>
    <xf numFmtId="0" fontId="4" fillId="3" borderId="3" applyNumberFormat="0" applyAlignment="0" applyProtection="0"/>
    <xf numFmtId="0" fontId="10" fillId="0" borderId="5" applyNumberFormat="0" applyFill="0" applyAlignment="0" applyProtection="0"/>
    <xf numFmtId="0" fontId="5" fillId="2" borderId="2" applyNumberFormat="0" applyAlignment="0" applyProtection="0"/>
    <xf numFmtId="41" fontId="4" fillId="3" borderId="2" applyAlignment="0" applyProtection="0"/>
    <xf numFmtId="41" fontId="2" fillId="0" borderId="1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14" fillId="6" borderId="0" applyNumberFormat="0" applyBorder="0" applyAlignment="0" applyProtection="0"/>
    <xf numFmtId="41" fontId="4" fillId="3" borderId="3" applyAlignment="0" applyProtection="0"/>
    <xf numFmtId="0" fontId="7" fillId="5" borderId="0" applyBorder="0" applyAlignment="0" applyProtection="0"/>
  </cellStyleXfs>
  <cellXfs count="45">
    <xf numFmtId="0" fontId="0" fillId="4" borderId="0" xfId="0"/>
    <xf numFmtId="0" fontId="2" fillId="0" borderId="1" xfId="2"/>
    <xf numFmtId="0" fontId="11" fillId="0" borderId="6" xfId="1" applyFill="1"/>
    <xf numFmtId="0" fontId="4" fillId="3" borderId="3" xfId="4"/>
    <xf numFmtId="0" fontId="10" fillId="0" borderId="5" xfId="5"/>
    <xf numFmtId="41" fontId="4" fillId="3" borderId="2" xfId="7"/>
    <xf numFmtId="41" fontId="2" fillId="0" borderId="1" xfId="8"/>
    <xf numFmtId="0" fontId="0" fillId="4" borderId="0" xfId="0" applyFill="1"/>
    <xf numFmtId="0" fontId="10" fillId="4" borderId="5" xfId="5" applyFill="1"/>
    <xf numFmtId="10" fontId="2" fillId="0" borderId="1" xfId="2" applyNumberFormat="1"/>
    <xf numFmtId="166" fontId="4" fillId="3" borderId="2" xfId="7" applyNumberFormat="1"/>
    <xf numFmtId="14" fontId="0" fillId="4" borderId="0" xfId="0" applyNumberFormat="1"/>
    <xf numFmtId="41" fontId="4" fillId="3" borderId="3" xfId="4" applyNumberFormat="1"/>
    <xf numFmtId="10" fontId="3" fillId="3" borderId="3" xfId="9" applyNumberFormat="1" applyFont="1" applyFill="1" applyBorder="1"/>
    <xf numFmtId="0" fontId="10" fillId="0" borderId="5" xfId="5" applyFill="1"/>
    <xf numFmtId="41" fontId="4" fillId="3" borderId="3" xfId="14"/>
    <xf numFmtId="41" fontId="0" fillId="4" borderId="0" xfId="0" applyNumberFormat="1"/>
    <xf numFmtId="10" fontId="4" fillId="3" borderId="3" xfId="9" applyNumberFormat="1" applyFont="1" applyFill="1" applyBorder="1"/>
    <xf numFmtId="0" fontId="7" fillId="5" borderId="0" xfId="15"/>
    <xf numFmtId="165" fontId="7" fillId="5" borderId="0" xfId="10" applyNumberFormat="1" applyFont="1" applyFill="1"/>
    <xf numFmtId="0" fontId="7" fillId="5" borderId="0" xfId="15" applyBorder="1"/>
    <xf numFmtId="0" fontId="11" fillId="4" borderId="6" xfId="1" applyFill="1"/>
    <xf numFmtId="0" fontId="9" fillId="4" borderId="4" xfId="12" applyFill="1"/>
    <xf numFmtId="41" fontId="1" fillId="3" borderId="2" xfId="3" applyNumberFormat="1"/>
    <xf numFmtId="41" fontId="7" fillId="5" borderId="0" xfId="15" applyNumberFormat="1"/>
    <xf numFmtId="0" fontId="8" fillId="4" borderId="0" xfId="11" applyFill="1"/>
    <xf numFmtId="9" fontId="1" fillId="3" borderId="2" xfId="9" applyFont="1" applyFill="1" applyBorder="1"/>
    <xf numFmtId="0" fontId="1" fillId="3" borderId="2" xfId="3"/>
    <xf numFmtId="41" fontId="2" fillId="0" borderId="1" xfId="2" quotePrefix="1" applyNumberFormat="1"/>
    <xf numFmtId="10" fontId="14" fillId="6" borderId="2" xfId="9" applyNumberFormat="1" applyFont="1" applyFill="1" applyBorder="1"/>
    <xf numFmtId="6" fontId="2" fillId="0" borderId="1" xfId="2" quotePrefix="1" applyNumberFormat="1"/>
    <xf numFmtId="10" fontId="4" fillId="3" borderId="2" xfId="7" applyNumberFormat="1"/>
    <xf numFmtId="0" fontId="15" fillId="7" borderId="0" xfId="0" applyFont="1" applyFill="1" applyBorder="1" applyAlignment="1">
      <alignment vertical="center"/>
    </xf>
    <xf numFmtId="0" fontId="0" fillId="7" borderId="0" xfId="0" applyFill="1"/>
    <xf numFmtId="167" fontId="5" fillId="2" borderId="2" xfId="6" applyNumberFormat="1" applyAlignment="1">
      <alignment horizontal="right"/>
    </xf>
    <xf numFmtId="164" fontId="5" fillId="2" borderId="2" xfId="6" applyNumberFormat="1"/>
    <xf numFmtId="167" fontId="5" fillId="2" borderId="2" xfId="6" applyNumberFormat="1"/>
    <xf numFmtId="165" fontId="1" fillId="3" borderId="2" xfId="3" applyNumberFormat="1"/>
    <xf numFmtId="9" fontId="2" fillId="0" borderId="1" xfId="2" applyNumberFormat="1"/>
    <xf numFmtId="43" fontId="9" fillId="4" borderId="4" xfId="12" applyNumberFormat="1" applyFill="1"/>
    <xf numFmtId="168" fontId="9" fillId="4" borderId="4" xfId="12" applyNumberFormat="1" applyFill="1"/>
    <xf numFmtId="169" fontId="5" fillId="2" borderId="2" xfId="6" applyNumberFormat="1" applyAlignment="1"/>
    <xf numFmtId="9" fontId="0" fillId="4" borderId="0" xfId="9" applyFont="1" applyFill="1"/>
    <xf numFmtId="165" fontId="2" fillId="0" borderId="1" xfId="2" applyNumberFormat="1"/>
    <xf numFmtId="164" fontId="5" fillId="2" borderId="2" xfId="6" applyNumberFormat="1" applyAlignment="1">
      <alignment horizontal="center"/>
    </xf>
  </cellXfs>
  <cellStyles count="16">
    <cellStyle name="Bad" xfId="13" builtinId="27" customBuiltin="1"/>
    <cellStyle name="Calculation" xfId="3" builtinId="22" customBuiltin="1"/>
    <cellStyle name="Calculation #" xfId="7" xr:uid="{00000000-0005-0000-0000-000002000000}"/>
    <cellStyle name="Checkcell" xfId="15" xr:uid="{00000000-0005-0000-0000-000003000000}"/>
    <cellStyle name="Comma" xfId="10" builtinId="3"/>
    <cellStyle name="Heading 1" xfId="12" builtinId="16" customBuiltin="1"/>
    <cellStyle name="Heading 2" xfId="1" builtinId="17" customBuiltin="1"/>
    <cellStyle name="Heading 3" xfId="5" builtinId="18" customBuiltin="1"/>
    <cellStyle name="Input" xfId="2" builtinId="20" customBuiltin="1"/>
    <cellStyle name="Input #" xfId="8" xr:uid="{00000000-0005-0000-0000-000009000000}"/>
    <cellStyle name="Linked Cell" xfId="4" builtinId="24" customBuiltin="1"/>
    <cellStyle name="Linked Cell #" xfId="14" xr:uid="{00000000-0005-0000-0000-00000B000000}"/>
    <cellStyle name="Normal" xfId="0" builtinId="0" customBuiltin="1"/>
    <cellStyle name="Output" xfId="6" builtinId="21" customBuiltin="1"/>
    <cellStyle name="Percent" xfId="9" builtinId="5"/>
    <cellStyle name="Title" xfId="11" builtinId="1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FY 27 Opex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DD1-4D1F-8B56-A30C08B65EE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DD1-4D1F-8B56-A30C08B65EE3}"/>
              </c:ext>
            </c:extLst>
          </c:dPt>
          <c:cat>
            <c:strRef>
              <c:f>Output!$J$14:$J$15</c:f>
              <c:strCache>
                <c:ptCount val="2"/>
                <c:pt idx="0">
                  <c:v> Controllable Costs </c:v>
                </c:pt>
                <c:pt idx="1">
                  <c:v> Uncontrollable Costs </c:v>
                </c:pt>
              </c:strCache>
            </c:strRef>
          </c:cat>
          <c:val>
            <c:numRef>
              <c:f>Output!$K$14:$K$15</c:f>
              <c:numCache>
                <c:formatCode>_(* #,##0.00_);_(\-* #,##0.00_);_(* "-"??_);_(@_)</c:formatCode>
                <c:ptCount val="2"/>
                <c:pt idx="0">
                  <c:v>18.535170633889603</c:v>
                </c:pt>
                <c:pt idx="1">
                  <c:v>0.94183107022350254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B6-4BA9-B870-61210B700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Activity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Calculation!$B$86</c:f>
              <c:strCache>
                <c:ptCount val="1"/>
                <c:pt idx="0">
                  <c:v>Controllable Costs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3F6-43AA-955C-17831B25F069}"/>
              </c:ext>
            </c:extLst>
          </c:dPt>
          <c:cat>
            <c:strRef>
              <c:f>Calculation!$F$3:$K$3</c:f>
              <c:strCache>
                <c:ptCount val="6"/>
                <c:pt idx="0">
                  <c:v>FY22</c:v>
                </c:pt>
                <c:pt idx="1">
                  <c:v>FY23</c:v>
                </c:pt>
                <c:pt idx="2">
                  <c:v>FY24</c:v>
                </c:pt>
                <c:pt idx="3">
                  <c:v>FY25</c:v>
                </c:pt>
                <c:pt idx="4">
                  <c:v>FY26</c:v>
                </c:pt>
                <c:pt idx="5">
                  <c:v>FY27</c:v>
                </c:pt>
              </c:strCache>
            </c:strRef>
          </c:cat>
          <c:val>
            <c:numRef>
              <c:f>Calculation!$F$86:$K$86</c:f>
              <c:numCache>
                <c:formatCode>_(* #,##0_);_(* \(#,##0\);_(* "-"_);_(@_)</c:formatCode>
                <c:ptCount val="6"/>
                <c:pt idx="0">
                  <c:v>18112913.608154807</c:v>
                </c:pt>
                <c:pt idx="1">
                  <c:v>18157229.587635498</c:v>
                </c:pt>
                <c:pt idx="2">
                  <c:v>18217368.027225591</c:v>
                </c:pt>
                <c:pt idx="3">
                  <c:v>18317603.174890369</c:v>
                </c:pt>
                <c:pt idx="4">
                  <c:v>18453056.067711413</c:v>
                </c:pt>
                <c:pt idx="5">
                  <c:v>18535170.633889604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F6-43AA-955C-17831B25F069}"/>
            </c:ext>
          </c:extLst>
        </c:ser>
        <c:ser>
          <c:idx val="1"/>
          <c:order val="1"/>
          <c:tx>
            <c:strRef>
              <c:f>Calculation!$B$87</c:f>
              <c:strCache>
                <c:ptCount val="1"/>
                <c:pt idx="0">
                  <c:v>Uncontrollable Costs</c:v>
                </c:pt>
              </c:strCache>
            </c:strRef>
          </c:tx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invertIfNegative val="0"/>
          <c:cat>
            <c:strRef>
              <c:f>Calculation!$F$3:$K$3</c:f>
              <c:strCache>
                <c:ptCount val="6"/>
                <c:pt idx="0">
                  <c:v>FY22</c:v>
                </c:pt>
                <c:pt idx="1">
                  <c:v>FY23</c:v>
                </c:pt>
                <c:pt idx="2">
                  <c:v>FY24</c:v>
                </c:pt>
                <c:pt idx="3">
                  <c:v>FY25</c:v>
                </c:pt>
                <c:pt idx="4">
                  <c:v>FY26</c:v>
                </c:pt>
                <c:pt idx="5">
                  <c:v>FY27</c:v>
                </c:pt>
              </c:strCache>
            </c:strRef>
          </c:cat>
          <c:val>
            <c:numRef>
              <c:f>Calculation!$F$87:$K$87</c:f>
              <c:numCache>
                <c:formatCode>_(* #,##0_);_(* \(#,##0\);_(* "-"_);_(@_)</c:formatCode>
                <c:ptCount val="6"/>
                <c:pt idx="0">
                  <c:v>941831.07022350258</c:v>
                </c:pt>
                <c:pt idx="1">
                  <c:v>941831.07022350258</c:v>
                </c:pt>
                <c:pt idx="2">
                  <c:v>941831.07022350258</c:v>
                </c:pt>
                <c:pt idx="3">
                  <c:v>941831.07022350258</c:v>
                </c:pt>
                <c:pt idx="4">
                  <c:v>941831.07022350258</c:v>
                </c:pt>
                <c:pt idx="5">
                  <c:v>941831.07022350258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D0-4A11-A65B-331059BF2E6B}"/>
            </c:ext>
          </c:extLst>
        </c:ser>
        <c:ser>
          <c:idx val="2"/>
          <c:order val="2"/>
          <c:tx>
            <c:strRef>
              <c:f>Calculation!$B$88</c:f>
              <c:strCache>
                <c:ptCount val="1"/>
                <c:pt idx="0">
                  <c:v>Debt Rasising Costs</c:v>
                </c:pt>
              </c:strCache>
            </c:strRef>
          </c:tx>
          <c:spPr>
            <a:solidFill>
              <a:schemeClr val="accent3"/>
            </a:solidFill>
            <a:ln w="19050">
              <a:solidFill>
                <a:schemeClr val="lt1"/>
              </a:solidFill>
            </a:ln>
            <a:effectLst/>
          </c:spPr>
          <c:invertIfNegative val="0"/>
          <c:cat>
            <c:strRef>
              <c:f>Calculation!$F$3:$K$3</c:f>
              <c:strCache>
                <c:ptCount val="6"/>
                <c:pt idx="0">
                  <c:v>FY22</c:v>
                </c:pt>
                <c:pt idx="1">
                  <c:v>FY23</c:v>
                </c:pt>
                <c:pt idx="2">
                  <c:v>FY24</c:v>
                </c:pt>
                <c:pt idx="3">
                  <c:v>FY25</c:v>
                </c:pt>
                <c:pt idx="4">
                  <c:v>FY26</c:v>
                </c:pt>
                <c:pt idx="5">
                  <c:v>FY27</c:v>
                </c:pt>
              </c:strCache>
            </c:strRef>
          </c:cat>
          <c:val>
            <c:numRef>
              <c:f>Calculation!$F$88:$K$88</c:f>
              <c:numCache>
                <c:formatCode>_(* #,##0_);_(* \(#,##0\);_(* "-"_);_(@_)</c:formatCode>
                <c:ptCount val="6"/>
                <c:pt idx="0">
                  <c:v>0</c:v>
                </c:pt>
                <c:pt idx="1">
                  <c:v>241779.80732476831</c:v>
                </c:pt>
                <c:pt idx="2">
                  <c:v>243314.10944038635</c:v>
                </c:pt>
                <c:pt idx="3">
                  <c:v>238109.21132849617</c:v>
                </c:pt>
                <c:pt idx="4">
                  <c:v>232650.81777900708</c:v>
                </c:pt>
                <c:pt idx="5">
                  <c:v>226680.93917367968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7F-4985-B288-0C0C9D67A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33076896"/>
        <c:axId val="633072304"/>
      </c:barChart>
      <c:catAx>
        <c:axId val="633076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072304"/>
        <c:crosses val="autoZero"/>
        <c:auto val="1"/>
        <c:lblAlgn val="ctr"/>
        <c:lblOffset val="100"/>
        <c:noMultiLvlLbl val="0"/>
      </c:catAx>
      <c:valAx>
        <c:axId val="63307230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07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7</xdr:row>
      <xdr:rowOff>95250</xdr:rowOff>
    </xdr:from>
    <xdr:to>
      <xdr:col>8</xdr:col>
      <xdr:colOff>371475</xdr:colOff>
      <xdr:row>22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66675</xdr:colOff>
      <xdr:row>7</xdr:row>
      <xdr:rowOff>38100</xdr:rowOff>
    </xdr:from>
    <xdr:to>
      <xdr:col>16</xdr:col>
      <xdr:colOff>371475</xdr:colOff>
      <xdr:row>21</xdr:row>
      <xdr:rowOff>114300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8"/>
  <sheetViews>
    <sheetView topLeftCell="A20" workbookViewId="0">
      <selection activeCell="C49" sqref="C49"/>
    </sheetView>
  </sheetViews>
  <sheetFormatPr defaultRowHeight="11.25" x14ac:dyDescent="0.2"/>
  <cols>
    <col min="2" max="2" width="39" bestFit="1" customWidth="1"/>
    <col min="3" max="3" width="14" bestFit="1" customWidth="1"/>
    <col min="4" max="6" width="11.5" bestFit="1" customWidth="1"/>
    <col min="7" max="7" width="10.5" bestFit="1" customWidth="1"/>
    <col min="8" max="13" width="11.5" bestFit="1" customWidth="1"/>
  </cols>
  <sheetData>
    <row r="1" spans="1:3" ht="24" x14ac:dyDescent="0.35">
      <c r="A1" s="25" t="s">
        <v>0</v>
      </c>
    </row>
    <row r="2" spans="1:3" ht="24" x14ac:dyDescent="0.35">
      <c r="A2" s="25" t="s">
        <v>1</v>
      </c>
    </row>
    <row r="3" spans="1:3" ht="13.5" thickBot="1" x14ac:dyDescent="0.25">
      <c r="A3" s="21" t="s">
        <v>2</v>
      </c>
      <c r="B3" s="21" t="s">
        <v>85</v>
      </c>
    </row>
    <row r="4" spans="1:3" ht="14.25" thickTop="1" thickBot="1" x14ac:dyDescent="0.25">
      <c r="B4" s="21" t="s">
        <v>3</v>
      </c>
      <c r="C4" s="21" t="s">
        <v>4</v>
      </c>
    </row>
    <row r="5" spans="1:3" ht="12" thickTop="1" x14ac:dyDescent="0.2"/>
    <row r="6" spans="1:3" ht="14.25" thickBot="1" x14ac:dyDescent="0.35">
      <c r="B6" s="8" t="s">
        <v>86</v>
      </c>
      <c r="C6" s="15">
        <v>8506557</v>
      </c>
    </row>
    <row r="7" spans="1:3" ht="14.25" thickBot="1" x14ac:dyDescent="0.35">
      <c r="B7" s="8" t="s">
        <v>87</v>
      </c>
      <c r="C7" s="15">
        <v>1654972</v>
      </c>
    </row>
    <row r="8" spans="1:3" ht="14.25" thickBot="1" x14ac:dyDescent="0.35">
      <c r="B8" s="8" t="s">
        <v>88</v>
      </c>
      <c r="C8" s="15">
        <v>322775</v>
      </c>
    </row>
    <row r="9" spans="1:3" ht="14.25" thickBot="1" x14ac:dyDescent="0.35">
      <c r="B9" s="8" t="s">
        <v>89</v>
      </c>
      <c r="C9" s="15">
        <v>2284508</v>
      </c>
    </row>
    <row r="10" spans="1:3" ht="14.25" thickBot="1" x14ac:dyDescent="0.35">
      <c r="B10" s="8" t="s">
        <v>90</v>
      </c>
      <c r="C10" s="15">
        <v>336325</v>
      </c>
    </row>
    <row r="11" spans="1:3" ht="14.25" thickBot="1" x14ac:dyDescent="0.35">
      <c r="B11" s="8" t="s">
        <v>91</v>
      </c>
      <c r="C11" s="15">
        <v>576863</v>
      </c>
    </row>
    <row r="12" spans="1:3" ht="14.25" thickBot="1" x14ac:dyDescent="0.35">
      <c r="B12" s="8" t="s">
        <v>92</v>
      </c>
      <c r="C12" s="15">
        <v>262699</v>
      </c>
    </row>
    <row r="13" spans="1:3" ht="14.25" thickBot="1" x14ac:dyDescent="0.35">
      <c r="B13" s="8" t="s">
        <v>93</v>
      </c>
      <c r="C13" s="15">
        <v>132600</v>
      </c>
    </row>
    <row r="14" spans="1:3" ht="14.25" thickBot="1" x14ac:dyDescent="0.35">
      <c r="B14" s="8" t="s">
        <v>94</v>
      </c>
      <c r="C14" s="15">
        <v>990063.4273006093</v>
      </c>
    </row>
    <row r="15" spans="1:3" ht="14.25" thickBot="1" x14ac:dyDescent="0.35">
      <c r="B15" s="8" t="s">
        <v>95</v>
      </c>
      <c r="C15" s="15">
        <v>2269484.7532393974</v>
      </c>
    </row>
    <row r="16" spans="1:3" ht="14.25" thickBot="1" x14ac:dyDescent="0.35">
      <c r="B16" s="8" t="s">
        <v>49</v>
      </c>
      <c r="C16" s="15">
        <v>370046.04</v>
      </c>
    </row>
    <row r="17" spans="2:3" ht="14.25" thickBot="1" x14ac:dyDescent="0.35">
      <c r="B17" s="8" t="s">
        <v>5</v>
      </c>
      <c r="C17" s="15">
        <v>256561.29349019512</v>
      </c>
    </row>
    <row r="18" spans="2:3" ht="14.25" thickBot="1" x14ac:dyDescent="0.35">
      <c r="B18" s="8" t="s">
        <v>6</v>
      </c>
      <c r="C18" s="5">
        <v>17963454.514030199</v>
      </c>
    </row>
    <row r="20" spans="2:3" x14ac:dyDescent="0.2">
      <c r="B20" s="18" t="s">
        <v>7</v>
      </c>
      <c r="C20" s="19">
        <v>17963454.514030199</v>
      </c>
    </row>
    <row r="21" spans="2:3" x14ac:dyDescent="0.2">
      <c r="B21" s="20" t="s">
        <v>8</v>
      </c>
      <c r="C21" s="18">
        <f>C18-C20</f>
        <v>0</v>
      </c>
    </row>
    <row r="23" spans="2:3" ht="13.5" thickBot="1" x14ac:dyDescent="0.25">
      <c r="B23" s="21" t="s">
        <v>9</v>
      </c>
      <c r="C23" s="21" t="s">
        <v>4</v>
      </c>
    </row>
    <row r="24" spans="2:3" ht="12" thickTop="1" x14ac:dyDescent="0.2"/>
    <row r="26" spans="2:3" ht="14.25" thickBot="1" x14ac:dyDescent="0.35">
      <c r="B26" s="4" t="s">
        <v>86</v>
      </c>
      <c r="C26" s="15">
        <v>8506557</v>
      </c>
    </row>
    <row r="27" spans="2:3" ht="14.25" thickBot="1" x14ac:dyDescent="0.35">
      <c r="B27" s="8" t="s">
        <v>87</v>
      </c>
      <c r="C27" s="15">
        <v>1654972</v>
      </c>
    </row>
    <row r="28" spans="2:3" ht="14.25" thickBot="1" x14ac:dyDescent="0.35">
      <c r="B28" s="8" t="s">
        <v>88</v>
      </c>
      <c r="C28" s="15">
        <v>322775</v>
      </c>
    </row>
    <row r="29" spans="2:3" ht="14.25" thickBot="1" x14ac:dyDescent="0.35">
      <c r="B29" s="8" t="s">
        <v>89</v>
      </c>
      <c r="C29" s="15">
        <v>2284508</v>
      </c>
    </row>
    <row r="30" spans="2:3" ht="14.25" thickBot="1" x14ac:dyDescent="0.35">
      <c r="B30" s="8" t="s">
        <v>90</v>
      </c>
      <c r="C30" s="15">
        <v>336325</v>
      </c>
    </row>
    <row r="31" spans="2:3" ht="14.25" thickBot="1" x14ac:dyDescent="0.35">
      <c r="B31" s="8" t="s">
        <v>91</v>
      </c>
      <c r="C31" s="15">
        <v>576863</v>
      </c>
    </row>
    <row r="32" spans="2:3" ht="14.25" thickBot="1" x14ac:dyDescent="0.35">
      <c r="B32" s="8" t="s">
        <v>92</v>
      </c>
      <c r="C32" s="15">
        <v>262699</v>
      </c>
    </row>
    <row r="33" spans="2:4" ht="14.25" thickBot="1" x14ac:dyDescent="0.35">
      <c r="B33" s="8" t="s">
        <v>93</v>
      </c>
      <c r="C33" s="15">
        <v>132600</v>
      </c>
    </row>
    <row r="34" spans="2:4" ht="14.25" thickBot="1" x14ac:dyDescent="0.35">
      <c r="B34" s="8" t="s">
        <v>94</v>
      </c>
      <c r="C34" s="15">
        <v>990063.4273006093</v>
      </c>
    </row>
    <row r="35" spans="2:4" ht="14.25" thickBot="1" x14ac:dyDescent="0.35">
      <c r="B35" s="8" t="s">
        <v>95</v>
      </c>
      <c r="C35" s="15">
        <v>2269484.7532393974</v>
      </c>
    </row>
    <row r="37" spans="2:4" ht="13.5" x14ac:dyDescent="0.3">
      <c r="B37" t="s">
        <v>10</v>
      </c>
      <c r="C37" s="5">
        <v>17336847.180540007</v>
      </c>
    </row>
    <row r="39" spans="2:4" ht="14.25" thickBot="1" x14ac:dyDescent="0.35">
      <c r="B39" s="8" t="s">
        <v>49</v>
      </c>
      <c r="C39" s="15">
        <v>370046.04</v>
      </c>
    </row>
    <row r="40" spans="2:4" ht="14.25" thickBot="1" x14ac:dyDescent="0.35">
      <c r="B40" s="8" t="s">
        <v>5</v>
      </c>
      <c r="C40" s="15">
        <v>256561.29349019512</v>
      </c>
    </row>
    <row r="42" spans="2:4" ht="13.5" x14ac:dyDescent="0.3">
      <c r="B42" t="s">
        <v>6</v>
      </c>
      <c r="C42" s="5">
        <v>626607.3334901951</v>
      </c>
    </row>
    <row r="44" spans="2:4" x14ac:dyDescent="0.2">
      <c r="B44" s="18" t="str">
        <f>B18</f>
        <v>Total</v>
      </c>
      <c r="C44" s="19">
        <f>C18</f>
        <v>17963454.514030199</v>
      </c>
    </row>
    <row r="45" spans="2:4" x14ac:dyDescent="0.2">
      <c r="B45" s="20" t="s">
        <v>8</v>
      </c>
      <c r="C45" s="24">
        <f>C18-C37-C42</f>
        <v>-2.2118911147117615E-9</v>
      </c>
    </row>
    <row r="48" spans="2:4" ht="13.5" thickBot="1" x14ac:dyDescent="0.25">
      <c r="B48" s="21" t="s">
        <v>11</v>
      </c>
      <c r="C48" s="21" t="s">
        <v>12</v>
      </c>
      <c r="D48" s="21" t="s">
        <v>13</v>
      </c>
    </row>
    <row r="49" spans="2:4" ht="14.25" thickTop="1" x14ac:dyDescent="0.3">
      <c r="B49" s="1" t="s">
        <v>96</v>
      </c>
      <c r="C49" s="43">
        <v>12052736.809999997</v>
      </c>
      <c r="D49" s="43">
        <v>1938147</v>
      </c>
    </row>
    <row r="50" spans="2:4" ht="13.5" x14ac:dyDescent="0.3">
      <c r="B50" s="1" t="s">
        <v>97</v>
      </c>
      <c r="C50" s="43"/>
      <c r="D50" s="43">
        <v>9496620.4273006096</v>
      </c>
    </row>
    <row r="51" spans="2:4" ht="13.5" x14ac:dyDescent="0.3">
      <c r="B51" s="1" t="s">
        <v>98</v>
      </c>
      <c r="C51" s="43"/>
      <c r="D51" s="43">
        <v>336325</v>
      </c>
    </row>
    <row r="52" spans="2:4" ht="13.5" x14ac:dyDescent="0.3">
      <c r="B52" s="1" t="s">
        <v>99</v>
      </c>
      <c r="C52" s="43"/>
      <c r="D52" s="43">
        <v>576863</v>
      </c>
    </row>
    <row r="53" spans="2:4" ht="13.5" x14ac:dyDescent="0.3">
      <c r="B53" s="1" t="s">
        <v>100</v>
      </c>
      <c r="C53" s="43"/>
      <c r="D53" s="43">
        <v>348877.04</v>
      </c>
    </row>
    <row r="54" spans="2:4" ht="13.5" x14ac:dyDescent="0.3">
      <c r="B54" s="1" t="s">
        <v>101</v>
      </c>
      <c r="C54" s="43"/>
      <c r="D54" s="43">
        <v>0</v>
      </c>
    </row>
    <row r="55" spans="2:4" ht="13.5" x14ac:dyDescent="0.3">
      <c r="B55" s="1" t="s">
        <v>102</v>
      </c>
      <c r="C55" s="43">
        <v>4871175.6881844206</v>
      </c>
      <c r="D55" s="43">
        <v>5010060.753239397</v>
      </c>
    </row>
    <row r="56" spans="2:4" ht="13.5" x14ac:dyDescent="0.3">
      <c r="B56" s="1" t="s">
        <v>103</v>
      </c>
      <c r="C56" s="43">
        <v>251086.76990414289</v>
      </c>
      <c r="D56" s="43">
        <v>256561.29349019512</v>
      </c>
    </row>
    <row r="57" spans="2:4" ht="13.5" x14ac:dyDescent="0.3">
      <c r="B57" s="1" t="s">
        <v>104</v>
      </c>
      <c r="C57" s="43">
        <v>0</v>
      </c>
      <c r="D57" s="43">
        <v>0</v>
      </c>
    </row>
    <row r="58" spans="2:4" ht="13.5" x14ac:dyDescent="0.3">
      <c r="B58" s="27" t="s">
        <v>6</v>
      </c>
      <c r="C58" s="37">
        <v>17174999.268088561</v>
      </c>
      <c r="D58" s="37">
        <v>17963454.514030199</v>
      </c>
    </row>
  </sheetData>
  <phoneticPr fontId="1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9"/>
  <sheetViews>
    <sheetView workbookViewId="0">
      <selection activeCell="N11" sqref="N11"/>
    </sheetView>
  </sheetViews>
  <sheetFormatPr defaultRowHeight="11.25" x14ac:dyDescent="0.2"/>
  <cols>
    <col min="9" max="9" width="10.5" bestFit="1" customWidth="1"/>
    <col min="16" max="16" width="11.1640625" bestFit="1" customWidth="1"/>
    <col min="17" max="20" width="10.5" bestFit="1" customWidth="1"/>
  </cols>
  <sheetData>
    <row r="1" spans="1:20" ht="24" x14ac:dyDescent="0.35">
      <c r="A1" s="25" t="s">
        <v>0</v>
      </c>
    </row>
    <row r="2" spans="1:20" ht="24" x14ac:dyDescent="0.35">
      <c r="A2" s="25" t="s">
        <v>1</v>
      </c>
    </row>
    <row r="3" spans="1:20" ht="13.5" thickBot="1" x14ac:dyDescent="0.25">
      <c r="A3" s="21" t="s">
        <v>2</v>
      </c>
      <c r="B3" s="21" t="s">
        <v>105</v>
      </c>
    </row>
    <row r="4" spans="1:20" ht="12" thickTop="1" x14ac:dyDescent="0.2"/>
    <row r="6" spans="1:20" x14ac:dyDescent="0.2">
      <c r="D6" t="s">
        <v>14</v>
      </c>
      <c r="E6" t="s">
        <v>15</v>
      </c>
      <c r="F6" t="s">
        <v>16</v>
      </c>
      <c r="G6" t="s">
        <v>17</v>
      </c>
      <c r="H6" t="s">
        <v>18</v>
      </c>
      <c r="I6" t="s">
        <v>19</v>
      </c>
      <c r="J6" t="s">
        <v>20</v>
      </c>
      <c r="K6" t="s">
        <v>21</v>
      </c>
      <c r="L6" t="s">
        <v>12</v>
      </c>
      <c r="M6" t="s">
        <v>13</v>
      </c>
      <c r="N6" t="s">
        <v>22</v>
      </c>
      <c r="O6" t="s">
        <v>23</v>
      </c>
      <c r="P6" t="s">
        <v>24</v>
      </c>
      <c r="Q6" t="s">
        <v>25</v>
      </c>
      <c r="R6" t="s">
        <v>26</v>
      </c>
      <c r="S6" t="s">
        <v>27</v>
      </c>
      <c r="T6" t="s">
        <v>28</v>
      </c>
    </row>
    <row r="7" spans="1:20" x14ac:dyDescent="0.2">
      <c r="D7" s="11">
        <v>40603</v>
      </c>
      <c r="E7" s="11">
        <v>40969</v>
      </c>
      <c r="F7" s="11">
        <v>41334</v>
      </c>
      <c r="G7" s="11">
        <v>41699</v>
      </c>
      <c r="H7" s="11">
        <v>42064</v>
      </c>
      <c r="I7" s="11">
        <v>42430</v>
      </c>
      <c r="J7" s="11">
        <v>42795</v>
      </c>
      <c r="K7" s="11">
        <v>43160</v>
      </c>
      <c r="L7" s="11">
        <v>43525</v>
      </c>
      <c r="M7" s="11">
        <v>43891</v>
      </c>
      <c r="N7" s="11">
        <v>44256</v>
      </c>
      <c r="O7" s="11">
        <v>44621</v>
      </c>
      <c r="P7" s="11">
        <v>44986</v>
      </c>
      <c r="Q7" s="11">
        <v>45352</v>
      </c>
      <c r="R7" s="11">
        <v>45717</v>
      </c>
      <c r="S7" s="11">
        <v>46082</v>
      </c>
      <c r="T7" s="11">
        <v>46447</v>
      </c>
    </row>
    <row r="8" spans="1:20" ht="13.5" x14ac:dyDescent="0.3">
      <c r="B8" t="s">
        <v>29</v>
      </c>
      <c r="D8" s="13">
        <v>3.2563025210083918E-2</v>
      </c>
      <c r="E8" s="13">
        <v>1.6276703967446737E-2</v>
      </c>
      <c r="F8" s="13">
        <v>2.5025025025025016E-2</v>
      </c>
      <c r="G8" s="13">
        <v>2.9296875E-2</v>
      </c>
      <c r="H8" s="13">
        <v>1.3282732447817747E-2</v>
      </c>
      <c r="I8" s="13">
        <v>1.3108614232209881E-2</v>
      </c>
      <c r="J8" s="13">
        <v>2.1256931608133023E-2</v>
      </c>
      <c r="K8" s="13">
        <v>1.9004524886877761E-2</v>
      </c>
      <c r="L8" s="13">
        <v>1.3321492007104752E-2</v>
      </c>
      <c r="M8" s="13">
        <v>2.1910604732690686E-2</v>
      </c>
      <c r="N8" s="13">
        <v>1.1149228130360234E-2</v>
      </c>
      <c r="O8" s="9">
        <v>1.9993872504847632E-2</v>
      </c>
      <c r="P8" s="9">
        <v>1.9993872504847632E-2</v>
      </c>
      <c r="Q8" s="9">
        <v>1.9993872504847632E-2</v>
      </c>
      <c r="R8" s="9">
        <v>1.9993872504847632E-2</v>
      </c>
      <c r="S8" s="9">
        <v>1.9993872504847632E-2</v>
      </c>
      <c r="T8" s="9">
        <v>1.9993872504847632E-2</v>
      </c>
    </row>
    <row r="10" spans="1:20" ht="13.5" x14ac:dyDescent="0.3">
      <c r="B10" t="s">
        <v>30</v>
      </c>
      <c r="D10" s="10">
        <v>0.83375742154368104</v>
      </c>
      <c r="E10" s="10">
        <v>0.84732824427480924</v>
      </c>
      <c r="F10" s="10">
        <v>0.86853265479219688</v>
      </c>
      <c r="G10" s="10">
        <v>0.89397794741306202</v>
      </c>
      <c r="H10" s="10">
        <v>0.90585241730279897</v>
      </c>
      <c r="I10" s="10">
        <v>0.91772688719253614</v>
      </c>
      <c r="J10" s="10">
        <v>0.93723494486853265</v>
      </c>
      <c r="K10" s="10">
        <v>0.95504664970313824</v>
      </c>
      <c r="L10" s="10">
        <v>0.96776929601357076</v>
      </c>
      <c r="M10" s="10">
        <v>0.9889737065309584</v>
      </c>
      <c r="N10" s="6">
        <v>1</v>
      </c>
      <c r="O10" s="10">
        <v>1.0199938725048476</v>
      </c>
      <c r="P10" s="10">
        <v>1.0403874999474354</v>
      </c>
      <c r="Q10" s="10">
        <v>1.0611888749770215</v>
      </c>
      <c r="R10" s="10">
        <v>1.0824061500468747</v>
      </c>
      <c r="S10" s="10">
        <v>1.1040476406093749</v>
      </c>
      <c r="T10" s="10">
        <v>1.1261218283749965</v>
      </c>
    </row>
    <row r="11" spans="1:20" ht="13.5" x14ac:dyDescent="0.3">
      <c r="B11" t="s">
        <v>30</v>
      </c>
      <c r="D11" s="10">
        <v>0.81741414729892758</v>
      </c>
      <c r="E11" s="10">
        <v>0.83071895539331508</v>
      </c>
      <c r="F11" s="10">
        <v>0.85150771804079539</v>
      </c>
      <c r="G11" s="10">
        <v>0.87645423321777183</v>
      </c>
      <c r="H11" s="10">
        <v>0.88809594030036076</v>
      </c>
      <c r="I11" s="10">
        <v>0.89973764738294992</v>
      </c>
      <c r="J11" s="10">
        <v>0.91886330901863178</v>
      </c>
      <c r="K11" s="10">
        <v>0.93632586964251519</v>
      </c>
      <c r="L11" s="10">
        <v>0.94879912723100335</v>
      </c>
      <c r="M11" s="10">
        <v>0.96958788987848377</v>
      </c>
      <c r="N11" s="10">
        <v>0.98039804645517359</v>
      </c>
      <c r="O11" s="10">
        <v>1</v>
      </c>
      <c r="P11" s="10">
        <v>1.0199938725048476</v>
      </c>
      <c r="Q11" s="10">
        <v>1.0403874999474354</v>
      </c>
      <c r="R11" s="10">
        <v>1.0611888749770215</v>
      </c>
      <c r="S11" s="10">
        <v>1.0824061500468747</v>
      </c>
      <c r="T11" s="10">
        <v>1.1040476406093749</v>
      </c>
    </row>
    <row r="15" spans="1:20" x14ac:dyDescent="0.2">
      <c r="N15" s="11">
        <v>44166</v>
      </c>
    </row>
    <row r="16" spans="1:20" ht="13.5" x14ac:dyDescent="0.3">
      <c r="B16" t="s">
        <v>31</v>
      </c>
      <c r="N16" s="29">
        <v>1.6949152542372836E-2</v>
      </c>
      <c r="O16" s="17">
        <v>9.8252646141938002E-3</v>
      </c>
      <c r="P16" s="17">
        <v>3.7938524011807656E-3</v>
      </c>
      <c r="Q16" s="17">
        <v>5.1289409836666033E-3</v>
      </c>
      <c r="R16" s="17">
        <v>8.5049899184493228E-3</v>
      </c>
      <c r="S16" s="17">
        <v>1.1396303374195879E-2</v>
      </c>
      <c r="T16" s="17">
        <v>6.830847002371368E-3</v>
      </c>
    </row>
    <row r="17" spans="2:20" x14ac:dyDescent="0.2">
      <c r="B17" t="s">
        <v>32</v>
      </c>
    </row>
    <row r="18" spans="2:20" x14ac:dyDescent="0.2">
      <c r="B18" t="s">
        <v>33</v>
      </c>
    </row>
    <row r="21" spans="2:20" ht="13.5" thickBot="1" x14ac:dyDescent="0.25">
      <c r="B21" s="21" t="s">
        <v>34</v>
      </c>
    </row>
    <row r="22" spans="2:20" ht="12" thickTop="1" x14ac:dyDescent="0.2"/>
    <row r="23" spans="2:20" ht="13.5" x14ac:dyDescent="0.3">
      <c r="B23" t="s">
        <v>35</v>
      </c>
      <c r="C23" t="s">
        <v>36</v>
      </c>
      <c r="P23" s="6">
        <v>1674716.7608554547</v>
      </c>
      <c r="Q23" s="6">
        <v>1907689.1382513468</v>
      </c>
      <c r="R23" s="6">
        <v>2233372.9065560694</v>
      </c>
      <c r="S23" s="6">
        <v>1984157.196564635</v>
      </c>
      <c r="T23" s="6">
        <v>1949984.0005568764</v>
      </c>
    </row>
    <row r="24" spans="2:20" ht="13.5" x14ac:dyDescent="0.3">
      <c r="B24" t="s">
        <v>37</v>
      </c>
      <c r="C24" s="38">
        <v>0.5</v>
      </c>
    </row>
    <row r="25" spans="2:20" ht="13.5" x14ac:dyDescent="0.3">
      <c r="B25" t="s">
        <v>38</v>
      </c>
      <c r="P25" s="37">
        <f>P23*$C$24</f>
        <v>837358.38042772736</v>
      </c>
      <c r="Q25" s="37">
        <f t="shared" ref="Q25:T25" si="0">Q23*$C$24</f>
        <v>953844.56912567338</v>
      </c>
      <c r="R25" s="37">
        <f t="shared" si="0"/>
        <v>1116686.4532780347</v>
      </c>
      <c r="S25" s="37">
        <f t="shared" si="0"/>
        <v>992078.59828231751</v>
      </c>
      <c r="T25" s="37">
        <f t="shared" si="0"/>
        <v>974992.00027843821</v>
      </c>
    </row>
    <row r="26" spans="2:20" ht="13.5" x14ac:dyDescent="0.3">
      <c r="B26" t="s">
        <v>39</v>
      </c>
      <c r="P26" s="37">
        <f>AVERAGE($P$25:$T$25)</f>
        <v>974992.00027843821</v>
      </c>
      <c r="Q26" s="37">
        <f t="shared" ref="Q26:T26" si="1">AVERAGE($P$25:$T$25)</f>
        <v>974992.00027843821</v>
      </c>
      <c r="R26" s="37">
        <f t="shared" si="1"/>
        <v>974992.00027843821</v>
      </c>
      <c r="S26" s="37">
        <f t="shared" si="1"/>
        <v>974992.00027843821</v>
      </c>
      <c r="T26" s="37">
        <f t="shared" si="1"/>
        <v>974992.00027843821</v>
      </c>
    </row>
    <row r="27" spans="2:20" ht="13.5" x14ac:dyDescent="0.3">
      <c r="B27" t="s">
        <v>40</v>
      </c>
      <c r="C27" t="s">
        <v>41</v>
      </c>
      <c r="P27" s="37">
        <f>P26*$O$10</f>
        <v>994485.86602525169</v>
      </c>
      <c r="Q27" s="37">
        <f t="shared" ref="Q27:T27" si="2">Q26*$O$10</f>
        <v>994485.86602525169</v>
      </c>
      <c r="R27" s="37">
        <f t="shared" si="2"/>
        <v>994485.86602525169</v>
      </c>
      <c r="S27" s="37">
        <f t="shared" si="2"/>
        <v>994485.86602525169</v>
      </c>
      <c r="T27" s="37">
        <f t="shared" si="2"/>
        <v>994485.86602525169</v>
      </c>
    </row>
    <row r="29" spans="2:20" ht="13.5" x14ac:dyDescent="0.3">
      <c r="B29" t="s">
        <v>48</v>
      </c>
      <c r="P29" s="6">
        <v>241779.80732476831</v>
      </c>
      <c r="Q29" s="6">
        <v>243314.10944038635</v>
      </c>
      <c r="R29" s="6">
        <v>238109.21132849617</v>
      </c>
      <c r="S29" s="6">
        <v>232650.81777900708</v>
      </c>
      <c r="T29" s="6">
        <v>226680.93917367968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90"/>
  <sheetViews>
    <sheetView tabSelected="1" topLeftCell="A31" zoomScale="130" zoomScaleNormal="130" workbookViewId="0">
      <selection activeCell="F54" sqref="F54"/>
    </sheetView>
  </sheetViews>
  <sheetFormatPr defaultRowHeight="11.25" x14ac:dyDescent="0.2"/>
  <cols>
    <col min="2" max="2" width="38.1640625" customWidth="1"/>
    <col min="3" max="3" width="13.5" bestFit="1" customWidth="1"/>
    <col min="4" max="4" width="14.1640625" bestFit="1" customWidth="1"/>
    <col min="5" max="5" width="13.83203125" bestFit="1" customWidth="1"/>
    <col min="6" max="11" width="11.5" bestFit="1" customWidth="1"/>
  </cols>
  <sheetData>
    <row r="1" spans="1:11" ht="24" x14ac:dyDescent="0.35">
      <c r="A1" s="25" t="s">
        <v>0</v>
      </c>
    </row>
    <row r="2" spans="1:11" ht="24" x14ac:dyDescent="0.35">
      <c r="A2" s="25" t="s">
        <v>1</v>
      </c>
    </row>
    <row r="3" spans="1:11" ht="13.5" thickBot="1" x14ac:dyDescent="0.25">
      <c r="A3" s="21" t="s">
        <v>2</v>
      </c>
      <c r="B3" s="21" t="str">
        <f ca="1">RIGHT(CELL("filename",A1),LEN(CELL("filename",A1))-FIND("]",CELL("filename",A1)))</f>
        <v>Calculation</v>
      </c>
      <c r="C3" s="21" t="s">
        <v>42</v>
      </c>
      <c r="D3" s="21" t="s">
        <v>4</v>
      </c>
      <c r="E3" s="21" t="s">
        <v>43</v>
      </c>
      <c r="F3" s="21" t="s">
        <v>23</v>
      </c>
      <c r="G3" s="21" t="s">
        <v>24</v>
      </c>
      <c r="H3" s="21" t="s">
        <v>25</v>
      </c>
      <c r="I3" s="21" t="s">
        <v>26</v>
      </c>
      <c r="J3" s="21" t="s">
        <v>27</v>
      </c>
      <c r="K3" s="21" t="s">
        <v>28</v>
      </c>
    </row>
    <row r="4" spans="1:11" ht="12" thickTop="1" x14ac:dyDescent="0.2"/>
    <row r="5" spans="1:11" ht="19.5" thickBot="1" x14ac:dyDescent="0.3">
      <c r="B5" s="22" t="s">
        <v>44</v>
      </c>
      <c r="C5" s="22"/>
      <c r="D5" s="22"/>
      <c r="E5" s="22"/>
      <c r="F5" s="22"/>
      <c r="G5" s="22"/>
      <c r="H5" s="22"/>
      <c r="I5" s="22"/>
      <c r="J5" s="22"/>
      <c r="K5" s="22"/>
    </row>
    <row r="6" spans="1:11" ht="14.25" thickTop="1" thickBot="1" x14ac:dyDescent="0.25">
      <c r="B6" s="21" t="s">
        <v>45</v>
      </c>
      <c r="C6" s="21"/>
      <c r="D6" s="21"/>
      <c r="E6" s="21"/>
      <c r="F6" s="21"/>
      <c r="G6" s="21"/>
      <c r="H6" s="21"/>
      <c r="I6" s="21"/>
      <c r="J6" s="21"/>
      <c r="K6" s="21"/>
    </row>
    <row r="7" spans="1:11" ht="15" thickTop="1" thickBot="1" x14ac:dyDescent="0.35">
      <c r="B7" s="8" t="s">
        <v>46</v>
      </c>
      <c r="C7" s="1" t="s">
        <v>11</v>
      </c>
      <c r="D7" s="15">
        <f>'Historic Data'!C18</f>
        <v>17963454.514030199</v>
      </c>
    </row>
    <row r="9" spans="1:11" ht="13.5" thickBot="1" x14ac:dyDescent="0.25">
      <c r="B9" s="21" t="s">
        <v>47</v>
      </c>
      <c r="C9" s="21"/>
      <c r="D9" s="21"/>
      <c r="E9" s="21"/>
      <c r="F9" s="21"/>
      <c r="G9" s="21"/>
      <c r="H9" s="21"/>
      <c r="I9" s="21"/>
      <c r="J9" s="21"/>
      <c r="K9" s="21"/>
    </row>
    <row r="10" spans="1:11" ht="13.5" x14ac:dyDescent="0.3">
      <c r="B10" s="8" t="s">
        <v>48</v>
      </c>
      <c r="C10" s="1" t="s">
        <v>11</v>
      </c>
      <c r="D10" s="15">
        <f>'Historic Data'!C17</f>
        <v>256561.29349019512</v>
      </c>
    </row>
    <row r="11" spans="1:11" ht="13.5" x14ac:dyDescent="0.3">
      <c r="B11" s="8" t="s">
        <v>49</v>
      </c>
      <c r="C11" s="1" t="s">
        <v>11</v>
      </c>
      <c r="D11" s="15">
        <f>'Historic Data'!C16</f>
        <v>370046.04</v>
      </c>
    </row>
    <row r="12" spans="1:11" ht="13.5" x14ac:dyDescent="0.3">
      <c r="B12" s="8" t="s">
        <v>50</v>
      </c>
      <c r="C12" s="1" t="s">
        <v>11</v>
      </c>
      <c r="D12" s="23">
        <f>D7-D10-D11</f>
        <v>17336847.180540007</v>
      </c>
    </row>
    <row r="14" spans="1:11" ht="13.5" thickBot="1" x14ac:dyDescent="0.25">
      <c r="B14" s="21" t="s">
        <v>51</v>
      </c>
      <c r="C14" s="21"/>
      <c r="D14" s="21"/>
      <c r="E14" s="21"/>
      <c r="F14" s="21"/>
      <c r="G14" s="21"/>
      <c r="H14" s="21"/>
      <c r="I14" s="21"/>
      <c r="J14" s="21"/>
      <c r="K14" s="21"/>
    </row>
    <row r="15" spans="1:11" ht="14.25" thickTop="1" thickBot="1" x14ac:dyDescent="0.3">
      <c r="B15" s="8" t="s">
        <v>52</v>
      </c>
      <c r="C15" s="8"/>
    </row>
    <row r="16" spans="1:11" ht="13.5" x14ac:dyDescent="0.3">
      <c r="B16" s="3" t="str">
        <f>'Historic Data'!B6</f>
        <v>Labour</v>
      </c>
      <c r="C16" s="1" t="s">
        <v>11</v>
      </c>
      <c r="D16" s="15" cm="1">
        <f t="array" ref="D16">INDEX('Historic Data'!$C$26:$C$40,MATCH($B16,'Historic Data'!$B$26:$B$35,0),0)</f>
        <v>8506557</v>
      </c>
    </row>
    <row r="17" spans="2:4" ht="13.5" x14ac:dyDescent="0.3">
      <c r="B17" s="3" t="str">
        <f>'Historic Data'!B27</f>
        <v>Contractors</v>
      </c>
      <c r="C17" s="1" t="s">
        <v>11</v>
      </c>
      <c r="D17" s="15" cm="1">
        <f t="array" ref="D17">INDEX('Historic Data'!$C$26:$C$40,MATCH($B17,'Historic Data'!$B$26:$B$35,0),0)</f>
        <v>1654972</v>
      </c>
    </row>
    <row r="18" spans="2:4" ht="13.5" x14ac:dyDescent="0.3">
      <c r="B18" s="3" t="str">
        <f>'Historic Data'!B14</f>
        <v>Corporate Labour</v>
      </c>
      <c r="C18" s="1" t="s">
        <v>11</v>
      </c>
      <c r="D18" s="15" cm="1">
        <f t="array" ref="D18">INDEX('Historic Data'!$C$26:$C$40,MATCH($B18,'Historic Data'!$B$26:$B$35,0),0)</f>
        <v>990063.4273006093</v>
      </c>
    </row>
    <row r="19" spans="2:4" ht="13.5" x14ac:dyDescent="0.3">
      <c r="B19" s="27" t="s">
        <v>53</v>
      </c>
      <c r="C19" s="1" t="s">
        <v>11</v>
      </c>
      <c r="D19" s="5">
        <f>SUM(D16:D18)</f>
        <v>11151592.42730061</v>
      </c>
    </row>
    <row r="20" spans="2:4" x14ac:dyDescent="0.2">
      <c r="B20" t="s">
        <v>54</v>
      </c>
    </row>
    <row r="21" spans="2:4" ht="13.5" x14ac:dyDescent="0.3">
      <c r="B21" s="3" t="str">
        <f>'Historic Data'!B28</f>
        <v>Materials</v>
      </c>
      <c r="C21" s="1" t="s">
        <v>11</v>
      </c>
      <c r="D21" s="15" cm="1">
        <f t="array" ref="D21">INDEX('Historic Data'!$C$26:$C$40,MATCH($B21,'Historic Data'!$B$26:$B$35,0),0)</f>
        <v>322775</v>
      </c>
    </row>
    <row r="22" spans="2:4" ht="13.5" x14ac:dyDescent="0.3">
      <c r="B22" s="3" t="str">
        <f>'Historic Data'!B29</f>
        <v>Services</v>
      </c>
      <c r="C22" s="1" t="s">
        <v>11</v>
      </c>
      <c r="D22" s="15" cm="1">
        <f t="array" ref="D22">INDEX('Historic Data'!$C$26:$C$40,MATCH($B22,'Historic Data'!$B$26:$B$35,0),0)</f>
        <v>2284508</v>
      </c>
    </row>
    <row r="23" spans="2:4" ht="13.5" x14ac:dyDescent="0.3">
      <c r="B23" s="3" t="str">
        <f>'Historic Data'!B32</f>
        <v>Communications</v>
      </c>
      <c r="C23" s="1" t="s">
        <v>11</v>
      </c>
      <c r="D23" s="15" cm="1">
        <f t="array" ref="D23">INDEX('Historic Data'!$C$26:$C$40,MATCH($B23,'Historic Data'!$B$26:$B$35,0),0)</f>
        <v>262699</v>
      </c>
    </row>
    <row r="24" spans="2:4" ht="13.5" x14ac:dyDescent="0.3">
      <c r="B24" s="3" t="str">
        <f>'Historic Data'!B33</f>
        <v>Other</v>
      </c>
      <c r="C24" s="1" t="s">
        <v>11</v>
      </c>
      <c r="D24" s="15" cm="1">
        <f t="array" ref="D24">INDEX('Historic Data'!$C$26:$C$40,MATCH($B24,'Historic Data'!$B$26:$B$35,0),0)</f>
        <v>132600</v>
      </c>
    </row>
    <row r="25" spans="2:4" ht="13.5" x14ac:dyDescent="0.3">
      <c r="B25" s="3" t="str">
        <f>'Historic Data'!B35</f>
        <v>Corporate Non Labour</v>
      </c>
      <c r="C25" s="1" t="s">
        <v>11</v>
      </c>
      <c r="D25" s="15" cm="1">
        <f t="array" ref="D25">INDEX('Historic Data'!$C$26:$C$40,MATCH($B25,'Historic Data'!$B$26:$B$35,0),0)</f>
        <v>2269484.7532393974</v>
      </c>
    </row>
    <row r="26" spans="2:4" ht="13.5" x14ac:dyDescent="0.3">
      <c r="B26" s="27" t="s">
        <v>55</v>
      </c>
      <c r="C26" s="1" t="s">
        <v>11</v>
      </c>
      <c r="D26" s="5">
        <f>SUM(D21:D25)</f>
        <v>5272066.753239397</v>
      </c>
    </row>
    <row r="27" spans="2:4" ht="13.5" thickBot="1" x14ac:dyDescent="0.25">
      <c r="B27" s="21" t="s">
        <v>56</v>
      </c>
    </row>
    <row r="28" spans="2:4" ht="14.25" thickTop="1" x14ac:dyDescent="0.3">
      <c r="B28" s="3" t="str">
        <f>'Historic Data'!B30</f>
        <v>Insurance</v>
      </c>
      <c r="C28" s="1" t="s">
        <v>11</v>
      </c>
      <c r="D28" s="15" cm="1">
        <f t="array" ref="D28">INDEX('Historic Data'!$C$26:$C$40,MATCH($B28,'Historic Data'!$B$26:$B$35,0),0)</f>
        <v>336325</v>
      </c>
    </row>
    <row r="29" spans="2:4" ht="13.5" x14ac:dyDescent="0.3">
      <c r="B29" s="3" t="str">
        <f>'Historic Data'!B31</f>
        <v>Licences</v>
      </c>
      <c r="C29" s="1" t="s">
        <v>11</v>
      </c>
      <c r="D29" s="15" cm="1">
        <f t="array" ref="D29">INDEX('Historic Data'!$C$26:$C$40,MATCH($B29,'Historic Data'!$B$26:$B$35,0),0)</f>
        <v>576863</v>
      </c>
    </row>
    <row r="30" spans="2:4" ht="13.5" x14ac:dyDescent="0.3">
      <c r="B30" s="27" t="s">
        <v>57</v>
      </c>
      <c r="C30" s="1" t="s">
        <v>11</v>
      </c>
      <c r="D30" s="5">
        <f>SUM(D28:D29)</f>
        <v>913188</v>
      </c>
    </row>
    <row r="32" spans="2:4" ht="13.5" x14ac:dyDescent="0.3">
      <c r="B32" s="27" t="s">
        <v>6</v>
      </c>
      <c r="C32" s="1" t="str">
        <f>C30</f>
        <v>Nominal</v>
      </c>
      <c r="D32" s="5">
        <f>D19+D26+D30</f>
        <v>17336847.180540007</v>
      </c>
    </row>
    <row r="34" spans="2:11" ht="13.5" thickBot="1" x14ac:dyDescent="0.25">
      <c r="B34" s="21" t="s">
        <v>58</v>
      </c>
      <c r="C34" s="21"/>
      <c r="D34" s="21"/>
      <c r="E34" s="21"/>
      <c r="F34" s="21"/>
      <c r="G34" s="21"/>
      <c r="H34" s="21"/>
      <c r="I34" s="21"/>
      <c r="J34" s="21"/>
      <c r="K34" s="21"/>
    </row>
    <row r="35" spans="2:11" ht="15" thickTop="1" thickBot="1" x14ac:dyDescent="0.35">
      <c r="B35" s="8" t="str">
        <f>B19</f>
        <v>Labour Costs</v>
      </c>
      <c r="C35" s="1" t="s">
        <v>11</v>
      </c>
      <c r="D35" s="15">
        <f>D19</f>
        <v>11151592.42730061</v>
      </c>
    </row>
    <row r="36" spans="2:11" ht="14.25" thickBot="1" x14ac:dyDescent="0.35">
      <c r="B36" s="8" t="str">
        <f>B26</f>
        <v>Controllable Costs</v>
      </c>
      <c r="C36" s="1" t="s">
        <v>11</v>
      </c>
      <c r="D36" s="15">
        <f>D26</f>
        <v>5272066.753239397</v>
      </c>
    </row>
    <row r="37" spans="2:11" ht="14.25" thickBot="1" x14ac:dyDescent="0.35">
      <c r="B37" s="8" t="str">
        <f>B30</f>
        <v>Uncontrollable Costs</v>
      </c>
      <c r="C37" s="1" t="s">
        <v>11</v>
      </c>
      <c r="D37" s="15">
        <f>D30</f>
        <v>913188</v>
      </c>
    </row>
    <row r="39" spans="2:11" ht="13.5" thickBot="1" x14ac:dyDescent="0.25">
      <c r="B39" s="21" t="s">
        <v>59</v>
      </c>
      <c r="C39" s="2"/>
      <c r="D39" s="21"/>
      <c r="E39" s="21"/>
      <c r="F39" s="21"/>
      <c r="G39" s="21"/>
      <c r="H39" s="21"/>
      <c r="I39" s="21"/>
      <c r="J39" s="21"/>
      <c r="K39" s="21"/>
    </row>
    <row r="40" spans="2:11" ht="14.25" thickTop="1" thickBot="1" x14ac:dyDescent="0.3">
      <c r="B40" s="8" t="s">
        <v>43</v>
      </c>
      <c r="C40" s="14"/>
      <c r="D40" s="8"/>
      <c r="E40" s="8"/>
      <c r="F40" s="8"/>
      <c r="G40" s="8"/>
      <c r="H40" s="8"/>
      <c r="I40" s="8"/>
      <c r="J40" s="8"/>
      <c r="K40" s="8"/>
    </row>
    <row r="41" spans="2:11" ht="14.25" thickBot="1" x14ac:dyDescent="0.35">
      <c r="B41" s="8" t="str">
        <f>B35</f>
        <v>Labour Costs</v>
      </c>
      <c r="C41" s="1" t="s">
        <v>60</v>
      </c>
      <c r="E41" s="17">
        <f>Inputs!N16</f>
        <v>1.6949152542372836E-2</v>
      </c>
    </row>
    <row r="42" spans="2:11" ht="14.25" thickBot="1" x14ac:dyDescent="0.35">
      <c r="B42" s="8" t="str">
        <f>B36</f>
        <v>Controllable Costs</v>
      </c>
      <c r="C42" s="1" t="s">
        <v>61</v>
      </c>
      <c r="E42" s="17">
        <f>Inputs!N8</f>
        <v>1.1149228130360234E-2</v>
      </c>
    </row>
    <row r="43" spans="2:11" ht="14.25" thickBot="1" x14ac:dyDescent="0.35">
      <c r="B43" s="8" t="str">
        <f>B37</f>
        <v>Uncontrollable Costs</v>
      </c>
      <c r="C43" s="1" t="s">
        <v>61</v>
      </c>
      <c r="E43" s="17">
        <f>E42</f>
        <v>1.1149228130360234E-2</v>
      </c>
    </row>
    <row r="45" spans="2:11" ht="14.25" thickBot="1" x14ac:dyDescent="0.35">
      <c r="B45" s="8" t="str">
        <f>B35</f>
        <v>Labour Costs</v>
      </c>
      <c r="C45" s="28" t="s">
        <v>62</v>
      </c>
      <c r="E45" s="5">
        <f>D35*(1+E41)</f>
        <v>11340602.468441298</v>
      </c>
    </row>
    <row r="46" spans="2:11" ht="14.25" thickBot="1" x14ac:dyDescent="0.35">
      <c r="B46" s="8" t="str">
        <f>B36</f>
        <v>Controllable Costs</v>
      </c>
      <c r="C46" s="28" t="s">
        <v>62</v>
      </c>
      <c r="E46" s="5">
        <f>D36*(1+E42)</f>
        <v>5330846.2281897506</v>
      </c>
    </row>
    <row r="47" spans="2:11" ht="14.25" thickBot="1" x14ac:dyDescent="0.35">
      <c r="B47" s="8" t="str">
        <f>B37</f>
        <v>Uncontrollable Costs</v>
      </c>
      <c r="C47" s="28" t="s">
        <v>62</v>
      </c>
      <c r="E47" s="5">
        <f>D37*(1+E43)</f>
        <v>923369.34133790736</v>
      </c>
    </row>
    <row r="49" spans="2:11" ht="13.5" thickBot="1" x14ac:dyDescent="0.3">
      <c r="B49" s="8" t="s">
        <v>23</v>
      </c>
    </row>
    <row r="50" spans="2:11" ht="14.25" thickBot="1" x14ac:dyDescent="0.35">
      <c r="B50" s="8" t="str">
        <f>B41</f>
        <v>Labour Costs</v>
      </c>
      <c r="C50" s="28" t="s">
        <v>63</v>
      </c>
      <c r="F50" s="31">
        <f>Inputs!O16</f>
        <v>9.8252646141938002E-3</v>
      </c>
    </row>
    <row r="51" spans="2:11" ht="14.25" thickBot="1" x14ac:dyDescent="0.35">
      <c r="B51" s="8" t="str">
        <f t="shared" ref="B51:B56" si="0">B42</f>
        <v>Controllable Costs</v>
      </c>
      <c r="C51" s="28" t="s">
        <v>64</v>
      </c>
      <c r="F51" s="31">
        <f>Inputs!O8</f>
        <v>1.9993872504847632E-2</v>
      </c>
    </row>
    <row r="52" spans="2:11" ht="14.25" thickBot="1" x14ac:dyDescent="0.35">
      <c r="B52" s="8" t="str">
        <f t="shared" si="0"/>
        <v>Uncontrollable Costs</v>
      </c>
      <c r="C52" s="28" t="s">
        <v>64</v>
      </c>
      <c r="F52" s="31">
        <f>F51</f>
        <v>1.9993872504847632E-2</v>
      </c>
    </row>
    <row r="54" spans="2:11" ht="14.25" thickBot="1" x14ac:dyDescent="0.35">
      <c r="B54" s="8" t="str">
        <f t="shared" si="0"/>
        <v>Labour Costs</v>
      </c>
      <c r="C54" s="30" t="s">
        <v>65</v>
      </c>
      <c r="E54" s="5">
        <f>E45*(1+E50)*(1+Inputs!N8)</f>
        <v>11467041.432497676</v>
      </c>
      <c r="F54" s="5">
        <f>E45*(1+F50)*(1+Inputs!O8)</f>
        <v>11680997.254110431</v>
      </c>
    </row>
    <row r="55" spans="2:11" ht="14.25" thickBot="1" x14ac:dyDescent="0.35">
      <c r="B55" s="8" t="str">
        <f t="shared" si="0"/>
        <v>Controllable Costs</v>
      </c>
      <c r="C55" s="30" t="s">
        <v>65</v>
      </c>
      <c r="E55" s="5">
        <f>E46*(1+F51)</f>
        <v>5437430.4880191246</v>
      </c>
      <c r="F55" s="5">
        <f>E46*(1+F51)</f>
        <v>5437430.4880191246</v>
      </c>
    </row>
    <row r="56" spans="2:11" ht="14.25" thickBot="1" x14ac:dyDescent="0.35">
      <c r="B56" s="8" t="str">
        <f t="shared" si="0"/>
        <v>Uncontrollable Costs</v>
      </c>
      <c r="C56" s="30" t="s">
        <v>65</v>
      </c>
      <c r="E56" s="5">
        <f>E47*(1+F52)</f>
        <v>941831.07022350258</v>
      </c>
      <c r="F56" s="5">
        <f>E47*(1+F52)</f>
        <v>941831.07022350258</v>
      </c>
    </row>
    <row r="59" spans="2:11" ht="13.5" thickBot="1" x14ac:dyDescent="0.25">
      <c r="B59" s="21" t="s">
        <v>66</v>
      </c>
      <c r="C59" s="2"/>
      <c r="D59" s="21"/>
      <c r="E59" s="21"/>
      <c r="F59" s="21"/>
      <c r="G59" s="21"/>
      <c r="H59" s="21"/>
      <c r="I59" s="21"/>
      <c r="J59" s="21"/>
      <c r="K59" s="21"/>
    </row>
    <row r="60" spans="2:11" ht="15" thickTop="1" thickBot="1" x14ac:dyDescent="0.35">
      <c r="B60" s="8" t="s">
        <v>67</v>
      </c>
      <c r="G60" s="17">
        <f>Inputs!P16</f>
        <v>3.7938524011807656E-3</v>
      </c>
      <c r="H60" s="17">
        <f>Inputs!Q16</f>
        <v>5.1289409836666033E-3</v>
      </c>
      <c r="I60" s="17">
        <f>Inputs!R16</f>
        <v>8.5049899184493228E-3</v>
      </c>
      <c r="J60" s="17">
        <f>Inputs!S16</f>
        <v>1.1396303374195879E-2</v>
      </c>
      <c r="K60" s="17">
        <f>Inputs!T16</f>
        <v>6.830847002371368E-3</v>
      </c>
    </row>
    <row r="62" spans="2:11" ht="14.25" thickBot="1" x14ac:dyDescent="0.35">
      <c r="B62" s="8" t="str">
        <f>B45</f>
        <v>Labour Costs</v>
      </c>
      <c r="C62" s="30" t="s">
        <v>65</v>
      </c>
      <c r="F62" s="5">
        <f>F54</f>
        <v>11680997.254110431</v>
      </c>
      <c r="G62" s="5">
        <f t="shared" ref="G62:K62" si="1">F62*(1+G60)</f>
        <v>11725313.233591123</v>
      </c>
      <c r="H62" s="5">
        <f t="shared" si="1"/>
        <v>11785451.673181215</v>
      </c>
      <c r="I62" s="5">
        <f t="shared" si="1"/>
        <v>11885686.820845993</v>
      </c>
      <c r="J62" s="5">
        <f t="shared" si="1"/>
        <v>12021139.713667037</v>
      </c>
      <c r="K62" s="5">
        <f t="shared" si="1"/>
        <v>12103254.279845228</v>
      </c>
    </row>
    <row r="63" spans="2:11" ht="14.25" thickBot="1" x14ac:dyDescent="0.35">
      <c r="B63" s="8" t="str">
        <f>B46</f>
        <v>Controllable Costs</v>
      </c>
      <c r="C63" s="30" t="s">
        <v>65</v>
      </c>
      <c r="F63" s="5">
        <f t="shared" ref="F63:F64" si="2">F55</f>
        <v>5437430.4880191246</v>
      </c>
      <c r="G63" s="12">
        <f t="shared" ref="G63:K63" si="3">F63</f>
        <v>5437430.4880191246</v>
      </c>
      <c r="H63" s="12">
        <f t="shared" si="3"/>
        <v>5437430.4880191246</v>
      </c>
      <c r="I63" s="12">
        <f t="shared" si="3"/>
        <v>5437430.4880191246</v>
      </c>
      <c r="J63" s="12">
        <f t="shared" si="3"/>
        <v>5437430.4880191246</v>
      </c>
      <c r="K63" s="12">
        <f t="shared" si="3"/>
        <v>5437430.4880191246</v>
      </c>
    </row>
    <row r="64" spans="2:11" ht="14.25" thickBot="1" x14ac:dyDescent="0.35">
      <c r="B64" s="8" t="str">
        <f>B47</f>
        <v>Uncontrollable Costs</v>
      </c>
      <c r="C64" s="30" t="s">
        <v>65</v>
      </c>
      <c r="F64" s="5">
        <f t="shared" si="2"/>
        <v>941831.07022350258</v>
      </c>
      <c r="G64" s="12">
        <f t="shared" ref="G64:K64" si="4">F64</f>
        <v>941831.07022350258</v>
      </c>
      <c r="H64" s="12">
        <f t="shared" si="4"/>
        <v>941831.07022350258</v>
      </c>
      <c r="I64" s="12">
        <f t="shared" si="4"/>
        <v>941831.07022350258</v>
      </c>
      <c r="J64" s="12">
        <f t="shared" si="4"/>
        <v>941831.07022350258</v>
      </c>
      <c r="K64" s="12">
        <f t="shared" si="4"/>
        <v>941831.07022350258</v>
      </c>
    </row>
    <row r="66" spans="2:13" ht="14.25" thickBot="1" x14ac:dyDescent="0.35">
      <c r="B66" s="8" t="s">
        <v>6</v>
      </c>
      <c r="C66" s="30" t="s">
        <v>65</v>
      </c>
      <c r="F66" s="5">
        <f t="shared" ref="F66:K66" si="5">SUM(F62:F65)</f>
        <v>18060258.81235306</v>
      </c>
      <c r="G66" s="5">
        <f t="shared" si="5"/>
        <v>18104574.791833751</v>
      </c>
      <c r="H66" s="5">
        <f t="shared" si="5"/>
        <v>18164713.231423844</v>
      </c>
      <c r="I66" s="5">
        <f t="shared" si="5"/>
        <v>18264948.379088622</v>
      </c>
      <c r="J66" s="5">
        <f t="shared" si="5"/>
        <v>18400401.271909665</v>
      </c>
      <c r="K66" s="5">
        <f t="shared" si="5"/>
        <v>18482515.838087857</v>
      </c>
      <c r="M66" s="16"/>
    </row>
    <row r="69" spans="2:13" ht="13.5" thickBot="1" x14ac:dyDescent="0.25">
      <c r="B69" s="21" t="s">
        <v>68</v>
      </c>
      <c r="C69" s="2"/>
      <c r="D69" s="21"/>
      <c r="E69" s="21"/>
      <c r="F69" s="21"/>
      <c r="G69" s="21"/>
      <c r="H69" s="21"/>
      <c r="I69" s="21"/>
      <c r="J69" s="21"/>
      <c r="K69" s="21"/>
    </row>
    <row r="70" spans="2:13" ht="15" thickTop="1" thickBot="1" x14ac:dyDescent="0.35">
      <c r="B70" s="8" t="str">
        <f>Inputs!B27</f>
        <v>Forecast RBP Group IT operating expenditure</v>
      </c>
      <c r="C70" s="30" t="s">
        <v>65</v>
      </c>
      <c r="F70" s="23">
        <f>AVERAGE(G70:K70)</f>
        <v>994485.86602525169</v>
      </c>
      <c r="G70" s="12">
        <f>Inputs!P27</f>
        <v>994485.86602525169</v>
      </c>
      <c r="H70" s="12">
        <f>Inputs!Q27</f>
        <v>994485.86602525169</v>
      </c>
      <c r="I70" s="12">
        <f>Inputs!R27</f>
        <v>994485.86602525169</v>
      </c>
      <c r="J70" s="12">
        <f>Inputs!S27</f>
        <v>994485.86602525169</v>
      </c>
      <c r="K70" s="12">
        <f>Inputs!T27</f>
        <v>994485.86602525169</v>
      </c>
    </row>
    <row r="72" spans="2:13" ht="14.25" thickBot="1" x14ac:dyDescent="0.35">
      <c r="B72" s="8" t="str">
        <f>B63</f>
        <v>Controllable Costs</v>
      </c>
      <c r="C72" s="30" t="s">
        <v>65</v>
      </c>
      <c r="F72" s="5">
        <f t="shared" ref="F72:K72" si="6">F62+F63+F70</f>
        <v>18112913.608154807</v>
      </c>
      <c r="G72" s="5">
        <f t="shared" si="6"/>
        <v>18157229.587635498</v>
      </c>
      <c r="H72" s="5">
        <f t="shared" si="6"/>
        <v>18217368.027225591</v>
      </c>
      <c r="I72" s="5">
        <f t="shared" si="6"/>
        <v>18317603.174890369</v>
      </c>
      <c r="J72" s="5">
        <f t="shared" si="6"/>
        <v>18453056.067711413</v>
      </c>
      <c r="K72" s="5">
        <f t="shared" si="6"/>
        <v>18535170.633889604</v>
      </c>
    </row>
    <row r="73" spans="2:13" ht="14.25" thickBot="1" x14ac:dyDescent="0.35">
      <c r="B73" s="8" t="str">
        <f>B64</f>
        <v>Uncontrollable Costs</v>
      </c>
      <c r="C73" s="30" t="s">
        <v>65</v>
      </c>
      <c r="F73" s="5">
        <f>F64</f>
        <v>941831.07022350258</v>
      </c>
      <c r="G73" s="5">
        <f t="shared" ref="G73:K73" si="7">G64</f>
        <v>941831.07022350258</v>
      </c>
      <c r="H73" s="5">
        <f t="shared" si="7"/>
        <v>941831.07022350258</v>
      </c>
      <c r="I73" s="5">
        <f t="shared" si="7"/>
        <v>941831.07022350258</v>
      </c>
      <c r="J73" s="5">
        <f t="shared" si="7"/>
        <v>941831.07022350258</v>
      </c>
      <c r="K73" s="5">
        <f t="shared" si="7"/>
        <v>941831.07022350258</v>
      </c>
    </row>
    <row r="75" spans="2:13" ht="14.25" thickBot="1" x14ac:dyDescent="0.35">
      <c r="B75" s="8" t="s">
        <v>6</v>
      </c>
      <c r="C75" s="30" t="s">
        <v>65</v>
      </c>
      <c r="F75" s="5">
        <f t="shared" ref="F75:K75" si="8">SUM(F71:F74)</f>
        <v>19054744.67837831</v>
      </c>
      <c r="G75" s="5">
        <f t="shared" si="8"/>
        <v>19099060.657859001</v>
      </c>
      <c r="H75" s="5">
        <f t="shared" si="8"/>
        <v>19159199.097449094</v>
      </c>
      <c r="I75" s="5">
        <f t="shared" si="8"/>
        <v>19259434.245113872</v>
      </c>
      <c r="J75" s="5">
        <f t="shared" si="8"/>
        <v>19394887.137934916</v>
      </c>
      <c r="K75" s="5">
        <f t="shared" si="8"/>
        <v>19477001.704113107</v>
      </c>
    </row>
    <row r="77" spans="2:13" ht="13.5" thickBot="1" x14ac:dyDescent="0.25">
      <c r="B77" s="21" t="s">
        <v>69</v>
      </c>
      <c r="C77" s="21"/>
      <c r="D77" s="21"/>
      <c r="E77" s="21"/>
      <c r="F77" s="21"/>
      <c r="G77" s="21"/>
      <c r="H77" s="21"/>
      <c r="I77" s="21"/>
      <c r="J77" s="21"/>
      <c r="K77" s="21"/>
    </row>
    <row r="78" spans="2:13" ht="15" thickTop="1" thickBot="1" x14ac:dyDescent="0.35">
      <c r="B78" s="8" t="s">
        <v>70</v>
      </c>
      <c r="C78" s="30" t="s">
        <v>65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</row>
    <row r="80" spans="2:13" ht="14.25" thickBot="1" x14ac:dyDescent="0.35">
      <c r="B80" s="8" t="str">
        <f>B72</f>
        <v>Controllable Costs</v>
      </c>
      <c r="C80" s="30" t="s">
        <v>65</v>
      </c>
      <c r="F80" s="5">
        <f>F72+F78</f>
        <v>18112913.608154807</v>
      </c>
      <c r="G80" s="5">
        <f t="shared" ref="G80:K80" si="9">G72+G78</f>
        <v>18157229.587635498</v>
      </c>
      <c r="H80" s="5">
        <f t="shared" si="9"/>
        <v>18217368.027225591</v>
      </c>
      <c r="I80" s="5">
        <f t="shared" si="9"/>
        <v>18317603.174890369</v>
      </c>
      <c r="J80" s="5">
        <f t="shared" si="9"/>
        <v>18453056.067711413</v>
      </c>
      <c r="K80" s="5">
        <f t="shared" si="9"/>
        <v>18535170.633889604</v>
      </c>
    </row>
    <row r="81" spans="2:11" ht="14.25" thickBot="1" x14ac:dyDescent="0.35">
      <c r="B81" s="8" t="str">
        <f>B73</f>
        <v>Uncontrollable Costs</v>
      </c>
      <c r="C81" s="30" t="s">
        <v>65</v>
      </c>
      <c r="F81" s="5">
        <f>F73</f>
        <v>941831.07022350258</v>
      </c>
      <c r="G81" s="5">
        <f t="shared" ref="G81:K81" si="10">G73</f>
        <v>941831.07022350258</v>
      </c>
      <c r="H81" s="5">
        <f t="shared" si="10"/>
        <v>941831.07022350258</v>
      </c>
      <c r="I81" s="5">
        <f t="shared" si="10"/>
        <v>941831.07022350258</v>
      </c>
      <c r="J81" s="5">
        <f t="shared" si="10"/>
        <v>941831.07022350258</v>
      </c>
      <c r="K81" s="5">
        <f t="shared" si="10"/>
        <v>941831.07022350258</v>
      </c>
    </row>
    <row r="83" spans="2:11" ht="14.25" thickBot="1" x14ac:dyDescent="0.35">
      <c r="B83" s="8" t="s">
        <v>6</v>
      </c>
      <c r="C83" s="30" t="s">
        <v>65</v>
      </c>
      <c r="F83" s="5">
        <f t="shared" ref="F83:K83" si="11">SUM(F79:F82)</f>
        <v>19054744.67837831</v>
      </c>
      <c r="G83" s="5">
        <f t="shared" si="11"/>
        <v>19099060.657859001</v>
      </c>
      <c r="H83" s="5">
        <f t="shared" si="11"/>
        <v>19159199.097449094</v>
      </c>
      <c r="I83" s="5">
        <f t="shared" si="11"/>
        <v>19259434.245113872</v>
      </c>
      <c r="J83" s="5">
        <f t="shared" si="11"/>
        <v>19394887.137934916</v>
      </c>
      <c r="K83" s="5">
        <f t="shared" si="11"/>
        <v>19477001.704113107</v>
      </c>
    </row>
    <row r="85" spans="2:11" ht="13.5" thickBot="1" x14ac:dyDescent="0.25">
      <c r="B85" s="21" t="s">
        <v>6</v>
      </c>
      <c r="C85" s="21"/>
      <c r="D85" s="21"/>
      <c r="E85" s="21"/>
      <c r="F85" s="21"/>
      <c r="G85" s="21"/>
      <c r="H85" s="21"/>
      <c r="I85" s="21"/>
      <c r="J85" s="21"/>
      <c r="K85" s="21"/>
    </row>
    <row r="86" spans="2:11" ht="15" thickTop="1" thickBot="1" x14ac:dyDescent="0.35">
      <c r="B86" s="8" t="str">
        <f>B80</f>
        <v>Controllable Costs</v>
      </c>
      <c r="C86" s="30" t="s">
        <v>65</v>
      </c>
      <c r="F86" s="5">
        <f>F80</f>
        <v>18112913.608154807</v>
      </c>
      <c r="G86" s="5">
        <f t="shared" ref="G86:K86" si="12">G80</f>
        <v>18157229.587635498</v>
      </c>
      <c r="H86" s="5">
        <f t="shared" si="12"/>
        <v>18217368.027225591</v>
      </c>
      <c r="I86" s="5">
        <f t="shared" si="12"/>
        <v>18317603.174890369</v>
      </c>
      <c r="J86" s="5">
        <f t="shared" si="12"/>
        <v>18453056.067711413</v>
      </c>
      <c r="K86" s="5">
        <f t="shared" si="12"/>
        <v>18535170.633889604</v>
      </c>
    </row>
    <row r="87" spans="2:11" ht="14.25" thickBot="1" x14ac:dyDescent="0.35">
      <c r="B87" s="8" t="str">
        <f>B81</f>
        <v>Uncontrollable Costs</v>
      </c>
      <c r="C87" s="30" t="s">
        <v>65</v>
      </c>
      <c r="F87" s="5">
        <f>F81</f>
        <v>941831.07022350258</v>
      </c>
      <c r="G87" s="5">
        <f t="shared" ref="G87:K87" si="13">G81</f>
        <v>941831.07022350258</v>
      </c>
      <c r="H87" s="5">
        <f t="shared" si="13"/>
        <v>941831.07022350258</v>
      </c>
      <c r="I87" s="5">
        <f t="shared" si="13"/>
        <v>941831.07022350258</v>
      </c>
      <c r="J87" s="5">
        <f t="shared" si="13"/>
        <v>941831.07022350258</v>
      </c>
      <c r="K87" s="5">
        <f t="shared" si="13"/>
        <v>941831.07022350258</v>
      </c>
    </row>
    <row r="88" spans="2:11" ht="14.25" thickBot="1" x14ac:dyDescent="0.35">
      <c r="B88" s="8" t="s">
        <v>107</v>
      </c>
      <c r="C88" s="30" t="s">
        <v>65</v>
      </c>
      <c r="F88" s="5">
        <f>Inputs!O29</f>
        <v>0</v>
      </c>
      <c r="G88" s="5">
        <f>Inputs!P29</f>
        <v>241779.80732476831</v>
      </c>
      <c r="H88" s="5">
        <f>Inputs!Q29</f>
        <v>243314.10944038635</v>
      </c>
      <c r="I88" s="5">
        <f>Inputs!R29</f>
        <v>238109.21132849617</v>
      </c>
      <c r="J88" s="5">
        <f>Inputs!S29</f>
        <v>232650.81777900708</v>
      </c>
      <c r="K88" s="5">
        <f>Inputs!T29</f>
        <v>226680.93917367968</v>
      </c>
    </row>
    <row r="90" spans="2:11" ht="14.25" thickBot="1" x14ac:dyDescent="0.35">
      <c r="B90" s="8" t="s">
        <v>6</v>
      </c>
      <c r="C90" s="30" t="s">
        <v>65</v>
      </c>
      <c r="F90" s="5">
        <f t="shared" ref="F90:K90" si="14">SUM(F86:F89)</f>
        <v>19054744.67837831</v>
      </c>
      <c r="G90" s="5">
        <f t="shared" si="14"/>
        <v>19340840.465183768</v>
      </c>
      <c r="H90" s="5">
        <f t="shared" si="14"/>
        <v>19402513.20688948</v>
      </c>
      <c r="I90" s="5">
        <f t="shared" si="14"/>
        <v>19497543.456442367</v>
      </c>
      <c r="J90" s="5">
        <f t="shared" si="14"/>
        <v>19627537.955713924</v>
      </c>
      <c r="K90" s="5">
        <f t="shared" si="14"/>
        <v>19703682.643286787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60"/>
  <sheetViews>
    <sheetView topLeftCell="A19" workbookViewId="0">
      <selection activeCell="P25" sqref="P25"/>
    </sheetView>
  </sheetViews>
  <sheetFormatPr defaultRowHeight="11.25" x14ac:dyDescent="0.2"/>
  <cols>
    <col min="5" max="5" width="11.1640625" bestFit="1" customWidth="1"/>
    <col min="6" max="6" width="14.33203125" bestFit="1" customWidth="1"/>
    <col min="7" max="7" width="13.83203125" bestFit="1" customWidth="1"/>
    <col min="8" max="9" width="14.5" bestFit="1" customWidth="1"/>
    <col min="10" max="10" width="18.5" bestFit="1" customWidth="1"/>
    <col min="11" max="11" width="14.5" bestFit="1" customWidth="1"/>
    <col min="14" max="14" width="13.83203125" bestFit="1" customWidth="1"/>
    <col min="15" max="18" width="11.1640625" bestFit="1" customWidth="1"/>
    <col min="19" max="19" width="4.6640625" bestFit="1" customWidth="1"/>
  </cols>
  <sheetData>
    <row r="1" spans="1:11" ht="24" x14ac:dyDescent="0.35">
      <c r="A1" s="25" t="s">
        <v>0</v>
      </c>
    </row>
    <row r="2" spans="1:11" ht="24" x14ac:dyDescent="0.35">
      <c r="A2" s="25" t="s">
        <v>1</v>
      </c>
    </row>
    <row r="3" spans="1:11" ht="13.5" thickBot="1" x14ac:dyDescent="0.25">
      <c r="A3" s="21" t="s">
        <v>2</v>
      </c>
      <c r="B3" s="21" t="str">
        <f ca="1">RIGHT(CELL("filename",A1),LEN(CELL("filename",A1))-FIND("]",CELL("filename",A1)))</f>
        <v>Output</v>
      </c>
      <c r="C3" s="21" t="s">
        <v>42</v>
      </c>
      <c r="D3" s="21" t="s">
        <v>4</v>
      </c>
      <c r="E3" s="21" t="s">
        <v>43</v>
      </c>
      <c r="F3" s="21" t="s">
        <v>23</v>
      </c>
      <c r="G3" s="21" t="s">
        <v>24</v>
      </c>
      <c r="H3" s="21" t="s">
        <v>25</v>
      </c>
      <c r="I3" s="21" t="s">
        <v>26</v>
      </c>
      <c r="J3" s="21" t="s">
        <v>27</v>
      </c>
      <c r="K3" s="21" t="s">
        <v>28</v>
      </c>
    </row>
    <row r="4" spans="1:11" ht="12" thickTop="1" x14ac:dyDescent="0.2"/>
    <row r="5" spans="1:11" ht="19.5" thickBot="1" x14ac:dyDescent="0.3">
      <c r="A5" s="22" t="s">
        <v>72</v>
      </c>
      <c r="B5" s="22"/>
      <c r="C5" s="22"/>
      <c r="D5" s="22"/>
      <c r="E5" s="22"/>
      <c r="F5" s="22"/>
      <c r="G5" s="40"/>
      <c r="H5" s="40"/>
      <c r="I5" s="40"/>
      <c r="J5" s="40"/>
      <c r="K5" s="40"/>
    </row>
    <row r="6" spans="1:11" ht="12" thickTop="1" x14ac:dyDescent="0.2"/>
    <row r="7" spans="1:11" ht="12.75" x14ac:dyDescent="0.2">
      <c r="E7" s="32" t="s">
        <v>73</v>
      </c>
      <c r="F7" s="33"/>
      <c r="G7" t="str">
        <f>G3</f>
        <v>FY23</v>
      </c>
      <c r="H7" t="str">
        <f t="shared" ref="H7:K7" si="0">H3</f>
        <v>FY24</v>
      </c>
      <c r="I7" t="str">
        <f t="shared" si="0"/>
        <v>FY25</v>
      </c>
      <c r="J7" t="str">
        <f t="shared" si="0"/>
        <v>FY26</v>
      </c>
      <c r="K7" t="str">
        <f t="shared" si="0"/>
        <v>FY27</v>
      </c>
    </row>
    <row r="8" spans="1:11" x14ac:dyDescent="0.2">
      <c r="E8" s="44" t="str">
        <f>Calculation!B86</f>
        <v>Controllable Costs</v>
      </c>
      <c r="F8" s="44"/>
      <c r="G8" s="34">
        <f>Calculation!G86/1000000</f>
        <v>18.157229587635499</v>
      </c>
      <c r="H8" s="34">
        <f>Calculation!H86/1000000</f>
        <v>18.217368027225593</v>
      </c>
      <c r="I8" s="34">
        <f>Calculation!I86/1000000</f>
        <v>18.317603174890369</v>
      </c>
      <c r="J8" s="34">
        <f>Calculation!J86/1000000</f>
        <v>18.453056067711412</v>
      </c>
      <c r="K8" s="34">
        <f>Calculation!K86/1000000</f>
        <v>18.535170633889603</v>
      </c>
    </row>
    <row r="9" spans="1:11" x14ac:dyDescent="0.2">
      <c r="E9" s="44" t="str">
        <f>Calculation!B87</f>
        <v>Uncontrollable Costs</v>
      </c>
      <c r="F9" s="44"/>
      <c r="G9" s="34">
        <f>Calculation!G87/1000000</f>
        <v>0.94183107022350254</v>
      </c>
      <c r="H9" s="34">
        <f>Calculation!H87/1000000</f>
        <v>0.94183107022350254</v>
      </c>
      <c r="I9" s="34">
        <f>Calculation!I87/1000000</f>
        <v>0.94183107022350254</v>
      </c>
      <c r="J9" s="34">
        <f>Calculation!J87/1000000</f>
        <v>0.94183107022350254</v>
      </c>
      <c r="K9" s="34">
        <f>Calculation!K87/1000000</f>
        <v>0.94183107022350254</v>
      </c>
    </row>
    <row r="11" spans="1:11" ht="19.5" thickBot="1" x14ac:dyDescent="0.3">
      <c r="A11" s="22" t="s">
        <v>74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</row>
    <row r="12" spans="1:11" ht="14.25" thickTop="1" thickBot="1" x14ac:dyDescent="0.25">
      <c r="A12" s="21" t="s">
        <v>75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</row>
    <row r="13" spans="1:11" ht="12" thickTop="1" x14ac:dyDescent="0.2"/>
    <row r="14" spans="1:11" x14ac:dyDescent="0.2">
      <c r="J14" s="35" t="str">
        <f>E8</f>
        <v>Controllable Costs</v>
      </c>
      <c r="K14" s="36">
        <f>K8</f>
        <v>18.535170633889603</v>
      </c>
    </row>
    <row r="15" spans="1:11" x14ac:dyDescent="0.2">
      <c r="J15" s="35" t="str">
        <f>E9</f>
        <v>Uncontrollable Costs</v>
      </c>
      <c r="K15" s="36">
        <f>K9</f>
        <v>0.94183107022350254</v>
      </c>
    </row>
    <row r="16" spans="1:11" x14ac:dyDescent="0.2">
      <c r="J16" s="35" t="s">
        <v>48</v>
      </c>
      <c r="K16" s="36">
        <v>0.22668093917367968</v>
      </c>
    </row>
    <row r="18" spans="1:11" ht="19.5" thickBot="1" x14ac:dyDescent="0.3">
      <c r="A18" s="22" t="s">
        <v>76</v>
      </c>
      <c r="B18" s="22"/>
      <c r="C18" s="22"/>
      <c r="D18" s="22"/>
      <c r="E18" s="39" t="str">
        <f>E3</f>
        <v>FY21</v>
      </c>
      <c r="F18" s="39" t="str">
        <f>F3</f>
        <v>FY22</v>
      </c>
      <c r="G18" s="39" t="str">
        <f>G3</f>
        <v>FY23</v>
      </c>
      <c r="H18" s="39" t="str">
        <f t="shared" ref="H18:K18" si="1">H3</f>
        <v>FY24</v>
      </c>
      <c r="I18" s="39" t="str">
        <f t="shared" si="1"/>
        <v>FY25</v>
      </c>
      <c r="J18" s="39" t="str">
        <f t="shared" si="1"/>
        <v>FY26</v>
      </c>
      <c r="K18" s="39" t="str">
        <f t="shared" si="1"/>
        <v>FY27</v>
      </c>
    </row>
    <row r="19" spans="1:11" ht="12" thickTop="1" x14ac:dyDescent="0.2"/>
    <row r="20" spans="1:11" x14ac:dyDescent="0.2">
      <c r="A20" t="s">
        <v>77</v>
      </c>
      <c r="F20" s="41">
        <f>F27-F24-F22</f>
        <v>0</v>
      </c>
      <c r="G20" s="41">
        <f t="shared" ref="G20:K20" si="2">G27-G24-G22</f>
        <v>286095.78680545837</v>
      </c>
      <c r="H20" s="41">
        <f t="shared" si="2"/>
        <v>347768.5285111703</v>
      </c>
      <c r="I20" s="41">
        <f t="shared" si="2"/>
        <v>442798.77806405723</v>
      </c>
      <c r="J20" s="41">
        <f t="shared" si="2"/>
        <v>572793.27733561397</v>
      </c>
      <c r="K20" s="41">
        <f t="shared" si="2"/>
        <v>648937.96490847692</v>
      </c>
    </row>
    <row r="22" spans="1:11" x14ac:dyDescent="0.2">
      <c r="A22" t="s">
        <v>78</v>
      </c>
      <c r="F22" s="41">
        <f>SUM(Calculation!F62:F64)</f>
        <v>18060258.81235306</v>
      </c>
      <c r="G22" s="41">
        <f t="shared" ref="G22:K22" si="3">F22</f>
        <v>18060258.81235306</v>
      </c>
      <c r="H22" s="41">
        <f t="shared" si="3"/>
        <v>18060258.81235306</v>
      </c>
      <c r="I22" s="41">
        <f t="shared" si="3"/>
        <v>18060258.81235306</v>
      </c>
      <c r="J22" s="41">
        <f t="shared" si="3"/>
        <v>18060258.81235306</v>
      </c>
      <c r="K22" s="41">
        <f t="shared" si="3"/>
        <v>18060258.81235306</v>
      </c>
    </row>
    <row r="24" spans="1:11" x14ac:dyDescent="0.2">
      <c r="A24" t="s">
        <v>79</v>
      </c>
      <c r="F24" s="41">
        <f>Calculation!F70</f>
        <v>994485.86602525169</v>
      </c>
      <c r="G24" s="41">
        <f>Calculation!G70</f>
        <v>994485.86602525169</v>
      </c>
      <c r="H24" s="41">
        <f>Calculation!H70</f>
        <v>994485.86602525169</v>
      </c>
      <c r="I24" s="41">
        <f>Calculation!I70</f>
        <v>994485.86602525169</v>
      </c>
      <c r="J24" s="41">
        <f>Calculation!J70</f>
        <v>994485.86602525169</v>
      </c>
      <c r="K24" s="41">
        <f>Calculation!K70</f>
        <v>994485.86602525169</v>
      </c>
    </row>
    <row r="27" spans="1:11" x14ac:dyDescent="0.2">
      <c r="A27" t="s">
        <v>6</v>
      </c>
      <c r="F27" s="41">
        <f>Calculation!F90</f>
        <v>19054744.67837831</v>
      </c>
      <c r="G27" s="41">
        <f>Calculation!G90</f>
        <v>19340840.465183768</v>
      </c>
      <c r="H27" s="41">
        <f>Calculation!H90</f>
        <v>19402513.20688948</v>
      </c>
      <c r="I27" s="41">
        <f>Calculation!I90</f>
        <v>19497543.456442367</v>
      </c>
      <c r="J27" s="41">
        <f>Calculation!J90</f>
        <v>19627537.955713924</v>
      </c>
      <c r="K27" s="41">
        <f>Calculation!K90</f>
        <v>19703682.643286787</v>
      </c>
    </row>
    <row r="30" spans="1:11" x14ac:dyDescent="0.2">
      <c r="A30" t="s">
        <v>80</v>
      </c>
      <c r="E30" s="42">
        <f>(Calculation!D16+Calculation!D18)/Calculation!D19</f>
        <v>0.85159321318555325</v>
      </c>
      <c r="F30" s="41">
        <f>E30*Calculation!$E$45</f>
        <v>9657580.0955599416</v>
      </c>
      <c r="G30" s="41">
        <f>$E30*Calculation!F$62</f>
        <v>9947457.9848395269</v>
      </c>
      <c r="H30" s="41">
        <f>$E30*Calculation!G$62</f>
        <v>9985197.1722009536</v>
      </c>
      <c r="I30" s="41">
        <f>$E30*Calculation!H$62</f>
        <v>10036410.659207447</v>
      </c>
      <c r="J30" s="41">
        <f>$E30*Calculation!I$62</f>
        <v>10121770.230681423</v>
      </c>
      <c r="K30" s="41">
        <f>$E30*Calculation!J$62</f>
        <v>10237120.994914174</v>
      </c>
    </row>
    <row r="31" spans="1:11" x14ac:dyDescent="0.2">
      <c r="A31" t="s">
        <v>81</v>
      </c>
    </row>
    <row r="32" spans="1:11" x14ac:dyDescent="0.2">
      <c r="A32" t="s">
        <v>82</v>
      </c>
      <c r="E32" s="42">
        <f>Calculation!D17/Calculation!D19</f>
        <v>0.14840678681444672</v>
      </c>
      <c r="F32" s="41">
        <f>E32*Calculation!$E$45</f>
        <v>1683022.3728813559</v>
      </c>
      <c r="G32" s="41">
        <f>$E32*Calculation!F$62</f>
        <v>1733539.2692709044</v>
      </c>
      <c r="H32" s="41">
        <f>$E32*Calculation!G$62</f>
        <v>1740116.0613901685</v>
      </c>
      <c r="I32" s="41">
        <f>$E32*Calculation!H$62</f>
        <v>1749041.013973769</v>
      </c>
      <c r="J32" s="41">
        <f>$E32*Calculation!I$62</f>
        <v>1763916.5901645704</v>
      </c>
      <c r="K32" s="41">
        <f>$E32*Calculation!J$62</f>
        <v>1784018.7187528631</v>
      </c>
    </row>
    <row r="33" spans="1:11" x14ac:dyDescent="0.2">
      <c r="A33" t="s">
        <v>83</v>
      </c>
      <c r="F33" s="41">
        <f>F27-F30-F32</f>
        <v>7714142.2099370128</v>
      </c>
      <c r="G33" s="41">
        <f t="shared" ref="G33:K33" si="4">G27-G30-G32</f>
        <v>7659843.2110733371</v>
      </c>
      <c r="H33" s="41">
        <f t="shared" si="4"/>
        <v>7677199.9732983578</v>
      </c>
      <c r="I33" s="41">
        <f t="shared" si="4"/>
        <v>7712091.783261152</v>
      </c>
      <c r="J33" s="41">
        <f t="shared" si="4"/>
        <v>7741851.1348679308</v>
      </c>
      <c r="K33" s="41">
        <f t="shared" si="4"/>
        <v>7682542.92961975</v>
      </c>
    </row>
    <row r="34" spans="1:11" x14ac:dyDescent="0.2">
      <c r="A34" t="s">
        <v>6</v>
      </c>
      <c r="F34" s="41">
        <f>SUM(F30:F33)</f>
        <v>19054744.67837831</v>
      </c>
      <c r="G34" s="41">
        <f t="shared" ref="G34:K34" si="5">SUM(G30:G33)</f>
        <v>19340840.465183768</v>
      </c>
      <c r="H34" s="41">
        <f t="shared" si="5"/>
        <v>19402513.20688948</v>
      </c>
      <c r="I34" s="41">
        <f t="shared" si="5"/>
        <v>19497543.456442367</v>
      </c>
      <c r="J34" s="41">
        <f t="shared" si="5"/>
        <v>19627537.955713924</v>
      </c>
      <c r="K34" s="41">
        <f t="shared" si="5"/>
        <v>19703682.643286787</v>
      </c>
    </row>
    <row r="37" spans="1:11" x14ac:dyDescent="0.2">
      <c r="A37" t="s">
        <v>84</v>
      </c>
    </row>
    <row r="38" spans="1:11" x14ac:dyDescent="0.2">
      <c r="A38" t="s">
        <v>94</v>
      </c>
      <c r="F38" s="41">
        <f>Calculation!$D$18/Calculation!$D$19*Calculation!F62</f>
        <v>1037065.1771114831</v>
      </c>
      <c r="G38" s="41">
        <f>Calculation!$D$18/Calculation!$D$19*Calculation!G62</f>
        <v>1040999.6493238483</v>
      </c>
      <c r="H38" s="41">
        <f>Calculation!$D$18/Calculation!$D$19*Calculation!H62</f>
        <v>1046338.8750892478</v>
      </c>
      <c r="I38" s="41">
        <f>Calculation!$D$18/Calculation!$D$19*Calculation!I62</f>
        <v>1055237.9766731635</v>
      </c>
      <c r="J38" s="41">
        <f>Calculation!$D$18/Calculation!$D$19*Calculation!J62</f>
        <v>1067263.7887873035</v>
      </c>
      <c r="K38" s="41">
        <f>Calculation!$D$18/Calculation!$D$19*Calculation!K62</f>
        <v>1074554.1044396809</v>
      </c>
    </row>
    <row r="39" spans="1:11" x14ac:dyDescent="0.2">
      <c r="A39" t="s">
        <v>95</v>
      </c>
      <c r="F39" s="41">
        <f>Calculation!$D$25/Calculation!$D$26*Calculation!F63+Calculation!F70</f>
        <v>3335155.3163458686</v>
      </c>
      <c r="G39" s="41">
        <f>Calculation!$D$25/Calculation!$D$26*Calculation!G63+Calculation!G70</f>
        <v>3335155.3163458686</v>
      </c>
      <c r="H39" s="41">
        <f>Calculation!$D$25/Calculation!$D$26*Calculation!H63+Calculation!H70</f>
        <v>3335155.3163458686</v>
      </c>
      <c r="I39" s="41">
        <f>Calculation!$D$25/Calculation!$D$26*Calculation!I63+Calculation!I70</f>
        <v>3335155.3163458686</v>
      </c>
      <c r="J39" s="41">
        <f>Calculation!$D$25/Calculation!$D$26*Calculation!J63+Calculation!J70</f>
        <v>3335155.3163458686</v>
      </c>
      <c r="K39" s="41">
        <f>Calculation!$D$25/Calculation!$D$26*Calculation!K63+Calculation!K70</f>
        <v>3335155.3163458686</v>
      </c>
    </row>
    <row r="40" spans="1:11" x14ac:dyDescent="0.2">
      <c r="A40" t="s">
        <v>84</v>
      </c>
      <c r="F40" s="41">
        <f>SUM(F38:F39)</f>
        <v>4372220.4934573518</v>
      </c>
      <c r="G40" s="41">
        <f t="shared" ref="G40:K40" si="6">SUM(G38:G39)</f>
        <v>4376154.9656697167</v>
      </c>
      <c r="H40" s="41">
        <f t="shared" si="6"/>
        <v>4381494.1914351163</v>
      </c>
      <c r="I40" s="41">
        <f t="shared" si="6"/>
        <v>4390393.2930190321</v>
      </c>
      <c r="J40" s="41">
        <f t="shared" si="6"/>
        <v>4402419.1051331721</v>
      </c>
      <c r="K40" s="41">
        <f t="shared" si="6"/>
        <v>4409709.42078555</v>
      </c>
    </row>
    <row r="43" spans="1:11" x14ac:dyDescent="0.2">
      <c r="A43" t="s">
        <v>96</v>
      </c>
      <c r="F43" s="41">
        <f>F$27*$L56</f>
        <v>13663317.323668763</v>
      </c>
      <c r="G43" s="41">
        <f t="shared" ref="G43:K43" si="7">G$27*$L56</f>
        <v>13868463.999001721</v>
      </c>
      <c r="H43" s="41">
        <f t="shared" si="7"/>
        <v>13912686.803052302</v>
      </c>
      <c r="I43" s="41">
        <f t="shared" si="7"/>
        <v>13980828.805314966</v>
      </c>
      <c r="J43" s="41">
        <f t="shared" si="7"/>
        <v>14074042.129547756</v>
      </c>
      <c r="K43" s="41">
        <f t="shared" si="7"/>
        <v>14128642.127940817</v>
      </c>
    </row>
    <row r="44" spans="1:11" x14ac:dyDescent="0.2">
      <c r="A44" t="s">
        <v>102</v>
      </c>
      <c r="F44" s="41">
        <f>F$27*$L57</f>
        <v>5391427.3547095479</v>
      </c>
      <c r="G44" s="41">
        <f t="shared" ref="G44:K44" si="8">G$27*$L57</f>
        <v>5472376.4661820494</v>
      </c>
      <c r="H44" s="41">
        <f t="shared" si="8"/>
        <v>5489826.4038371788</v>
      </c>
      <c r="I44" s="41">
        <f t="shared" si="8"/>
        <v>5516714.6511274017</v>
      </c>
      <c r="J44" s="41">
        <f t="shared" si="8"/>
        <v>5553495.8261661688</v>
      </c>
      <c r="K44" s="41">
        <f t="shared" si="8"/>
        <v>5575040.5153459711</v>
      </c>
    </row>
    <row r="45" spans="1:11" x14ac:dyDescent="0.2">
      <c r="A45" t="s">
        <v>103</v>
      </c>
      <c r="F45" s="41">
        <f>Calculation!F88</f>
        <v>0</v>
      </c>
      <c r="G45" s="41">
        <f>Calculation!G88</f>
        <v>241779.80732476831</v>
      </c>
      <c r="H45" s="41">
        <f>Calculation!H88</f>
        <v>243314.10944038635</v>
      </c>
      <c r="I45" s="41">
        <f>Calculation!I88</f>
        <v>238109.21132849617</v>
      </c>
      <c r="J45" s="41">
        <f>Calculation!J88</f>
        <v>232650.81777900708</v>
      </c>
      <c r="K45" s="41">
        <f>Calculation!K88</f>
        <v>226680.93917367968</v>
      </c>
    </row>
    <row r="46" spans="1:11" x14ac:dyDescent="0.2">
      <c r="A46" t="s">
        <v>104</v>
      </c>
      <c r="F46" s="41">
        <f>F$27*$L59</f>
        <v>0</v>
      </c>
      <c r="G46" s="41">
        <f t="shared" ref="G46:K46" si="9">G$27*$L59</f>
        <v>0</v>
      </c>
      <c r="H46" s="41">
        <f t="shared" si="9"/>
        <v>0</v>
      </c>
      <c r="I46" s="41">
        <f t="shared" si="9"/>
        <v>0</v>
      </c>
      <c r="J46" s="41">
        <f t="shared" si="9"/>
        <v>0</v>
      </c>
      <c r="K46" s="41">
        <f t="shared" si="9"/>
        <v>0</v>
      </c>
    </row>
    <row r="47" spans="1:11" x14ac:dyDescent="0.2">
      <c r="A47" t="s">
        <v>6</v>
      </c>
      <c r="F47" s="41">
        <f>SUM(F43:F46)</f>
        <v>19054744.67837831</v>
      </c>
      <c r="G47" s="41">
        <f t="shared" ref="G47:K47" si="10">SUM(G43:G46)</f>
        <v>19582620.272508539</v>
      </c>
      <c r="H47" s="41">
        <f t="shared" si="10"/>
        <v>19645827.316329867</v>
      </c>
      <c r="I47" s="41">
        <f t="shared" si="10"/>
        <v>19735652.667770863</v>
      </c>
      <c r="J47" s="41">
        <f t="shared" si="10"/>
        <v>19860188.773492932</v>
      </c>
      <c r="K47" s="41">
        <f t="shared" si="10"/>
        <v>19930363.582460467</v>
      </c>
    </row>
    <row r="55" spans="1:12" ht="19.5" thickBot="1" x14ac:dyDescent="0.3">
      <c r="A55" s="22" t="s">
        <v>85</v>
      </c>
      <c r="B55" s="22"/>
      <c r="C55" s="22"/>
      <c r="D55" s="22"/>
      <c r="E55" s="22"/>
      <c r="F55" s="39" t="s">
        <v>71</v>
      </c>
      <c r="G55" s="39" t="s">
        <v>4</v>
      </c>
      <c r="L55" t="s">
        <v>106</v>
      </c>
    </row>
    <row r="56" spans="1:12" ht="13.5" x14ac:dyDescent="0.3">
      <c r="A56" s="27" t="str">
        <f>A43</f>
        <v>Repairs and maintenance</v>
      </c>
      <c r="F56" s="37">
        <f>'Historic Data'!C49/Inputs!L$11</f>
        <v>12703149.13249865</v>
      </c>
      <c r="G56" s="37">
        <f>SUM('Historic Data'!D49:D53)/Inputs!M$11</f>
        <v>13095081.528804855</v>
      </c>
      <c r="L56" s="26">
        <f>G56/$G$60</f>
        <v>0.71705591202031294</v>
      </c>
    </row>
    <row r="57" spans="1:12" ht="13.5" x14ac:dyDescent="0.3">
      <c r="A57" s="27" t="str">
        <f t="shared" ref="A57:A60" si="11">A44</f>
        <v>Other operating</v>
      </c>
      <c r="F57" s="37">
        <f>'Historic Data'!C55/Inputs!L$11</f>
        <v>5134043.1798251849</v>
      </c>
      <c r="G57" s="37">
        <f>'Historic Data'!D55/Inputs!M$11</f>
        <v>5167206.4034002079</v>
      </c>
      <c r="L57" s="26">
        <f t="shared" ref="L57:L59" si="12">G57/$G$60</f>
        <v>0.28294408797968712</v>
      </c>
    </row>
    <row r="58" spans="1:12" ht="13.5" x14ac:dyDescent="0.3">
      <c r="A58" s="27" t="str">
        <f t="shared" si="11"/>
        <v>Debt raising</v>
      </c>
      <c r="F58" s="37"/>
      <c r="G58" s="37"/>
      <c r="L58" s="26">
        <f t="shared" si="12"/>
        <v>0</v>
      </c>
    </row>
    <row r="59" spans="1:12" ht="13.5" x14ac:dyDescent="0.3">
      <c r="A59" s="27" t="str">
        <f t="shared" si="11"/>
        <v>Equity raising</v>
      </c>
      <c r="F59" s="37">
        <f>'Historic Data'!C57/Inputs!L$11</f>
        <v>0</v>
      </c>
      <c r="G59" s="37">
        <f>'Historic Data'!D57/Inputs!M$11</f>
        <v>0</v>
      </c>
      <c r="L59" s="26">
        <f t="shared" si="12"/>
        <v>0</v>
      </c>
    </row>
    <row r="60" spans="1:12" ht="13.5" x14ac:dyDescent="0.3">
      <c r="A60" s="27" t="str">
        <f t="shared" si="11"/>
        <v>Total</v>
      </c>
      <c r="F60" s="37">
        <f>SUM(F56:F59)</f>
        <v>17837192.312323835</v>
      </c>
      <c r="G60" s="37">
        <f>SUM(G56:G59)</f>
        <v>18262287.932205062</v>
      </c>
      <c r="L60" s="26">
        <f>SUM(L56:L59)</f>
        <v>1</v>
      </c>
    </row>
  </sheetData>
  <mergeCells count="2">
    <mergeCell ref="E8:F8"/>
    <mergeCell ref="E9:F9"/>
  </mergeCells>
  <phoneticPr fontId="16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30"/>
  <sheetViews>
    <sheetView topLeftCell="A4" workbookViewId="0">
      <selection activeCell="J36" sqref="J36"/>
    </sheetView>
  </sheetViews>
  <sheetFormatPr defaultRowHeight="11.25" x14ac:dyDescent="0.2"/>
  <sheetData>
    <row r="1" spans="1:26" ht="24" x14ac:dyDescent="0.35">
      <c r="A1" s="25" t="s">
        <v>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24" x14ac:dyDescent="0.35">
      <c r="A2" s="25" t="s">
        <v>1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3.5" thickBot="1" x14ac:dyDescent="0.25">
      <c r="A3" s="21" t="s">
        <v>2</v>
      </c>
      <c r="B3" s="21" t="str">
        <f ca="1">RIGHT(CELL("filename",A1),LEN(CELL("filename",A1))-FIND("]",CELL("filename",A1)))</f>
        <v>Graphs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2" thickTop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x14ac:dyDescent="0.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x14ac:dyDescent="0.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x14ac:dyDescent="0.2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x14ac:dyDescent="0.2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x14ac:dyDescent="0.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4666f4f-5ef0-4a2c-bbe1-6139430fff00">
      <UserInfo>
        <DisplayName>Chakrabarti, Nikhil</DisplayName>
        <AccountId>93</AccountId>
        <AccountType/>
      </UserInfo>
      <UserInfo>
        <DisplayName>Daguio, Joseph</DisplayName>
        <AccountId>92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4BA54412A0814C9BFB6DB711AF1A38" ma:contentTypeVersion="11" ma:contentTypeDescription="Create a new document." ma:contentTypeScope="" ma:versionID="9e6b78fc3325611fe7ffd97e2b22c1c8">
  <xsd:schema xmlns:xsd="http://www.w3.org/2001/XMLSchema" xmlns:xs="http://www.w3.org/2001/XMLSchema" xmlns:p="http://schemas.microsoft.com/office/2006/metadata/properties" xmlns:ns2="92f33184-8f76-499f-8375-f72d6cfe5636" xmlns:ns3="64666f4f-5ef0-4a2c-bbe1-6139430fff00" targetNamespace="http://schemas.microsoft.com/office/2006/metadata/properties" ma:root="true" ma:fieldsID="9997bb42200b12f91a1dc060bc66f47a" ns2:_="" ns3:_="">
    <xsd:import namespace="92f33184-8f76-499f-8375-f72d6cfe5636"/>
    <xsd:import namespace="64666f4f-5ef0-4a2c-bbe1-6139430fff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f33184-8f76-499f-8375-f72d6cfe56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666f4f-5ef0-4a2c-bbe1-6139430fff0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67FF4E-7B2D-4D68-8CCD-3AF281AB1E9E}">
  <ds:schemaRefs>
    <ds:schemaRef ds:uri="http://purl.org/dc/terms/"/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microsoft.com/office/2006/metadata/properties"/>
    <ds:schemaRef ds:uri="64666f4f-5ef0-4a2c-bbe1-6139430fff00"/>
    <ds:schemaRef ds:uri="http://www.w3.org/XML/1998/namespace"/>
    <ds:schemaRef ds:uri="http://schemas.openxmlformats.org/package/2006/metadata/core-properties"/>
    <ds:schemaRef ds:uri="92f33184-8f76-499f-8375-f72d6cfe5636"/>
  </ds:schemaRefs>
</ds:datastoreItem>
</file>

<file path=customXml/itemProps2.xml><?xml version="1.0" encoding="utf-8"?>
<ds:datastoreItem xmlns:ds="http://schemas.openxmlformats.org/officeDocument/2006/customXml" ds:itemID="{CC9D0E3D-5615-4C1F-A7B9-1FE44CBCAD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f33184-8f76-499f-8375-f72d6cfe5636"/>
    <ds:schemaRef ds:uri="64666f4f-5ef0-4a2c-bbe1-6139430fff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10B243D-CA32-4385-8265-E2D011C6EB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Historic Data</vt:lpstr>
      <vt:lpstr>Inputs</vt:lpstr>
      <vt:lpstr>Calculation</vt:lpstr>
      <vt:lpstr>Output</vt:lpstr>
      <vt:lpstr>Graphs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Power BI</dc:creator>
  <cp:keywords/>
  <dc:description/>
  <cp:lastModifiedBy>Allen, Mark</cp:lastModifiedBy>
  <cp:revision/>
  <dcterms:created xsi:type="dcterms:W3CDTF">2016-07-06T08:22:49Z</dcterms:created>
  <dcterms:modified xsi:type="dcterms:W3CDTF">2021-07-09T01:58:35Z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0x010100084BA54412A0814C9BFB6DB711AF1A38</vt:lpwstr>
  </property>
</Properties>
</file>