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apamscloud.sharepoint.com/teams/EconomicRegandPolicy-EconomicRegExtPol/Shared Documents/RBP/AA FY 23 to 27/Revised Proposal/"/>
    </mc:Choice>
  </mc:AlternateContent>
  <xr:revisionPtr revIDLastSave="163" documentId="8_{E0FCBB3F-B1AC-4D2D-9643-8705B87C8191}" xr6:coauthVersionLast="46" xr6:coauthVersionMax="47" xr10:uidLastSave="{44205973-6AEC-4D5A-8831-39B8A5C4680C}"/>
  <bookViews>
    <workbookView xWindow="-28920" yWindow="-4680" windowWidth="29040" windowHeight="15840" activeTab="3" xr2:uid="{00000000-000D-0000-FFFF-FFFF00000000}"/>
  </bookViews>
  <sheets>
    <sheet name="Historic Data" sheetId="7" r:id="rId1"/>
    <sheet name="Inputs" sheetId="5" r:id="rId2"/>
    <sheet name="Calculation" sheetId="8" r:id="rId3"/>
    <sheet name="Output" sheetId="10" r:id="rId4"/>
    <sheet name="Graphs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0" l="1"/>
  <c r="H68" i="10"/>
  <c r="H70" i="10" s="1"/>
  <c r="I68" i="10"/>
  <c r="J68" i="10"/>
  <c r="J70" i="10" s="1"/>
  <c r="F68" i="10"/>
  <c r="K69" i="10"/>
  <c r="I70" i="10"/>
  <c r="G70" i="10"/>
  <c r="K66" i="10"/>
  <c r="J66" i="10"/>
  <c r="K68" i="10" l="1"/>
  <c r="K70" i="10" s="1"/>
  <c r="F70" i="10"/>
  <c r="D25" i="8" l="1" a="1"/>
  <c r="D25" i="8" s="1"/>
  <c r="C84" i="8" l="1"/>
  <c r="C76" i="8"/>
  <c r="C85" i="8" s="1"/>
  <c r="C83" i="8"/>
  <c r="F76" i="8"/>
  <c r="F85" i="8" s="1"/>
  <c r="F92" i="8" s="1"/>
  <c r="C71" i="8"/>
  <c r="C72" i="8" s="1"/>
  <c r="B72" i="8"/>
  <c r="B76" i="8" s="1"/>
  <c r="B85" i="8" s="1"/>
  <c r="B92" i="8" s="1"/>
  <c r="E11" i="10" s="1"/>
  <c r="G72" i="8"/>
  <c r="G76" i="8" s="1"/>
  <c r="G85" i="8" s="1"/>
  <c r="G92" i="8" s="1"/>
  <c r="G11" i="10" s="1"/>
  <c r="H72" i="8"/>
  <c r="H76" i="8" s="1"/>
  <c r="H85" i="8" s="1"/>
  <c r="H92" i="8" s="1"/>
  <c r="H11" i="10" s="1"/>
  <c r="I72" i="8"/>
  <c r="I76" i="8" s="1"/>
  <c r="I85" i="8" s="1"/>
  <c r="I92" i="8" s="1"/>
  <c r="I11" i="10" s="1"/>
  <c r="J72" i="8"/>
  <c r="J76" i="8" s="1"/>
  <c r="J85" i="8" s="1"/>
  <c r="J92" i="8" s="1"/>
  <c r="J11" i="10" s="1"/>
  <c r="K72" i="8"/>
  <c r="K76" i="8" s="1"/>
  <c r="K85" i="8" s="1"/>
  <c r="K92" i="8" s="1"/>
  <c r="K11" i="10" s="1"/>
  <c r="K17" i="10" l="1"/>
  <c r="J17" i="10"/>
  <c r="F93" i="8" l="1"/>
  <c r="F47" i="10" l="1"/>
  <c r="G61" i="10" l="1"/>
  <c r="G59" i="10"/>
  <c r="G58" i="10"/>
  <c r="F61" i="10"/>
  <c r="F59" i="10"/>
  <c r="F58" i="10"/>
  <c r="E20" i="10"/>
  <c r="F62" i="10" l="1"/>
  <c r="G62" i="10"/>
  <c r="L58" i="10" s="1"/>
  <c r="L60" i="10" l="1"/>
  <c r="L59" i="10"/>
  <c r="L61" i="10"/>
  <c r="A59" i="10"/>
  <c r="A60" i="10"/>
  <c r="A61" i="10"/>
  <c r="A62" i="10"/>
  <c r="A58" i="10"/>
  <c r="L62" i="10" l="1"/>
  <c r="F20" i="10"/>
  <c r="B26" i="8" l="1"/>
  <c r="H20" i="10" l="1"/>
  <c r="I20" i="10"/>
  <c r="J20" i="10"/>
  <c r="K20" i="10"/>
  <c r="G20" i="10"/>
  <c r="H7" i="10" l="1"/>
  <c r="I7" i="10"/>
  <c r="J7" i="10"/>
  <c r="K7" i="10"/>
  <c r="G7" i="10"/>
  <c r="B71" i="8" l="1"/>
  <c r="B3" i="10" l="1"/>
  <c r="C33" i="8" l="1"/>
  <c r="F51" i="8" l="1"/>
  <c r="E42" i="8" l="1"/>
  <c r="B38" i="8" l="1"/>
  <c r="B48" i="8" s="1"/>
  <c r="B37" i="8"/>
  <c r="B47" i="8" s="1"/>
  <c r="B36" i="8"/>
  <c r="B46" i="8" s="1"/>
  <c r="B44" i="8" l="1"/>
  <c r="B53" i="8" s="1"/>
  <c r="B55" i="8"/>
  <c r="B63" i="8"/>
  <c r="B64" i="8"/>
  <c r="B74" i="8" s="1"/>
  <c r="B83" i="8" s="1"/>
  <c r="B90" i="8" s="1"/>
  <c r="E9" i="10" s="1"/>
  <c r="B56" i="8"/>
  <c r="B43" i="8"/>
  <c r="B52" i="8" s="1"/>
  <c r="B65" i="8"/>
  <c r="B75" i="8" s="1"/>
  <c r="B57" i="8"/>
  <c r="B42" i="8"/>
  <c r="B51" i="8" s="1"/>
  <c r="B84" i="8" l="1"/>
  <c r="B91" i="8" s="1"/>
  <c r="E10" i="10" s="1"/>
  <c r="J15" i="10"/>
  <c r="J16" i="10"/>
  <c r="B3" i="3" l="1"/>
  <c r="B3" i="8"/>
  <c r="B45" i="7" l="1"/>
  <c r="D10" i="8" l="1"/>
  <c r="H61" i="8"/>
  <c r="I61" i="8"/>
  <c r="J61" i="8"/>
  <c r="K61" i="8"/>
  <c r="G61" i="8"/>
  <c r="B17" i="8" l="1"/>
  <c r="B18" i="8"/>
  <c r="B23" i="8" l="1"/>
  <c r="D23" i="8" s="1" a="1"/>
  <c r="D23" i="8" s="1"/>
  <c r="B24" i="8"/>
  <c r="B22" i="8"/>
  <c r="B21" i="8"/>
  <c r="B29" i="8"/>
  <c r="B30" i="8"/>
  <c r="B16" i="8"/>
  <c r="D16" i="8" l="1" a="1"/>
  <c r="D16" i="8" s="1"/>
  <c r="D26" i="8" a="1"/>
  <c r="D26" i="8" s="1"/>
  <c r="D17" i="8" a="1"/>
  <c r="D17" i="8" s="1"/>
  <c r="D18" i="8" a="1"/>
  <c r="D18" i="8" s="1"/>
  <c r="D7" i="8" l="1"/>
  <c r="D12" i="8" s="1"/>
  <c r="D24" i="8" a="1"/>
  <c r="D24" i="8" s="1"/>
  <c r="D21" i="8" a="1"/>
  <c r="D21" i="8" s="1"/>
  <c r="D30" i="8" a="1"/>
  <c r="D30" i="8" s="1"/>
  <c r="D29" i="8" a="1"/>
  <c r="D29" i="8" s="1"/>
  <c r="D22" i="8" a="1"/>
  <c r="D22" i="8" s="1"/>
  <c r="C21" i="7"/>
  <c r="C45" i="7"/>
  <c r="D19" i="8"/>
  <c r="C46" i="7" l="1"/>
  <c r="M32" i="10"/>
  <c r="M34" i="10"/>
  <c r="D31" i="8"/>
  <c r="D38" i="8" s="1"/>
  <c r="D36" i="8"/>
  <c r="E46" i="8" s="1"/>
  <c r="D27" i="8"/>
  <c r="D37" i="8" l="1"/>
  <c r="F34" i="10"/>
  <c r="E55" i="8"/>
  <c r="F32" i="10"/>
  <c r="D33" i="8"/>
  <c r="E43" i="8" l="1"/>
  <c r="E44" i="8" l="1"/>
  <c r="E48" i="8" s="1"/>
  <c r="E47" i="8"/>
  <c r="F55" i="8" l="1"/>
  <c r="F63" i="8" s="1"/>
  <c r="F52" i="8"/>
  <c r="E56" i="8" s="1"/>
  <c r="G32" i="10" l="1"/>
  <c r="G63" i="8"/>
  <c r="F40" i="10"/>
  <c r="G34" i="10"/>
  <c r="G71" i="8"/>
  <c r="G26" i="10" s="1"/>
  <c r="K71" i="8"/>
  <c r="K26" i="10" s="1"/>
  <c r="J71" i="8"/>
  <c r="J26" i="10" s="1"/>
  <c r="I71" i="8"/>
  <c r="I26" i="10" s="1"/>
  <c r="H71" i="8"/>
  <c r="H26" i="10" s="1"/>
  <c r="F53" i="8"/>
  <c r="F56" i="8"/>
  <c r="F64" i="8" s="1"/>
  <c r="F57" i="8" l="1"/>
  <c r="F65" i="8" s="1"/>
  <c r="F67" i="8" s="1"/>
  <c r="E57" i="8"/>
  <c r="H63" i="8"/>
  <c r="G40" i="10"/>
  <c r="H34" i="10"/>
  <c r="H32" i="10"/>
  <c r="F71" i="8"/>
  <c r="F26" i="10" s="1"/>
  <c r="G64" i="8"/>
  <c r="F24" i="10" l="1"/>
  <c r="G24" i="10" s="1"/>
  <c r="H24" i="10" s="1"/>
  <c r="I24" i="10" s="1"/>
  <c r="J24" i="10" s="1"/>
  <c r="K24" i="10" s="1"/>
  <c r="G65" i="8"/>
  <c r="F75" i="8"/>
  <c r="F41" i="10"/>
  <c r="F42" i="10" s="1"/>
  <c r="I63" i="8"/>
  <c r="I34" i="10"/>
  <c r="I32" i="10"/>
  <c r="H40" i="10"/>
  <c r="G74" i="8"/>
  <c r="G41" i="10"/>
  <c r="G42" i="10" s="1"/>
  <c r="F74" i="8"/>
  <c r="F83" i="8" s="1"/>
  <c r="H64" i="8"/>
  <c r="F84" i="8" l="1"/>
  <c r="F91" i="8" s="1"/>
  <c r="G67" i="8"/>
  <c r="G75" i="8"/>
  <c r="G84" i="8" s="1"/>
  <c r="G91" i="8" s="1"/>
  <c r="G10" i="10" s="1"/>
  <c r="H65" i="8"/>
  <c r="I40" i="10"/>
  <c r="J63" i="8"/>
  <c r="J34" i="10"/>
  <c r="J32" i="10"/>
  <c r="H74" i="8"/>
  <c r="H41" i="10"/>
  <c r="H42" i="10" s="1"/>
  <c r="F78" i="8"/>
  <c r="I64" i="8"/>
  <c r="F90" i="8"/>
  <c r="F87" i="8"/>
  <c r="F29" i="10" s="1"/>
  <c r="G83" i="8"/>
  <c r="I65" i="8" l="1"/>
  <c r="I75" i="8" s="1"/>
  <c r="I84" i="8" s="1"/>
  <c r="I91" i="8" s="1"/>
  <c r="I10" i="10" s="1"/>
  <c r="H75" i="8"/>
  <c r="H84" i="8" s="1"/>
  <c r="H91" i="8" s="1"/>
  <c r="H10" i="10" s="1"/>
  <c r="G78" i="8"/>
  <c r="H67" i="8"/>
  <c r="K32" i="10"/>
  <c r="J40" i="10"/>
  <c r="K63" i="8"/>
  <c r="K40" i="10" s="1"/>
  <c r="K34" i="10"/>
  <c r="I74" i="8"/>
  <c r="I41" i="10"/>
  <c r="I42" i="10" s="1"/>
  <c r="H78" i="8"/>
  <c r="H83" i="8"/>
  <c r="F95" i="8"/>
  <c r="G90" i="8"/>
  <c r="G9" i="10" s="1"/>
  <c r="G87" i="8"/>
  <c r="G29" i="10" s="1"/>
  <c r="J64" i="8"/>
  <c r="J65" i="8" l="1"/>
  <c r="J75" i="8" s="1"/>
  <c r="J84" i="8" s="1"/>
  <c r="J91" i="8" s="1"/>
  <c r="I67" i="8"/>
  <c r="F45" i="10"/>
  <c r="F46" i="10"/>
  <c r="F48" i="10"/>
  <c r="J74" i="8"/>
  <c r="J41" i="10"/>
  <c r="J42" i="10" s="1"/>
  <c r="F22" i="10"/>
  <c r="F35" i="10"/>
  <c r="F36" i="10" s="1"/>
  <c r="K64" i="8"/>
  <c r="I83" i="8"/>
  <c r="I78" i="8"/>
  <c r="H90" i="8"/>
  <c r="H9" i="10" s="1"/>
  <c r="H87" i="8"/>
  <c r="H29" i="10" s="1"/>
  <c r="K65" i="8" l="1"/>
  <c r="K67" i="8" s="1"/>
  <c r="J67" i="8"/>
  <c r="J10" i="10"/>
  <c r="F49" i="10"/>
  <c r="K74" i="8"/>
  <c r="K41" i="10"/>
  <c r="K42" i="10" s="1"/>
  <c r="I90" i="8"/>
  <c r="I9" i="10" s="1"/>
  <c r="I87" i="8"/>
  <c r="I29" i="10" s="1"/>
  <c r="J78" i="8"/>
  <c r="J83" i="8"/>
  <c r="K16" i="10" l="1"/>
  <c r="K75" i="8"/>
  <c r="K84" i="8" s="1"/>
  <c r="K91" i="8" s="1"/>
  <c r="K10" i="10" s="1"/>
  <c r="K78" i="8"/>
  <c r="K83" i="8"/>
  <c r="J90" i="8"/>
  <c r="J9" i="10" s="1"/>
  <c r="J87" i="8"/>
  <c r="J29" i="10" s="1"/>
  <c r="K90" i="8" l="1"/>
  <c r="K87" i="8"/>
  <c r="K29" i="10" s="1"/>
  <c r="K9" i="10" l="1"/>
  <c r="M29" i="10" s="1"/>
  <c r="K15" i="10" l="1"/>
  <c r="M17" i="10" s="1"/>
  <c r="M11" i="10"/>
  <c r="G46" i="10"/>
  <c r="G22" i="10"/>
  <c r="G35" i="10"/>
  <c r="G36" i="10" s="1"/>
  <c r="G48" i="10"/>
  <c r="G45" i="10"/>
  <c r="H22" i="10" l="1"/>
  <c r="H45" i="10"/>
  <c r="H35" i="10"/>
  <c r="H36" i="10" s="1"/>
  <c r="H48" i="10"/>
  <c r="H46" i="10"/>
  <c r="I22" i="10" l="1"/>
  <c r="I45" i="10"/>
  <c r="I35" i="10"/>
  <c r="I36" i="10" s="1"/>
  <c r="I46" i="10"/>
  <c r="I48" i="10"/>
  <c r="J48" i="10" l="1"/>
  <c r="J45" i="10"/>
  <c r="J22" i="10"/>
  <c r="J46" i="10"/>
  <c r="J35" i="10"/>
  <c r="J36" i="10" s="1"/>
  <c r="K45" i="10" l="1"/>
  <c r="K35" i="10"/>
  <c r="K36" i="10" s="1"/>
  <c r="M36" i="10" s="1"/>
  <c r="K22" i="10"/>
  <c r="K46" i="10"/>
  <c r="K48" i="10"/>
  <c r="G93" i="8" l="1"/>
  <c r="G47" i="10" l="1"/>
  <c r="G49" i="10" s="1"/>
  <c r="G95" i="8"/>
  <c r="H93" i="8" l="1"/>
  <c r="I93" i="8"/>
  <c r="I47" i="10" l="1"/>
  <c r="I49" i="10" s="1"/>
  <c r="I95" i="8"/>
  <c r="H95" i="8"/>
  <c r="H47" i="10"/>
  <c r="H49" i="10" s="1"/>
  <c r="J93" i="8"/>
  <c r="J95" i="8" l="1"/>
  <c r="J47" i="10"/>
  <c r="J49" i="10" s="1"/>
  <c r="K93" i="8"/>
  <c r="K95" i="8" l="1"/>
  <c r="K47" i="10"/>
  <c r="K49" i="10" s="1"/>
  <c r="K18" i="10"/>
  <c r="M18" i="10" l="1"/>
  <c r="M4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APA</author>
  </authors>
  <commentList>
    <comment ref="C4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APA:</t>
        </r>
        <r>
          <rPr>
            <sz val="9"/>
            <color indexed="81"/>
            <rFont val="Tahoma"/>
            <family val="2"/>
          </rPr>
          <t xml:space="preserve">
To be updated with March Data when available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<sst xmlns="http://schemas.openxmlformats.org/spreadsheetml/2006/main" count="224" uniqueCount="108">
  <si>
    <t>Roma Brisbane Pipeline:  Access Arrangement</t>
  </si>
  <si>
    <t>Operating Expenditure Forecast</t>
  </si>
  <si>
    <t>Sheet:</t>
  </si>
  <si>
    <t>Historic Data</t>
  </si>
  <si>
    <t>Consistent with ARIN</t>
  </si>
  <si>
    <t>FY20</t>
  </si>
  <si>
    <t>Labour</t>
  </si>
  <si>
    <t>Contractors</t>
  </si>
  <si>
    <t>Materials</t>
  </si>
  <si>
    <t>Services</t>
  </si>
  <si>
    <t>Insurance</t>
  </si>
  <si>
    <t>Licences</t>
  </si>
  <si>
    <t>Communications</t>
  </si>
  <si>
    <t>Other</t>
  </si>
  <si>
    <t>Corporate Labour</t>
  </si>
  <si>
    <t>Corporate Non Labour</t>
  </si>
  <si>
    <t>Property Costs</t>
  </si>
  <si>
    <t>Debt Rasing Costs</t>
  </si>
  <si>
    <t>Total</t>
  </si>
  <si>
    <t>ARIN Total Opex</t>
  </si>
  <si>
    <t>Difference</t>
  </si>
  <si>
    <t>Categorised for Forecast Purposes</t>
  </si>
  <si>
    <t>Total in forecast</t>
  </si>
  <si>
    <t>Leases</t>
  </si>
  <si>
    <t>Nominal</t>
  </si>
  <si>
    <t>FY 19</t>
  </si>
  <si>
    <t>FY 20</t>
  </si>
  <si>
    <t>Repairs and maintenance</t>
  </si>
  <si>
    <t>labour expenditure</t>
  </si>
  <si>
    <t>insurance expenditure</t>
  </si>
  <si>
    <t>licence and regulatory expenditure</t>
  </si>
  <si>
    <t>leasing and rental expenditure</t>
  </si>
  <si>
    <t>equity raising costs</t>
  </si>
  <si>
    <t>Other operating</t>
  </si>
  <si>
    <t>Debt raising</t>
  </si>
  <si>
    <t>Equity raising</t>
  </si>
  <si>
    <t>Inputs</t>
  </si>
  <si>
    <t>FY 11</t>
  </si>
  <si>
    <t>FY 12</t>
  </si>
  <si>
    <t>FY 13</t>
  </si>
  <si>
    <t>FY 14</t>
  </si>
  <si>
    <t>FY 15</t>
  </si>
  <si>
    <t>FY 16</t>
  </si>
  <si>
    <t>FY 17</t>
  </si>
  <si>
    <t>FY 18</t>
  </si>
  <si>
    <t>FY 21</t>
  </si>
  <si>
    <t>FY22</t>
  </si>
  <si>
    <t>FY23</t>
  </si>
  <si>
    <t>FY24</t>
  </si>
  <si>
    <t>FY25</t>
  </si>
  <si>
    <t>FY26</t>
  </si>
  <si>
    <t>FY27</t>
  </si>
  <si>
    <t>CPI</t>
  </si>
  <si>
    <t>Index</t>
  </si>
  <si>
    <t>WPI</t>
  </si>
  <si>
    <t>Source: Powerlink Transmission Determination Proposal</t>
  </si>
  <si>
    <t>Source: Energex Revenue Determination Proposal</t>
  </si>
  <si>
    <t>Group IT</t>
  </si>
  <si>
    <t>SFY 22</t>
  </si>
  <si>
    <t>Debt Raising Costs</t>
  </si>
  <si>
    <t>$</t>
  </si>
  <si>
    <t>FY21</t>
  </si>
  <si>
    <t>Calculating Base Opex</t>
  </si>
  <si>
    <t>Base Year Operating expenditure in RIN</t>
  </si>
  <si>
    <t>Operating Expenditure Financial Year 2020</t>
  </si>
  <si>
    <t>Removal of reported items subject to different calculation</t>
  </si>
  <si>
    <t>Subtotal</t>
  </si>
  <si>
    <t>Separation into categories relevant for forecasting</t>
  </si>
  <si>
    <t>Labour related</t>
  </si>
  <si>
    <t>Labour Costs</t>
  </si>
  <si>
    <t>Controllable</t>
  </si>
  <si>
    <t>Controllable Costs</t>
  </si>
  <si>
    <t>Uncontrollable</t>
  </si>
  <si>
    <t>Uncontrollable Costs</t>
  </si>
  <si>
    <t>Adjustment for PTRM $</t>
  </si>
  <si>
    <t>Adjustment Factor</t>
  </si>
  <si>
    <t>WPI Dec 2020</t>
  </si>
  <si>
    <t>CPI Dec 2020</t>
  </si>
  <si>
    <t>$2021</t>
  </si>
  <si>
    <t>WPI Forecast</t>
  </si>
  <si>
    <t>CPI Forecast</t>
  </si>
  <si>
    <t>$2022</t>
  </si>
  <si>
    <t>Forecast</t>
  </si>
  <si>
    <t>Forecast WPI</t>
  </si>
  <si>
    <t>Step Changes</t>
  </si>
  <si>
    <t>Separate Line item forecast</t>
  </si>
  <si>
    <t>None</t>
  </si>
  <si>
    <t>FY19</t>
  </si>
  <si>
    <t>Check</t>
  </si>
  <si>
    <t>PTRM input</t>
  </si>
  <si>
    <t>Cost</t>
  </si>
  <si>
    <t>Graphs</t>
  </si>
  <si>
    <t>By cost type</t>
  </si>
  <si>
    <t>RIN Outputs</t>
  </si>
  <si>
    <t>Price Growth</t>
  </si>
  <si>
    <t>Base Opex</t>
  </si>
  <si>
    <t>Step Change</t>
  </si>
  <si>
    <t>In-house labour expenditure</t>
  </si>
  <si>
    <t>Labour expenditure outsourced to related parties</t>
  </si>
  <si>
    <t>Labour expenditure outsourced to unrelated parties</t>
  </si>
  <si>
    <t>Non-labour expenditure</t>
  </si>
  <si>
    <t>Corporate</t>
  </si>
  <si>
    <t>Ratios</t>
  </si>
  <si>
    <t>Group IT Proposal vs Revised Proposal</t>
  </si>
  <si>
    <t>Group IT Opex</t>
  </si>
  <si>
    <t>Revised Proposal</t>
  </si>
  <si>
    <t>Draft Determination</t>
  </si>
  <si>
    <t>GRID customer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</si>
</sst>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_-;\-* #,##0.00_-;_-* &quot;-&quot;_-;_-@_-"/>
    <numFmt numFmtId="167" formatCode="_(* #,##0.00_);_(\-* #,##0.00_);_(* &quot;-&quot;??_);_(@_)"/>
    <numFmt numFmtId="168" formatCode="_-* #,##0.0_-;\-* #,##0.0_-;_-* &quot;-&quot;??_-;_-@_-"/>
    <numFmt numFmtId="169" formatCode="_(* #,##0_);_(* \(#,##0\);_(* &quot;-&quot;??_);_(@_)"/>
    <numFmt numFmtId="170" formatCode="0.0"/>
  </numFmts>
  <fonts count="20" x14ac:knownFonts="1">
    <font>
      <sz val="8"/>
      <color theme="1"/>
      <name val="Calibri"/>
      <family val="2"/>
      <scheme val="minor"/>
    </font>
    <font>
      <sz val="8"/>
      <color rgb="FFC00000"/>
      <name val="Century Gothic"/>
      <family val="2"/>
    </font>
    <font>
      <sz val="8"/>
      <color theme="1" tint="0.34998626667073579"/>
      <name val="Century Gothic"/>
      <family val="2"/>
    </font>
    <font>
      <sz val="8"/>
      <color theme="1" tint="0.24994659260841701"/>
      <name val="Calibri"/>
      <family val="2"/>
      <scheme val="minor"/>
    </font>
    <font>
      <sz val="8"/>
      <color theme="1" tint="0.24994659260841701"/>
      <name val="Century Gothic"/>
      <family val="2"/>
    </font>
    <font>
      <b/>
      <sz val="8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6100"/>
      <name val="Century Gothic"/>
      <family val="2"/>
    </font>
    <font>
      <b/>
      <i/>
      <sz val="18"/>
      <color rgb="FFC00000"/>
      <name val="Century Gothic"/>
      <family val="2"/>
    </font>
    <font>
      <b/>
      <sz val="15"/>
      <color theme="1" tint="0.24994659260841701"/>
      <name val="Century Gothic"/>
      <family val="2"/>
    </font>
    <font>
      <b/>
      <sz val="8"/>
      <color theme="1" tint="0.24994659260841701"/>
      <name val="Century Gothic"/>
      <family val="2"/>
    </font>
    <font>
      <b/>
      <sz val="10"/>
      <color theme="1" tint="0.2499465926084170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9C0006"/>
      <name val="Century Gothic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color rgb="FFC8102E"/>
      <name val="Century Gothic"/>
      <family val="2"/>
    </font>
    <font>
      <sz val="9"/>
      <color rgb="FF005567"/>
      <name val="Century Gothic"/>
      <family val="2"/>
    </font>
    <font>
      <b/>
      <sz val="9"/>
      <color rgb="FF005567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EBE9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ck">
        <color rgb="FFC00000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ck">
        <color theme="1" tint="0.24994659260841701"/>
      </bottom>
      <diagonal/>
    </border>
    <border>
      <left style="medium">
        <color rgb="FFC8102E"/>
      </left>
      <right style="medium">
        <color rgb="FFC8102E"/>
      </right>
      <top style="medium">
        <color rgb="FFC8102E"/>
      </top>
      <bottom style="medium">
        <color rgb="FFC8102E"/>
      </bottom>
      <diagonal/>
    </border>
    <border>
      <left/>
      <right style="medium">
        <color rgb="FFC8102E"/>
      </right>
      <top style="medium">
        <color rgb="FFC8102E"/>
      </top>
      <bottom style="medium">
        <color rgb="FFC8102E"/>
      </bottom>
      <diagonal/>
    </border>
    <border>
      <left style="medium">
        <color rgb="FF005567"/>
      </left>
      <right style="medium">
        <color rgb="FF005567"/>
      </right>
      <top/>
      <bottom style="medium">
        <color rgb="FF005567"/>
      </bottom>
      <diagonal/>
    </border>
    <border>
      <left/>
      <right style="medium">
        <color rgb="FF005567"/>
      </right>
      <top/>
      <bottom style="medium">
        <color rgb="FF005567"/>
      </bottom>
      <diagonal/>
    </border>
  </borders>
  <cellStyleXfs count="16">
    <xf numFmtId="0" fontId="0" fillId="4" borderId="0"/>
    <xf numFmtId="0" fontId="11" fillId="0" borderId="6" applyNumberFormat="0" applyFill="0" applyAlignment="0" applyProtection="0"/>
    <xf numFmtId="0" fontId="2" fillId="0" borderId="1" applyNumberFormat="0" applyAlignment="0" applyProtection="0"/>
    <xf numFmtId="0" fontId="1" fillId="3" borderId="2" applyNumberFormat="0" applyAlignment="0" applyProtection="0"/>
    <xf numFmtId="0" fontId="4" fillId="3" borderId="3" applyNumberFormat="0" applyAlignment="0" applyProtection="0"/>
    <xf numFmtId="0" fontId="10" fillId="0" borderId="5" applyNumberFormat="0" applyFill="0" applyAlignment="0" applyProtection="0"/>
    <xf numFmtId="0" fontId="5" fillId="2" borderId="2" applyNumberFormat="0" applyAlignment="0" applyProtection="0"/>
    <xf numFmtId="41" fontId="4" fillId="3" borderId="2" applyAlignment="0" applyProtection="0"/>
    <xf numFmtId="41" fontId="2" fillId="0" borderId="1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4" fillId="6" borderId="0" applyNumberFormat="0" applyBorder="0" applyAlignment="0" applyProtection="0"/>
    <xf numFmtId="41" fontId="4" fillId="3" borderId="3" applyAlignment="0" applyProtection="0"/>
    <xf numFmtId="0" fontId="7" fillId="5" borderId="0" applyBorder="0" applyAlignment="0" applyProtection="0"/>
  </cellStyleXfs>
  <cellXfs count="53">
    <xf numFmtId="0" fontId="0" fillId="4" borderId="0" xfId="0"/>
    <xf numFmtId="0" fontId="2" fillId="0" borderId="1" xfId="2"/>
    <xf numFmtId="0" fontId="11" fillId="0" borderId="6" xfId="1" applyFill="1"/>
    <xf numFmtId="0" fontId="4" fillId="3" borderId="3" xfId="4"/>
    <xf numFmtId="0" fontId="10" fillId="0" borderId="5" xfId="5"/>
    <xf numFmtId="41" fontId="4" fillId="3" borderId="2" xfId="7"/>
    <xf numFmtId="41" fontId="2" fillId="0" borderId="1" xfId="8"/>
    <xf numFmtId="0" fontId="10" fillId="4" borderId="5" xfId="5" applyFill="1"/>
    <xf numFmtId="10" fontId="2" fillId="0" borderId="1" xfId="2" applyNumberFormat="1"/>
    <xf numFmtId="166" fontId="4" fillId="3" borderId="2" xfId="7" applyNumberFormat="1"/>
    <xf numFmtId="14" fontId="0" fillId="4" borderId="0" xfId="0" applyNumberFormat="1"/>
    <xf numFmtId="41" fontId="4" fillId="3" borderId="3" xfId="4" applyNumberFormat="1"/>
    <xf numFmtId="10" fontId="3" fillId="3" borderId="3" xfId="9" applyNumberFormat="1" applyFont="1" applyFill="1" applyBorder="1"/>
    <xf numFmtId="0" fontId="10" fillId="0" borderId="5" xfId="5" applyFill="1"/>
    <xf numFmtId="41" fontId="4" fillId="3" borderId="3" xfId="14"/>
    <xf numFmtId="41" fontId="0" fillId="4" borderId="0" xfId="0" applyNumberFormat="1"/>
    <xf numFmtId="10" fontId="4" fillId="3" borderId="3" xfId="9" applyNumberFormat="1" applyFont="1" applyFill="1" applyBorder="1"/>
    <xf numFmtId="0" fontId="7" fillId="5" borderId="0" xfId="15"/>
    <xf numFmtId="165" fontId="7" fillId="5" borderId="0" xfId="10" applyNumberFormat="1" applyFont="1" applyFill="1"/>
    <xf numFmtId="0" fontId="7" fillId="5" borderId="0" xfId="15" applyBorder="1"/>
    <xf numFmtId="0" fontId="11" fillId="4" borderId="6" xfId="1" applyFill="1"/>
    <xf numFmtId="0" fontId="9" fillId="4" borderId="4" xfId="12" applyFill="1"/>
    <xf numFmtId="41" fontId="1" fillId="3" borderId="2" xfId="3" applyNumberFormat="1"/>
    <xf numFmtId="41" fontId="7" fillId="5" borderId="0" xfId="15" applyNumberFormat="1"/>
    <xf numFmtId="0" fontId="8" fillId="4" borderId="0" xfId="11" applyFill="1"/>
    <xf numFmtId="9" fontId="1" fillId="3" borderId="2" xfId="9" applyFont="1" applyFill="1" applyBorder="1"/>
    <xf numFmtId="0" fontId="1" fillId="3" borderId="2" xfId="3"/>
    <xf numFmtId="41" fontId="2" fillId="0" borderId="1" xfId="2" quotePrefix="1" applyNumberFormat="1"/>
    <xf numFmtId="6" fontId="2" fillId="0" borderId="1" xfId="2" quotePrefix="1" applyNumberFormat="1"/>
    <xf numFmtId="10" fontId="4" fillId="3" borderId="2" xfId="7" applyNumberFormat="1"/>
    <xf numFmtId="0" fontId="15" fillId="7" borderId="0" xfId="0" applyFont="1" applyFill="1" applyAlignment="1">
      <alignment vertical="center"/>
    </xf>
    <xf numFmtId="0" fontId="0" fillId="7" borderId="0" xfId="0" applyFill="1"/>
    <xf numFmtId="167" fontId="5" fillId="2" borderId="2" xfId="6" applyNumberFormat="1" applyAlignment="1">
      <alignment horizontal="right"/>
    </xf>
    <xf numFmtId="164" fontId="5" fillId="2" borderId="2" xfId="6" applyNumberFormat="1"/>
    <xf numFmtId="167" fontId="5" fillId="2" borderId="2" xfId="6" applyNumberFormat="1"/>
    <xf numFmtId="165" fontId="1" fillId="3" borderId="2" xfId="3" applyNumberFormat="1"/>
    <xf numFmtId="43" fontId="9" fillId="4" borderId="4" xfId="12" applyNumberFormat="1" applyFill="1"/>
    <xf numFmtId="168" fontId="9" fillId="4" borderId="4" xfId="12" applyNumberFormat="1" applyFill="1"/>
    <xf numFmtId="169" fontId="5" fillId="2" borderId="2" xfId="6" applyNumberFormat="1" applyAlignment="1"/>
    <xf numFmtId="9" fontId="0" fillId="4" borderId="0" xfId="9" applyFont="1" applyFill="1"/>
    <xf numFmtId="165" fontId="2" fillId="0" borderId="1" xfId="2" applyNumberFormat="1"/>
    <xf numFmtId="41" fontId="4" fillId="8" borderId="3" xfId="14" applyFill="1"/>
    <xf numFmtId="0" fontId="10" fillId="8" borderId="5" xfId="5" applyFill="1"/>
    <xf numFmtId="164" fontId="1" fillId="3" borderId="2" xfId="3" applyNumberFormat="1"/>
    <xf numFmtId="43" fontId="1" fillId="3" borderId="2" xfId="3" applyNumberFormat="1"/>
    <xf numFmtId="169" fontId="1" fillId="3" borderId="2" xfId="3" applyNumberFormat="1"/>
    <xf numFmtId="0" fontId="17" fillId="9" borderId="7" xfId="0" applyFont="1" applyFill="1" applyBorder="1" applyAlignment="1">
      <alignment vertical="center"/>
    </xf>
    <xf numFmtId="0" fontId="17" fillId="9" borderId="8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vertical="center"/>
    </xf>
    <xf numFmtId="170" fontId="18" fillId="9" borderId="10" xfId="0" applyNumberFormat="1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vertical="center"/>
    </xf>
    <xf numFmtId="170" fontId="19" fillId="9" borderId="10" xfId="0" applyNumberFormat="1" applyFont="1" applyFill="1" applyBorder="1" applyAlignment="1">
      <alignment horizontal="center" vertical="center"/>
    </xf>
    <xf numFmtId="164" fontId="5" fillId="2" borderId="2" xfId="6" applyNumberFormat="1" applyAlignment="1">
      <alignment horizontal="center"/>
    </xf>
  </cellXfs>
  <cellStyles count="16">
    <cellStyle name="Bad" xfId="13" builtinId="27" customBuiltin="1"/>
    <cellStyle name="Calculation" xfId="3" builtinId="22" customBuiltin="1"/>
    <cellStyle name="Calculation #" xfId="7" xr:uid="{00000000-0005-0000-0000-000002000000}"/>
    <cellStyle name="Checkcell" xfId="15" xr:uid="{00000000-0005-0000-0000-000003000000}"/>
    <cellStyle name="Comma" xfId="10" builtinId="3"/>
    <cellStyle name="Heading 1" xfId="12" builtinId="16" customBuiltin="1"/>
    <cellStyle name="Heading 2" xfId="1" builtinId="17" customBuiltin="1"/>
    <cellStyle name="Heading 3" xfId="5" builtinId="18" customBuiltin="1"/>
    <cellStyle name="Input" xfId="2" builtinId="20" customBuiltin="1"/>
    <cellStyle name="Input #" xfId="8" xr:uid="{00000000-0005-0000-0000-000009000000}"/>
    <cellStyle name="Linked Cell" xfId="4" builtinId="24" customBuiltin="1"/>
    <cellStyle name="Linked Cell #" xfId="14" xr:uid="{00000000-0005-0000-0000-00000B000000}"/>
    <cellStyle name="Normal" xfId="0" builtinId="0" customBuiltin="1"/>
    <cellStyle name="Output" xfId="6" builtinId="21" customBuiltin="1"/>
    <cellStyle name="Percent" xfId="9" builtinId="5"/>
    <cellStyle name="Title" xfId="1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FY 27 Opex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1-4D1F-8B56-A30C08B65E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D1-4D1F-8B56-A30C08B65E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25-43D3-BAD9-F88DE2DA84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25-43D3-BAD9-F88DE2DA84E0}"/>
              </c:ext>
            </c:extLst>
          </c:dPt>
          <c:cat>
            <c:strRef>
              <c:f>Output!$J$15:$J$18</c:f>
              <c:strCache>
                <c:ptCount val="4"/>
                <c:pt idx="0">
                  <c:v> Controllable Costs </c:v>
                </c:pt>
                <c:pt idx="1">
                  <c:v> Uncontrollable Costs </c:v>
                </c:pt>
                <c:pt idx="2">
                  <c:v> GRID customer services </c:v>
                </c:pt>
                <c:pt idx="3">
                  <c:v> Debt Raising Costs </c:v>
                </c:pt>
              </c:strCache>
            </c:strRef>
          </c:cat>
          <c:val>
            <c:numRef>
              <c:f>Output!$K$15:$K$18</c:f>
              <c:numCache>
                <c:formatCode>_(* #,##0.00_);_(\-* #,##0.00_);_(* "-"??_);_(@_)</c:formatCode>
                <c:ptCount val="4"/>
                <c:pt idx="0">
                  <c:v>97.535965888241947</c:v>
                </c:pt>
                <c:pt idx="1">
                  <c:v>4.6860994072898796</c:v>
                </c:pt>
                <c:pt idx="2">
                  <c:v>0</c:v>
                </c:pt>
                <c:pt idx="3">
                  <c:v>1.3672996451354633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BA9-B870-61210B700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Activity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Calculation!$B$90</c:f>
              <c:strCache>
                <c:ptCount val="1"/>
                <c:pt idx="0">
                  <c:v>Controllable Costs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6-43AA-955C-17831B25F069}"/>
              </c:ext>
            </c:extLst>
          </c:dPt>
          <c:cat>
            <c:strRef>
              <c:f>Calculation!$F$3:$K$3</c:f>
              <c:strCache>
                <c:ptCount val="6"/>
                <c:pt idx="0">
                  <c:v>FY22</c:v>
                </c:pt>
                <c:pt idx="1">
                  <c:v>FY23</c:v>
                </c:pt>
                <c:pt idx="2">
                  <c:v>FY24</c:v>
                </c:pt>
                <c:pt idx="3">
                  <c:v>FY25</c:v>
                </c:pt>
                <c:pt idx="4">
                  <c:v>FY26</c:v>
                </c:pt>
                <c:pt idx="5">
                  <c:v>FY27</c:v>
                </c:pt>
              </c:strCache>
            </c:strRef>
          </c:cat>
          <c:val>
            <c:numRef>
              <c:f>Calculation!$F$90:$K$90</c:f>
              <c:numCache>
                <c:formatCode>_(* #,##0_);_(* \(#,##0\);_(* "-"_);_(@_)</c:formatCode>
                <c:ptCount val="6"/>
                <c:pt idx="0">
                  <c:v>19285113.933278862</c:v>
                </c:pt>
                <c:pt idx="1">
                  <c:v>19635815.942484122</c:v>
                </c:pt>
                <c:pt idx="2">
                  <c:v>20050184.945305478</c:v>
                </c:pt>
                <c:pt idx="3">
                  <c:v>19409094.343406521</c:v>
                </c:pt>
                <c:pt idx="4">
                  <c:v>19182024.061187599</c:v>
                </c:pt>
                <c:pt idx="5">
                  <c:v>19258846.595858213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6-43AA-955C-17831B25F069}"/>
            </c:ext>
          </c:extLst>
        </c:ser>
        <c:ser>
          <c:idx val="1"/>
          <c:order val="1"/>
          <c:tx>
            <c:strRef>
              <c:f>Calculation!$B$91</c:f>
              <c:strCache>
                <c:ptCount val="1"/>
                <c:pt idx="0">
                  <c:v>Uncontrollable Costs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Calculation!$F$3:$K$3</c:f>
              <c:strCache>
                <c:ptCount val="6"/>
                <c:pt idx="0">
                  <c:v>FY22</c:v>
                </c:pt>
                <c:pt idx="1">
                  <c:v>FY23</c:v>
                </c:pt>
                <c:pt idx="2">
                  <c:v>FY24</c:v>
                </c:pt>
                <c:pt idx="3">
                  <c:v>FY25</c:v>
                </c:pt>
                <c:pt idx="4">
                  <c:v>FY26</c:v>
                </c:pt>
                <c:pt idx="5">
                  <c:v>FY27</c:v>
                </c:pt>
              </c:strCache>
            </c:strRef>
          </c:cat>
          <c:val>
            <c:numRef>
              <c:f>Calculation!$F$91:$K$91</c:f>
              <c:numCache>
                <c:formatCode>_(* #,##0_);_(* \(#,##0\);_(* "-"_);_(@_)</c:formatCode>
                <c:ptCount val="6"/>
                <c:pt idx="0">
                  <c:v>937219.88145797583</c:v>
                </c:pt>
                <c:pt idx="1">
                  <c:v>937219.88145797583</c:v>
                </c:pt>
                <c:pt idx="2">
                  <c:v>937219.88145797583</c:v>
                </c:pt>
                <c:pt idx="3">
                  <c:v>937219.88145797583</c:v>
                </c:pt>
                <c:pt idx="4">
                  <c:v>937219.88145797583</c:v>
                </c:pt>
                <c:pt idx="5">
                  <c:v>937219.88145797583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D0-4A11-A65B-331059BF2E6B}"/>
            </c:ext>
          </c:extLst>
        </c:ser>
        <c:ser>
          <c:idx val="2"/>
          <c:order val="2"/>
          <c:tx>
            <c:strRef>
              <c:f>Calculation!$B$93</c:f>
              <c:strCache>
                <c:ptCount val="1"/>
                <c:pt idx="0">
                  <c:v>Debt Raising Costs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Calculation!$F$3:$K$3</c:f>
              <c:strCache>
                <c:ptCount val="6"/>
                <c:pt idx="0">
                  <c:v>FY22</c:v>
                </c:pt>
                <c:pt idx="1">
                  <c:v>FY23</c:v>
                </c:pt>
                <c:pt idx="2">
                  <c:v>FY24</c:v>
                </c:pt>
                <c:pt idx="3">
                  <c:v>FY25</c:v>
                </c:pt>
                <c:pt idx="4">
                  <c:v>FY26</c:v>
                </c:pt>
                <c:pt idx="5">
                  <c:v>FY27</c:v>
                </c:pt>
              </c:strCache>
            </c:strRef>
          </c:cat>
          <c:val>
            <c:numRef>
              <c:f>Calculation!$F$93:$K$93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278030.43906396837</c:v>
                </c:pt>
                <c:pt idx="2">
                  <c:v>281000.34210679581</c:v>
                </c:pt>
                <c:pt idx="3">
                  <c:v>275997.83064184961</c:v>
                </c:pt>
                <c:pt idx="4">
                  <c:v>269814.94495346886</c:v>
                </c:pt>
                <c:pt idx="5">
                  <c:v>262456.08836938057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7F-4985-B288-0C0C9D67A2AB}"/>
            </c:ext>
          </c:extLst>
        </c:ser>
        <c:ser>
          <c:idx val="3"/>
          <c:order val="3"/>
          <c:tx>
            <c:strRef>
              <c:f>Calculation!$B$92</c:f>
              <c:strCache>
                <c:ptCount val="1"/>
                <c:pt idx="0">
                  <c:v>GRID customer services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Calculation!$F$3:$K$3</c:f>
              <c:strCache>
                <c:ptCount val="6"/>
                <c:pt idx="0">
                  <c:v>FY22</c:v>
                </c:pt>
                <c:pt idx="1">
                  <c:v>FY23</c:v>
                </c:pt>
                <c:pt idx="2">
                  <c:v>FY24</c:v>
                </c:pt>
                <c:pt idx="3">
                  <c:v>FY25</c:v>
                </c:pt>
                <c:pt idx="4">
                  <c:v>FY26</c:v>
                </c:pt>
                <c:pt idx="5">
                  <c:v>FY27</c:v>
                </c:pt>
              </c:strCache>
            </c:strRef>
          </c:cat>
          <c:val>
            <c:numRef>
              <c:f>Calculation!$F$92:$K$92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1-4B27-AAC6-EFC049359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3076896"/>
        <c:axId val="633072304"/>
      </c:barChart>
      <c:catAx>
        <c:axId val="6330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072304"/>
        <c:crosses val="autoZero"/>
        <c:auto val="1"/>
        <c:lblAlgn val="ctr"/>
        <c:lblOffset val="100"/>
        <c:noMultiLvlLbl val="0"/>
      </c:catAx>
      <c:valAx>
        <c:axId val="633072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0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7</xdr:row>
      <xdr:rowOff>95250</xdr:rowOff>
    </xdr:from>
    <xdr:to>
      <xdr:col>8</xdr:col>
      <xdr:colOff>371475</xdr:colOff>
      <xdr:row>22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7</xdr:row>
      <xdr:rowOff>38100</xdr:rowOff>
    </xdr:from>
    <xdr:to>
      <xdr:col>16</xdr:col>
      <xdr:colOff>371475</xdr:colOff>
      <xdr:row>21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workbookViewId="0">
      <selection activeCell="H57" sqref="H57"/>
    </sheetView>
  </sheetViews>
  <sheetFormatPr defaultRowHeight="11.25" x14ac:dyDescent="0.2"/>
  <cols>
    <col min="2" max="2" width="39" bestFit="1" customWidth="1"/>
    <col min="3" max="3" width="14" bestFit="1" customWidth="1"/>
    <col min="4" max="6" width="11.5" bestFit="1" customWidth="1"/>
    <col min="7" max="7" width="10.5" bestFit="1" customWidth="1"/>
    <col min="8" max="13" width="11.5" bestFit="1" customWidth="1"/>
  </cols>
  <sheetData>
    <row r="1" spans="1:3" ht="24" x14ac:dyDescent="0.35">
      <c r="A1" s="24" t="s">
        <v>0</v>
      </c>
    </row>
    <row r="2" spans="1:3" ht="24" x14ac:dyDescent="0.35">
      <c r="A2" s="24" t="s">
        <v>1</v>
      </c>
    </row>
    <row r="3" spans="1:3" ht="13.5" thickBot="1" x14ac:dyDescent="0.25">
      <c r="A3" s="20" t="s">
        <v>2</v>
      </c>
      <c r="B3" s="20" t="s">
        <v>3</v>
      </c>
    </row>
    <row r="4" spans="1:3" ht="14.25" thickTop="1" thickBot="1" x14ac:dyDescent="0.25">
      <c r="B4" s="20" t="s">
        <v>4</v>
      </c>
      <c r="C4" s="20" t="s">
        <v>5</v>
      </c>
    </row>
    <row r="5" spans="1:3" ht="12" thickTop="1" x14ac:dyDescent="0.2"/>
    <row r="6" spans="1:3" ht="14.25" thickBot="1" x14ac:dyDescent="0.35">
      <c r="B6" s="7" t="s">
        <v>6</v>
      </c>
      <c r="C6" s="14">
        <v>8506557</v>
      </c>
    </row>
    <row r="7" spans="1:3" ht="14.25" thickBot="1" x14ac:dyDescent="0.35">
      <c r="B7" s="7" t="s">
        <v>7</v>
      </c>
      <c r="C7" s="14">
        <v>1654972</v>
      </c>
    </row>
    <row r="8" spans="1:3" ht="14.25" thickBot="1" x14ac:dyDescent="0.35">
      <c r="B8" s="7" t="s">
        <v>8</v>
      </c>
      <c r="C8" s="14">
        <v>322775</v>
      </c>
    </row>
    <row r="9" spans="1:3" ht="14.25" thickBot="1" x14ac:dyDescent="0.35">
      <c r="B9" s="7" t="s">
        <v>9</v>
      </c>
      <c r="C9" s="14">
        <v>2284508</v>
      </c>
    </row>
    <row r="10" spans="1:3" ht="14.25" thickBot="1" x14ac:dyDescent="0.35">
      <c r="B10" s="7" t="s">
        <v>10</v>
      </c>
      <c r="C10" s="14">
        <v>336325</v>
      </c>
    </row>
    <row r="11" spans="1:3" ht="14.25" thickBot="1" x14ac:dyDescent="0.35">
      <c r="B11" s="7" t="s">
        <v>11</v>
      </c>
      <c r="C11" s="14">
        <v>576863</v>
      </c>
    </row>
    <row r="12" spans="1:3" ht="14.25" thickBot="1" x14ac:dyDescent="0.35">
      <c r="B12" s="7" t="s">
        <v>12</v>
      </c>
      <c r="C12" s="14">
        <v>262699</v>
      </c>
    </row>
    <row r="13" spans="1:3" ht="14.25" thickBot="1" x14ac:dyDescent="0.35">
      <c r="B13" s="7" t="s">
        <v>13</v>
      </c>
      <c r="C13" s="14">
        <v>132600</v>
      </c>
    </row>
    <row r="14" spans="1:3" ht="14.25" thickBot="1" x14ac:dyDescent="0.35">
      <c r="B14" s="7" t="s">
        <v>14</v>
      </c>
      <c r="C14" s="14">
        <v>990063.4273006093</v>
      </c>
    </row>
    <row r="15" spans="1:3" ht="14.25" thickBot="1" x14ac:dyDescent="0.35">
      <c r="B15" s="7" t="s">
        <v>15</v>
      </c>
      <c r="C15" s="14">
        <v>2269484.7532393974</v>
      </c>
    </row>
    <row r="16" spans="1:3" ht="14.25" thickBot="1" x14ac:dyDescent="0.35">
      <c r="B16" s="42" t="s">
        <v>16</v>
      </c>
      <c r="C16" s="41">
        <v>370046.04</v>
      </c>
    </row>
    <row r="17" spans="2:3" ht="14.25" thickBot="1" x14ac:dyDescent="0.35">
      <c r="B17" s="7" t="s">
        <v>17</v>
      </c>
      <c r="C17" s="14">
        <v>256561.29349019512</v>
      </c>
    </row>
    <row r="18" spans="2:3" ht="14.25" thickBot="1" x14ac:dyDescent="0.35">
      <c r="B18" s="7" t="s">
        <v>18</v>
      </c>
      <c r="C18" s="5">
        <v>17963454.514030199</v>
      </c>
    </row>
    <row r="20" spans="2:3" x14ac:dyDescent="0.2">
      <c r="B20" s="17" t="s">
        <v>19</v>
      </c>
      <c r="C20" s="18">
        <v>17963454.514030199</v>
      </c>
    </row>
    <row r="21" spans="2:3" x14ac:dyDescent="0.2">
      <c r="B21" s="19" t="s">
        <v>20</v>
      </c>
      <c r="C21" s="17">
        <f>C18-C20</f>
        <v>0</v>
      </c>
    </row>
    <row r="23" spans="2:3" ht="13.5" thickBot="1" x14ac:dyDescent="0.25">
      <c r="B23" s="20" t="s">
        <v>21</v>
      </c>
      <c r="C23" s="20" t="s">
        <v>5</v>
      </c>
    </row>
    <row r="24" spans="2:3" ht="12" thickTop="1" x14ac:dyDescent="0.2"/>
    <row r="26" spans="2:3" ht="14.25" thickBot="1" x14ac:dyDescent="0.35">
      <c r="B26" s="4" t="s">
        <v>6</v>
      </c>
      <c r="C26" s="14">
        <v>8506557</v>
      </c>
    </row>
    <row r="27" spans="2:3" ht="14.25" thickBot="1" x14ac:dyDescent="0.35">
      <c r="B27" s="7" t="s">
        <v>7</v>
      </c>
      <c r="C27" s="14">
        <v>1654972</v>
      </c>
    </row>
    <row r="28" spans="2:3" ht="14.25" thickBot="1" x14ac:dyDescent="0.35">
      <c r="B28" s="7" t="s">
        <v>8</v>
      </c>
      <c r="C28" s="14">
        <v>322775</v>
      </c>
    </row>
    <row r="29" spans="2:3" ht="14.25" thickBot="1" x14ac:dyDescent="0.35">
      <c r="B29" s="7" t="s">
        <v>9</v>
      </c>
      <c r="C29" s="14">
        <v>2284508</v>
      </c>
    </row>
    <row r="30" spans="2:3" ht="14.25" thickBot="1" x14ac:dyDescent="0.35">
      <c r="B30" s="7" t="s">
        <v>10</v>
      </c>
      <c r="C30" s="14">
        <v>336325</v>
      </c>
    </row>
    <row r="31" spans="2:3" ht="14.25" thickBot="1" x14ac:dyDescent="0.35">
      <c r="B31" s="7" t="s">
        <v>11</v>
      </c>
      <c r="C31" s="14">
        <v>576863</v>
      </c>
    </row>
    <row r="32" spans="2:3" ht="14.25" thickBot="1" x14ac:dyDescent="0.35">
      <c r="B32" s="7" t="s">
        <v>12</v>
      </c>
      <c r="C32" s="14">
        <v>262699</v>
      </c>
    </row>
    <row r="33" spans="2:3" ht="13.5" x14ac:dyDescent="0.3">
      <c r="B33" s="7" t="s">
        <v>13</v>
      </c>
      <c r="C33" s="14">
        <v>132600</v>
      </c>
    </row>
    <row r="34" spans="2:3" ht="13.5" x14ac:dyDescent="0.3">
      <c r="B34" s="42" t="s">
        <v>16</v>
      </c>
      <c r="C34" s="41">
        <v>370046.04</v>
      </c>
    </row>
    <row r="35" spans="2:3" ht="13.5" x14ac:dyDescent="0.3">
      <c r="B35" s="7" t="s">
        <v>14</v>
      </c>
      <c r="C35" s="14">
        <v>990063.4273006093</v>
      </c>
    </row>
    <row r="36" spans="2:3" ht="14.25" thickBot="1" x14ac:dyDescent="0.35">
      <c r="B36" s="7" t="s">
        <v>15</v>
      </c>
      <c r="C36" s="14">
        <v>2269484.7532394002</v>
      </c>
    </row>
    <row r="38" spans="2:3" ht="13.5" x14ac:dyDescent="0.3">
      <c r="B38" t="s">
        <v>22</v>
      </c>
      <c r="C38" s="5">
        <v>17336847.180540007</v>
      </c>
    </row>
    <row r="40" spans="2:3" ht="14.25" thickBot="1" x14ac:dyDescent="0.35">
      <c r="B40" s="7" t="s">
        <v>23</v>
      </c>
      <c r="C40" s="41"/>
    </row>
    <row r="41" spans="2:3" ht="14.25" thickBot="1" x14ac:dyDescent="0.35">
      <c r="B41" s="7" t="s">
        <v>17</v>
      </c>
      <c r="C41" s="14">
        <v>256561.29349019512</v>
      </c>
    </row>
    <row r="43" spans="2:3" ht="13.5" x14ac:dyDescent="0.3">
      <c r="B43" t="s">
        <v>18</v>
      </c>
      <c r="C43" s="5">
        <v>626607.3334901951</v>
      </c>
    </row>
    <row r="45" spans="2:3" x14ac:dyDescent="0.2">
      <c r="B45" s="17" t="str">
        <f>B18</f>
        <v>Total</v>
      </c>
      <c r="C45" s="18">
        <f>C18</f>
        <v>17963454.514030199</v>
      </c>
    </row>
    <row r="46" spans="2:3" x14ac:dyDescent="0.2">
      <c r="B46" s="19" t="s">
        <v>20</v>
      </c>
      <c r="C46" s="23">
        <f>C18-C38-C43</f>
        <v>-2.2118911147117615E-9</v>
      </c>
    </row>
    <row r="49" spans="2:4" ht="13.5" thickBot="1" x14ac:dyDescent="0.25">
      <c r="B49" s="20" t="s">
        <v>24</v>
      </c>
      <c r="C49" s="20" t="s">
        <v>25</v>
      </c>
      <c r="D49" s="20" t="s">
        <v>26</v>
      </c>
    </row>
    <row r="50" spans="2:4" ht="14.25" thickTop="1" x14ac:dyDescent="0.3">
      <c r="B50" s="1" t="s">
        <v>27</v>
      </c>
      <c r="C50" s="40">
        <v>12052736.809999997</v>
      </c>
      <c r="D50" s="40">
        <v>1938147</v>
      </c>
    </row>
    <row r="51" spans="2:4" ht="13.5" x14ac:dyDescent="0.3">
      <c r="B51" s="1" t="s">
        <v>28</v>
      </c>
      <c r="C51" s="40"/>
      <c r="D51" s="40">
        <v>9496620.4273006096</v>
      </c>
    </row>
    <row r="52" spans="2:4" ht="13.5" x14ac:dyDescent="0.3">
      <c r="B52" s="1" t="s">
        <v>29</v>
      </c>
      <c r="C52" s="40"/>
      <c r="D52" s="40">
        <v>336325</v>
      </c>
    </row>
    <row r="53" spans="2:4" ht="13.5" x14ac:dyDescent="0.3">
      <c r="B53" s="1" t="s">
        <v>30</v>
      </c>
      <c r="C53" s="40"/>
      <c r="D53" s="40">
        <v>576863</v>
      </c>
    </row>
    <row r="54" spans="2:4" ht="13.5" x14ac:dyDescent="0.3">
      <c r="B54" s="1" t="s">
        <v>31</v>
      </c>
      <c r="C54" s="40"/>
      <c r="D54" s="40">
        <v>348877.04</v>
      </c>
    </row>
    <row r="55" spans="2:4" ht="13.5" x14ac:dyDescent="0.3">
      <c r="B55" s="1" t="s">
        <v>32</v>
      </c>
      <c r="C55" s="40"/>
      <c r="D55" s="40">
        <v>0</v>
      </c>
    </row>
    <row r="56" spans="2:4" ht="13.5" x14ac:dyDescent="0.3">
      <c r="B56" s="1" t="s">
        <v>33</v>
      </c>
      <c r="C56" s="40">
        <v>4871175.6881844206</v>
      </c>
      <c r="D56" s="40">
        <v>5010060.753239397</v>
      </c>
    </row>
    <row r="57" spans="2:4" ht="13.5" x14ac:dyDescent="0.3">
      <c r="B57" s="1" t="s">
        <v>34</v>
      </c>
      <c r="C57" s="40">
        <v>251086.76990414289</v>
      </c>
      <c r="D57" s="40">
        <v>256561.29349019512</v>
      </c>
    </row>
    <row r="58" spans="2:4" ht="13.5" x14ac:dyDescent="0.3">
      <c r="B58" s="1" t="s">
        <v>35</v>
      </c>
      <c r="C58" s="40">
        <v>0</v>
      </c>
      <c r="D58" s="40">
        <v>0</v>
      </c>
    </row>
    <row r="59" spans="2:4" ht="13.5" x14ac:dyDescent="0.3">
      <c r="B59" s="26" t="s">
        <v>18</v>
      </c>
      <c r="C59" s="35">
        <v>17174999.268088561</v>
      </c>
      <c r="D59" s="35">
        <v>17963454.514030199</v>
      </c>
    </row>
  </sheetData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workbookViewId="0">
      <selection activeCell="P23" sqref="P23"/>
    </sheetView>
  </sheetViews>
  <sheetFormatPr defaultRowHeight="11.25" x14ac:dyDescent="0.2"/>
  <cols>
    <col min="9" max="9" width="10.5" bestFit="1" customWidth="1"/>
    <col min="15" max="15" width="10.1640625" bestFit="1" customWidth="1"/>
    <col min="16" max="16" width="11.1640625" bestFit="1" customWidth="1"/>
    <col min="17" max="20" width="10.5" bestFit="1" customWidth="1"/>
  </cols>
  <sheetData>
    <row r="1" spans="1:20" ht="24" x14ac:dyDescent="0.35">
      <c r="A1" s="24" t="s">
        <v>0</v>
      </c>
    </row>
    <row r="2" spans="1:20" ht="24" x14ac:dyDescent="0.35">
      <c r="A2" s="24" t="s">
        <v>1</v>
      </c>
    </row>
    <row r="3" spans="1:20" ht="13.5" thickBot="1" x14ac:dyDescent="0.25">
      <c r="A3" s="20" t="s">
        <v>2</v>
      </c>
      <c r="B3" s="20" t="s">
        <v>36</v>
      </c>
    </row>
    <row r="4" spans="1:20" ht="12" thickTop="1" x14ac:dyDescent="0.2"/>
    <row r="6" spans="1:20" x14ac:dyDescent="0.2">
      <c r="D6" t="s">
        <v>37</v>
      </c>
      <c r="E6" t="s">
        <v>38</v>
      </c>
      <c r="F6" t="s">
        <v>39</v>
      </c>
      <c r="G6" t="s">
        <v>40</v>
      </c>
      <c r="H6" t="s">
        <v>41</v>
      </c>
      <c r="I6" t="s">
        <v>42</v>
      </c>
      <c r="J6" t="s">
        <v>43</v>
      </c>
      <c r="K6" t="s">
        <v>44</v>
      </c>
      <c r="L6" t="s">
        <v>25</v>
      </c>
      <c r="M6" t="s">
        <v>26</v>
      </c>
      <c r="N6" t="s">
        <v>45</v>
      </c>
      <c r="O6" t="s">
        <v>46</v>
      </c>
      <c r="P6" t="s">
        <v>47</v>
      </c>
      <c r="Q6" t="s">
        <v>48</v>
      </c>
      <c r="R6" t="s">
        <v>49</v>
      </c>
      <c r="S6" t="s">
        <v>50</v>
      </c>
      <c r="T6" t="s">
        <v>51</v>
      </c>
    </row>
    <row r="7" spans="1:20" x14ac:dyDescent="0.2">
      <c r="D7" s="10">
        <v>40603</v>
      </c>
      <c r="E7" s="10">
        <v>40969</v>
      </c>
      <c r="F7" s="10">
        <v>41334</v>
      </c>
      <c r="G7" s="10">
        <v>41699</v>
      </c>
      <c r="H7" s="10">
        <v>42064</v>
      </c>
      <c r="I7" s="10">
        <v>42430</v>
      </c>
      <c r="J7" s="10">
        <v>42795</v>
      </c>
      <c r="K7" s="10">
        <v>43160</v>
      </c>
      <c r="L7" s="10">
        <v>43525</v>
      </c>
      <c r="M7" s="10">
        <v>43891</v>
      </c>
      <c r="N7" s="10">
        <v>44256</v>
      </c>
      <c r="O7" s="10">
        <v>44621</v>
      </c>
      <c r="P7" s="10">
        <v>44986</v>
      </c>
      <c r="Q7" s="10">
        <v>45352</v>
      </c>
      <c r="R7" s="10">
        <v>45717</v>
      </c>
      <c r="S7" s="10">
        <v>46082</v>
      </c>
      <c r="T7" s="10">
        <v>46447</v>
      </c>
    </row>
    <row r="8" spans="1:20" ht="13.5" x14ac:dyDescent="0.3">
      <c r="B8" t="s">
        <v>52</v>
      </c>
      <c r="D8" s="12">
        <v>3.2563025210083918E-2</v>
      </c>
      <c r="E8" s="12">
        <v>1.6276703967446737E-2</v>
      </c>
      <c r="F8" s="12">
        <v>2.5025025025025016E-2</v>
      </c>
      <c r="G8" s="12">
        <v>2.9296875E-2</v>
      </c>
      <c r="H8" s="12">
        <v>1.3282732447817747E-2</v>
      </c>
      <c r="I8" s="12">
        <v>1.3108614232209881E-2</v>
      </c>
      <c r="J8" s="12">
        <v>2.1256931608133023E-2</v>
      </c>
      <c r="K8" s="12">
        <v>1.9004524886877761E-2</v>
      </c>
      <c r="L8" s="12">
        <v>1.3321492007104752E-2</v>
      </c>
      <c r="M8" s="12">
        <v>2.1910604732690686E-2</v>
      </c>
      <c r="N8" s="12">
        <v>1.1149228130360234E-2</v>
      </c>
      <c r="O8" s="8">
        <v>1.4999999999999902E-2</v>
      </c>
      <c r="P8" s="8">
        <v>2.2498471879899951E-2</v>
      </c>
      <c r="Q8" s="8">
        <v>2.2498471879899951E-2</v>
      </c>
      <c r="R8" s="8">
        <v>2.2498471879899951E-2</v>
      </c>
      <c r="S8" s="8">
        <v>2.2498471879899951E-2</v>
      </c>
      <c r="T8" s="8">
        <v>2.2498471879899951E-2</v>
      </c>
    </row>
    <row r="10" spans="1:20" ht="13.5" x14ac:dyDescent="0.3">
      <c r="B10" t="s">
        <v>53</v>
      </c>
      <c r="D10" s="9">
        <v>0.83375742154368104</v>
      </c>
      <c r="E10" s="9">
        <v>0.84732824427480924</v>
      </c>
      <c r="F10" s="9">
        <v>0.86853265479219688</v>
      </c>
      <c r="G10" s="9">
        <v>0.89397794741306202</v>
      </c>
      <c r="H10" s="9">
        <v>0.90585241730279897</v>
      </c>
      <c r="I10" s="9">
        <v>0.91772688719253614</v>
      </c>
      <c r="J10" s="9">
        <v>0.93723494486853265</v>
      </c>
      <c r="K10" s="9">
        <v>0.95504664970313824</v>
      </c>
      <c r="L10" s="9">
        <v>0.96776929601357076</v>
      </c>
      <c r="M10" s="9">
        <v>0.9889737065309584</v>
      </c>
      <c r="N10" s="6">
        <v>1</v>
      </c>
      <c r="O10" s="9">
        <v>1.0199938725048476</v>
      </c>
      <c r="P10" s="9">
        <v>1.0403874999474354</v>
      </c>
      <c r="Q10" s="9">
        <v>1.0611888749770215</v>
      </c>
      <c r="R10" s="9">
        <v>1.0824061500468747</v>
      </c>
      <c r="S10" s="9">
        <v>1.1040476406093749</v>
      </c>
      <c r="T10" s="9">
        <v>1.1261218283749965</v>
      </c>
    </row>
    <row r="11" spans="1:20" ht="13.5" x14ac:dyDescent="0.3">
      <c r="B11" t="s">
        <v>53</v>
      </c>
      <c r="D11" s="9">
        <v>0.81741414729892758</v>
      </c>
      <c r="E11" s="9">
        <v>0.83071895539331508</v>
      </c>
      <c r="F11" s="9">
        <v>0.85150771804079539</v>
      </c>
      <c r="G11" s="9">
        <v>0.87645423321777183</v>
      </c>
      <c r="H11" s="9">
        <v>0.88809594030036076</v>
      </c>
      <c r="I11" s="9">
        <v>0.89973764738294992</v>
      </c>
      <c r="J11" s="9">
        <v>0.91886330901863178</v>
      </c>
      <c r="K11" s="9">
        <v>0.93632586964251519</v>
      </c>
      <c r="L11" s="9">
        <v>0.94879912723100335</v>
      </c>
      <c r="M11" s="9">
        <v>0.96958788987848377</v>
      </c>
      <c r="N11" s="9">
        <v>0.98039804645517359</v>
      </c>
      <c r="O11" s="9">
        <v>1</v>
      </c>
      <c r="P11" s="9">
        <v>1.0199938725048476</v>
      </c>
      <c r="Q11" s="9">
        <v>1.0403874999474354</v>
      </c>
      <c r="R11" s="9">
        <v>1.0611888749770215</v>
      </c>
      <c r="S11" s="9">
        <v>1.0824061500468747</v>
      </c>
      <c r="T11" s="9">
        <v>1.1040476406093749</v>
      </c>
    </row>
    <row r="15" spans="1:20" x14ac:dyDescent="0.2">
      <c r="N15" s="10">
        <v>44166</v>
      </c>
    </row>
    <row r="16" spans="1:20" ht="13.5" x14ac:dyDescent="0.3">
      <c r="B16" t="s">
        <v>54</v>
      </c>
      <c r="N16" s="16">
        <v>1.6949152542372836E-2</v>
      </c>
      <c r="O16" s="16">
        <v>9.8252646141938002E-3</v>
      </c>
      <c r="P16" s="16">
        <v>3.7938524011807656E-3</v>
      </c>
      <c r="Q16" s="16">
        <v>5.1289409836666033E-3</v>
      </c>
      <c r="R16" s="16">
        <v>8.5049899184493228E-3</v>
      </c>
      <c r="S16" s="16">
        <v>1.1396303374195879E-2</v>
      </c>
      <c r="T16" s="16">
        <v>6.830847002371368E-3</v>
      </c>
    </row>
    <row r="17" spans="2:20" x14ac:dyDescent="0.2">
      <c r="B17" t="s">
        <v>55</v>
      </c>
    </row>
    <row r="18" spans="2:20" x14ac:dyDescent="0.2">
      <c r="B18" t="s">
        <v>56</v>
      </c>
    </row>
    <row r="21" spans="2:20" ht="13.5" thickBot="1" x14ac:dyDescent="0.25">
      <c r="B21" s="20" t="s">
        <v>57</v>
      </c>
    </row>
    <row r="22" spans="2:20" ht="12" thickTop="1" x14ac:dyDescent="0.2"/>
    <row r="23" spans="2:20" ht="13.5" x14ac:dyDescent="0.3">
      <c r="B23" t="s">
        <v>57</v>
      </c>
      <c r="C23" t="s">
        <v>58</v>
      </c>
      <c r="P23" s="35">
        <v>2177316.375525</v>
      </c>
      <c r="Q23" s="35">
        <v>2531841.375525</v>
      </c>
      <c r="R23" s="35">
        <v>1791006.375525</v>
      </c>
      <c r="S23" s="35">
        <v>1429146.375525</v>
      </c>
      <c r="T23" s="35">
        <v>1424256.375525</v>
      </c>
    </row>
    <row r="24" spans="2:20" ht="13.5" x14ac:dyDescent="0.3">
      <c r="B24" t="s">
        <v>107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</row>
    <row r="26" spans="2:20" ht="13.5" x14ac:dyDescent="0.3">
      <c r="B26" t="s">
        <v>59</v>
      </c>
      <c r="P26" s="6">
        <v>278030.43906396837</v>
      </c>
      <c r="Q26" s="6">
        <v>281000.34210679581</v>
      </c>
      <c r="R26" s="6">
        <v>275997.83064184961</v>
      </c>
      <c r="S26" s="6">
        <v>269814.94495346886</v>
      </c>
      <c r="T26" s="6">
        <v>262456.08836938057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5"/>
  <sheetViews>
    <sheetView topLeftCell="A54" zoomScale="130" zoomScaleNormal="130" workbookViewId="0">
      <selection activeCell="M11" sqref="M11"/>
    </sheetView>
  </sheetViews>
  <sheetFormatPr defaultRowHeight="11.25" x14ac:dyDescent="0.2"/>
  <cols>
    <col min="2" max="2" width="38.1640625" customWidth="1"/>
    <col min="3" max="3" width="13.5" bestFit="1" customWidth="1"/>
    <col min="4" max="4" width="14.1640625" bestFit="1" customWidth="1"/>
    <col min="5" max="5" width="13.83203125" bestFit="1" customWidth="1"/>
    <col min="6" max="11" width="11.5" bestFit="1" customWidth="1"/>
  </cols>
  <sheetData>
    <row r="1" spans="1:11" ht="24" x14ac:dyDescent="0.35">
      <c r="A1" s="24" t="s">
        <v>0</v>
      </c>
    </row>
    <row r="2" spans="1:11" ht="24" x14ac:dyDescent="0.35">
      <c r="A2" s="24" t="s">
        <v>1</v>
      </c>
    </row>
    <row r="3" spans="1:11" ht="13.5" thickBot="1" x14ac:dyDescent="0.25">
      <c r="A3" s="20" t="s">
        <v>2</v>
      </c>
      <c r="B3" s="20" t="str">
        <f ca="1">RIGHT(CELL("filename",A1),LEN(CELL("filename",A1))-FIND("]",CELL("filename",A1)))</f>
        <v>Calculation</v>
      </c>
      <c r="C3" s="20" t="s">
        <v>60</v>
      </c>
      <c r="D3" s="20" t="s">
        <v>5</v>
      </c>
      <c r="E3" s="20" t="s">
        <v>61</v>
      </c>
      <c r="F3" s="20" t="s">
        <v>46</v>
      </c>
      <c r="G3" s="20" t="s">
        <v>47</v>
      </c>
      <c r="H3" s="20" t="s">
        <v>48</v>
      </c>
      <c r="I3" s="20" t="s">
        <v>49</v>
      </c>
      <c r="J3" s="20" t="s">
        <v>50</v>
      </c>
      <c r="K3" s="20" t="s">
        <v>51</v>
      </c>
    </row>
    <row r="4" spans="1:11" ht="12" thickTop="1" x14ac:dyDescent="0.2"/>
    <row r="5" spans="1:11" ht="19.5" thickBot="1" x14ac:dyDescent="0.3">
      <c r="B5" s="21" t="s">
        <v>62</v>
      </c>
      <c r="C5" s="21"/>
      <c r="D5" s="21"/>
      <c r="E5" s="21"/>
      <c r="F5" s="21"/>
      <c r="G5" s="21"/>
      <c r="H5" s="21"/>
      <c r="I5" s="21"/>
      <c r="J5" s="21"/>
      <c r="K5" s="21"/>
    </row>
    <row r="6" spans="1:11" ht="14.25" thickTop="1" thickBot="1" x14ac:dyDescent="0.25">
      <c r="B6" s="20" t="s">
        <v>63</v>
      </c>
      <c r="C6" s="20"/>
      <c r="D6" s="20"/>
      <c r="E6" s="20"/>
      <c r="F6" s="20"/>
      <c r="G6" s="20"/>
      <c r="H6" s="20"/>
      <c r="I6" s="20"/>
      <c r="J6" s="20"/>
      <c r="K6" s="20"/>
    </row>
    <row r="7" spans="1:11" ht="15" thickTop="1" thickBot="1" x14ac:dyDescent="0.35">
      <c r="B7" s="7" t="s">
        <v>64</v>
      </c>
      <c r="C7" s="1" t="s">
        <v>24</v>
      </c>
      <c r="D7" s="14">
        <f>'Historic Data'!C18</f>
        <v>17963454.514030199</v>
      </c>
    </row>
    <row r="9" spans="1:11" ht="13.5" thickBot="1" x14ac:dyDescent="0.25">
      <c r="B9" s="20" t="s">
        <v>65</v>
      </c>
      <c r="C9" s="20"/>
      <c r="D9" s="20"/>
      <c r="E9" s="20"/>
      <c r="F9" s="20"/>
      <c r="G9" s="20"/>
      <c r="H9" s="20"/>
      <c r="I9" s="20"/>
      <c r="J9" s="20"/>
      <c r="K9" s="20"/>
    </row>
    <row r="10" spans="1:11" ht="13.5" x14ac:dyDescent="0.3">
      <c r="B10" s="7" t="s">
        <v>59</v>
      </c>
      <c r="C10" s="1" t="s">
        <v>24</v>
      </c>
      <c r="D10" s="14">
        <f>'Historic Data'!C17</f>
        <v>256561.29349019512</v>
      </c>
    </row>
    <row r="11" spans="1:11" ht="13.5" x14ac:dyDescent="0.3">
      <c r="B11" s="7" t="s">
        <v>23</v>
      </c>
      <c r="C11" s="1" t="s">
        <v>24</v>
      </c>
      <c r="D11" s="41"/>
    </row>
    <row r="12" spans="1:11" ht="13.5" x14ac:dyDescent="0.3">
      <c r="B12" s="7" t="s">
        <v>66</v>
      </c>
      <c r="C12" s="1" t="s">
        <v>24</v>
      </c>
      <c r="D12" s="22">
        <f>D7-D10-D11</f>
        <v>17706893.220540006</v>
      </c>
    </row>
    <row r="14" spans="1:11" ht="13.5" thickBot="1" x14ac:dyDescent="0.25">
      <c r="B14" s="20" t="s">
        <v>67</v>
      </c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14.25" thickTop="1" thickBot="1" x14ac:dyDescent="0.3">
      <c r="B15" s="7" t="s">
        <v>68</v>
      </c>
      <c r="C15" s="7"/>
    </row>
    <row r="16" spans="1:11" ht="13.5" x14ac:dyDescent="0.3">
      <c r="B16" s="3" t="str">
        <f>'Historic Data'!B6</f>
        <v>Labour</v>
      </c>
      <c r="C16" s="1" t="s">
        <v>24</v>
      </c>
      <c r="D16" s="14" cm="1">
        <f t="array" ref="D16">INDEX('Historic Data'!$C$26:$C$41,MATCH($B16,'Historic Data'!$B$26:$B$36,0),0)</f>
        <v>8506557</v>
      </c>
    </row>
    <row r="17" spans="2:4" ht="13.5" x14ac:dyDescent="0.3">
      <c r="B17" s="3" t="str">
        <f>'Historic Data'!B27</f>
        <v>Contractors</v>
      </c>
      <c r="C17" s="1" t="s">
        <v>24</v>
      </c>
      <c r="D17" s="14" cm="1">
        <f t="array" ref="D17">INDEX('Historic Data'!$C$26:$C$41,MATCH($B17,'Historic Data'!$B$26:$B$36,0),0)</f>
        <v>1654972</v>
      </c>
    </row>
    <row r="18" spans="2:4" ht="13.5" x14ac:dyDescent="0.3">
      <c r="B18" s="3" t="str">
        <f>'Historic Data'!B14</f>
        <v>Corporate Labour</v>
      </c>
      <c r="C18" s="1" t="s">
        <v>24</v>
      </c>
      <c r="D18" s="14" cm="1">
        <f t="array" ref="D18">INDEX('Historic Data'!$C$26:$C$41,MATCH($B18,'Historic Data'!$B$26:$B$36,0),0)</f>
        <v>990063.4273006093</v>
      </c>
    </row>
    <row r="19" spans="2:4" ht="13.5" x14ac:dyDescent="0.3">
      <c r="B19" s="26" t="s">
        <v>69</v>
      </c>
      <c r="C19" s="1" t="s">
        <v>24</v>
      </c>
      <c r="D19" s="5">
        <f>SUM(D16:D18)</f>
        <v>11151592.42730061</v>
      </c>
    </row>
    <row r="20" spans="2:4" x14ac:dyDescent="0.2">
      <c r="B20" t="s">
        <v>70</v>
      </c>
    </row>
    <row r="21" spans="2:4" ht="13.5" x14ac:dyDescent="0.3">
      <c r="B21" s="3" t="str">
        <f>'Historic Data'!B28</f>
        <v>Materials</v>
      </c>
      <c r="C21" s="1" t="s">
        <v>24</v>
      </c>
      <c r="D21" s="14" cm="1">
        <f t="array" ref="D21">INDEX('Historic Data'!$C$26:$C$41,MATCH($B21,'Historic Data'!$B$26:$B$36,0),0)</f>
        <v>322775</v>
      </c>
    </row>
    <row r="22" spans="2:4" ht="13.5" x14ac:dyDescent="0.3">
      <c r="B22" s="3" t="str">
        <f>'Historic Data'!B29</f>
        <v>Services</v>
      </c>
      <c r="C22" s="1" t="s">
        <v>24</v>
      </c>
      <c r="D22" s="14" cm="1">
        <f t="array" ref="D22">INDEX('Historic Data'!$C$26:$C$41,MATCH($B22,'Historic Data'!$B$26:$B$36,0),0)</f>
        <v>2284508</v>
      </c>
    </row>
    <row r="23" spans="2:4" ht="13.5" x14ac:dyDescent="0.3">
      <c r="B23" s="3" t="str">
        <f>'Historic Data'!B32</f>
        <v>Communications</v>
      </c>
      <c r="C23" s="1" t="s">
        <v>24</v>
      </c>
      <c r="D23" s="14" cm="1">
        <f t="array" ref="D23">INDEX('Historic Data'!$C$26:$C$41,MATCH($B23,'Historic Data'!$B$26:$B$36,0),0)</f>
        <v>262699</v>
      </c>
    </row>
    <row r="24" spans="2:4" ht="13.5" x14ac:dyDescent="0.3">
      <c r="B24" s="3" t="str">
        <f>'Historic Data'!B33</f>
        <v>Other</v>
      </c>
      <c r="C24" s="1" t="s">
        <v>24</v>
      </c>
      <c r="D24" s="14" cm="1">
        <f t="array" ref="D24">INDEX('Historic Data'!$C$26:$C$41,MATCH($B24,'Historic Data'!$B$26:$B$36,0),0)</f>
        <v>132600</v>
      </c>
    </row>
    <row r="25" spans="2:4" ht="13.5" x14ac:dyDescent="0.3">
      <c r="B25" s="3" t="s">
        <v>16</v>
      </c>
      <c r="C25" s="1" t="s">
        <v>24</v>
      </c>
      <c r="D25" s="14" cm="1">
        <f t="array" ref="D25">INDEX('Historic Data'!$C$26:$C$41,MATCH($B25,'Historic Data'!$B$26:$B$36,0),0)</f>
        <v>370046.04</v>
      </c>
    </row>
    <row r="26" spans="2:4" ht="13.5" x14ac:dyDescent="0.3">
      <c r="B26" s="3" t="str">
        <f>'Historic Data'!B36</f>
        <v>Corporate Non Labour</v>
      </c>
      <c r="C26" s="1" t="s">
        <v>24</v>
      </c>
      <c r="D26" s="14" cm="1">
        <f t="array" ref="D26">INDEX('Historic Data'!$C$26:$C$41,MATCH($B26,'Historic Data'!$B$26:$B$36,0),0)</f>
        <v>2269484.7532394002</v>
      </c>
    </row>
    <row r="27" spans="2:4" ht="13.5" x14ac:dyDescent="0.3">
      <c r="B27" s="26" t="s">
        <v>71</v>
      </c>
      <c r="C27" s="1" t="s">
        <v>24</v>
      </c>
      <c r="D27" s="5">
        <f>SUM(D21:D26)</f>
        <v>5642112.7932393998</v>
      </c>
    </row>
    <row r="28" spans="2:4" ht="13.5" thickBot="1" x14ac:dyDescent="0.25">
      <c r="B28" s="20" t="s">
        <v>72</v>
      </c>
    </row>
    <row r="29" spans="2:4" ht="14.25" thickTop="1" x14ac:dyDescent="0.3">
      <c r="B29" s="3" t="str">
        <f>'Historic Data'!B30</f>
        <v>Insurance</v>
      </c>
      <c r="C29" s="1" t="s">
        <v>24</v>
      </c>
      <c r="D29" s="14" cm="1">
        <f t="array" ref="D29">INDEX('Historic Data'!$C$26:$C$41,MATCH($B29,'Historic Data'!$B$26:$B$36,0),0)</f>
        <v>336325</v>
      </c>
    </row>
    <row r="30" spans="2:4" ht="13.5" x14ac:dyDescent="0.3">
      <c r="B30" s="3" t="str">
        <f>'Historic Data'!B31</f>
        <v>Licences</v>
      </c>
      <c r="C30" s="1" t="s">
        <v>24</v>
      </c>
      <c r="D30" s="14" cm="1">
        <f t="array" ref="D30">INDEX('Historic Data'!$C$26:$C$41,MATCH($B30,'Historic Data'!$B$26:$B$36,0),0)</f>
        <v>576863</v>
      </c>
    </row>
    <row r="31" spans="2:4" ht="13.5" x14ac:dyDescent="0.3">
      <c r="B31" s="26" t="s">
        <v>73</v>
      </c>
      <c r="C31" s="1" t="s">
        <v>24</v>
      </c>
      <c r="D31" s="5">
        <f>SUM(D29:D30)</f>
        <v>913188</v>
      </c>
    </row>
    <row r="33" spans="2:11" ht="13.5" x14ac:dyDescent="0.3">
      <c r="B33" s="26" t="s">
        <v>18</v>
      </c>
      <c r="C33" s="1" t="str">
        <f>C31</f>
        <v>Nominal</v>
      </c>
      <c r="D33" s="5">
        <f>D19+D27+D31</f>
        <v>17706893.220540009</v>
      </c>
    </row>
    <row r="35" spans="2:11" ht="13.5" thickBot="1" x14ac:dyDescent="0.25">
      <c r="B35" s="20" t="s">
        <v>74</v>
      </c>
      <c r="C35" s="20"/>
      <c r="D35" s="20"/>
      <c r="E35" s="20"/>
      <c r="F35" s="20"/>
      <c r="G35" s="20"/>
      <c r="H35" s="20"/>
      <c r="I35" s="20"/>
      <c r="J35" s="20"/>
      <c r="K35" s="20"/>
    </row>
    <row r="36" spans="2:11" ht="15" thickTop="1" thickBot="1" x14ac:dyDescent="0.35">
      <c r="B36" s="7" t="str">
        <f>B19</f>
        <v>Labour Costs</v>
      </c>
      <c r="C36" s="1" t="s">
        <v>24</v>
      </c>
      <c r="D36" s="14">
        <f>D19</f>
        <v>11151592.42730061</v>
      </c>
    </row>
    <row r="37" spans="2:11" ht="14.25" thickBot="1" x14ac:dyDescent="0.35">
      <c r="B37" s="7" t="str">
        <f>B27</f>
        <v>Controllable Costs</v>
      </c>
      <c r="C37" s="1" t="s">
        <v>24</v>
      </c>
      <c r="D37" s="14">
        <f>D27</f>
        <v>5642112.7932393998</v>
      </c>
    </row>
    <row r="38" spans="2:11" ht="14.25" thickBot="1" x14ac:dyDescent="0.35">
      <c r="B38" s="7" t="str">
        <f>B31</f>
        <v>Uncontrollable Costs</v>
      </c>
      <c r="C38" s="1" t="s">
        <v>24</v>
      </c>
      <c r="D38" s="14">
        <f>D31</f>
        <v>913188</v>
      </c>
    </row>
    <row r="40" spans="2:11" ht="13.5" thickBot="1" x14ac:dyDescent="0.25">
      <c r="B40" s="20" t="s">
        <v>75</v>
      </c>
      <c r="C40" s="2"/>
      <c r="D40" s="20"/>
      <c r="E40" s="20"/>
      <c r="F40" s="20"/>
      <c r="G40" s="20"/>
      <c r="H40" s="20"/>
      <c r="I40" s="20"/>
      <c r="J40" s="20"/>
      <c r="K40" s="20"/>
    </row>
    <row r="41" spans="2:11" ht="14.25" thickTop="1" thickBot="1" x14ac:dyDescent="0.3">
      <c r="B41" s="7" t="s">
        <v>61</v>
      </c>
      <c r="C41" s="13"/>
      <c r="D41" s="7"/>
      <c r="E41" s="7"/>
      <c r="F41" s="7"/>
      <c r="G41" s="7"/>
      <c r="H41" s="7"/>
      <c r="I41" s="7"/>
      <c r="J41" s="7"/>
      <c r="K41" s="7"/>
    </row>
    <row r="42" spans="2:11" ht="14.25" thickBot="1" x14ac:dyDescent="0.35">
      <c r="B42" s="7" t="str">
        <f>B36</f>
        <v>Labour Costs</v>
      </c>
      <c r="C42" s="1" t="s">
        <v>76</v>
      </c>
      <c r="E42" s="16">
        <f>Inputs!N16</f>
        <v>1.6949152542372836E-2</v>
      </c>
    </row>
    <row r="43" spans="2:11" ht="14.25" thickBot="1" x14ac:dyDescent="0.35">
      <c r="B43" s="7" t="str">
        <f>B37</f>
        <v>Controllable Costs</v>
      </c>
      <c r="C43" s="1" t="s">
        <v>77</v>
      </c>
      <c r="E43" s="16">
        <f>Inputs!N8</f>
        <v>1.1149228130360234E-2</v>
      </c>
    </row>
    <row r="44" spans="2:11" ht="14.25" thickBot="1" x14ac:dyDescent="0.35">
      <c r="B44" s="7" t="str">
        <f>B38</f>
        <v>Uncontrollable Costs</v>
      </c>
      <c r="C44" s="1" t="s">
        <v>77</v>
      </c>
      <c r="E44" s="16">
        <f>E43</f>
        <v>1.1149228130360234E-2</v>
      </c>
    </row>
    <row r="46" spans="2:11" ht="14.25" thickBot="1" x14ac:dyDescent="0.35">
      <c r="B46" s="7" t="str">
        <f>B36</f>
        <v>Labour Costs</v>
      </c>
      <c r="C46" s="27" t="s">
        <v>78</v>
      </c>
      <c r="E46" s="5">
        <f>D36*(1+E42)</f>
        <v>11340602.468441298</v>
      </c>
    </row>
    <row r="47" spans="2:11" ht="14.25" thickBot="1" x14ac:dyDescent="0.35">
      <c r="B47" s="7" t="str">
        <f>B37</f>
        <v>Controllable Costs</v>
      </c>
      <c r="C47" s="27" t="s">
        <v>78</v>
      </c>
      <c r="E47" s="5">
        <f>D37*(1+E43)</f>
        <v>5705017.9959084494</v>
      </c>
    </row>
    <row r="48" spans="2:11" ht="14.25" thickBot="1" x14ac:dyDescent="0.35">
      <c r="B48" s="7" t="str">
        <f>B38</f>
        <v>Uncontrollable Costs</v>
      </c>
      <c r="C48" s="27" t="s">
        <v>78</v>
      </c>
      <c r="E48" s="5">
        <f>D38*(1+E44)</f>
        <v>923369.34133790736</v>
      </c>
    </row>
    <row r="50" spans="2:11" ht="13.5" thickBot="1" x14ac:dyDescent="0.3">
      <c r="B50" s="7" t="s">
        <v>46</v>
      </c>
    </row>
    <row r="51" spans="2:11" ht="14.25" thickBot="1" x14ac:dyDescent="0.35">
      <c r="B51" s="7" t="str">
        <f>B42</f>
        <v>Labour Costs</v>
      </c>
      <c r="C51" s="27" t="s">
        <v>79</v>
      </c>
      <c r="F51" s="29">
        <f>Inputs!O16</f>
        <v>9.8252646141938002E-3</v>
      </c>
    </row>
    <row r="52" spans="2:11" ht="14.25" thickBot="1" x14ac:dyDescent="0.35">
      <c r="B52" s="7" t="str">
        <f t="shared" ref="B52:B57" si="0">B43</f>
        <v>Controllable Costs</v>
      </c>
      <c r="C52" s="27" t="s">
        <v>80</v>
      </c>
      <c r="F52" s="29">
        <f>Inputs!O8</f>
        <v>1.4999999999999902E-2</v>
      </c>
    </row>
    <row r="53" spans="2:11" ht="14.25" thickBot="1" x14ac:dyDescent="0.35">
      <c r="B53" s="7" t="str">
        <f t="shared" si="0"/>
        <v>Uncontrollable Costs</v>
      </c>
      <c r="C53" s="27" t="s">
        <v>80</v>
      </c>
      <c r="F53" s="29">
        <f>F52</f>
        <v>1.4999999999999902E-2</v>
      </c>
    </row>
    <row r="55" spans="2:11" ht="14.25" thickBot="1" x14ac:dyDescent="0.35">
      <c r="B55" s="7" t="str">
        <f t="shared" si="0"/>
        <v>Labour Costs</v>
      </c>
      <c r="C55" s="28" t="s">
        <v>81</v>
      </c>
      <c r="E55" s="5">
        <f>E46*(1+E51)*(1+Inputs!N8)</f>
        <v>11467041.432497676</v>
      </c>
      <c r="F55" s="5">
        <f>E46*(1+F51)*(1+Inputs!O8)</f>
        <v>11623807.291906783</v>
      </c>
    </row>
    <row r="56" spans="2:11" ht="14.25" thickBot="1" x14ac:dyDescent="0.35">
      <c r="B56" s="7" t="str">
        <f t="shared" si="0"/>
        <v>Controllable Costs</v>
      </c>
      <c r="C56" s="28" t="s">
        <v>81</v>
      </c>
      <c r="E56" s="5">
        <f>E47*(1+F52)</f>
        <v>5790593.2658470757</v>
      </c>
      <c r="F56" s="5">
        <f>E47*(1+F52)</f>
        <v>5790593.2658470757</v>
      </c>
    </row>
    <row r="57" spans="2:11" ht="14.25" thickBot="1" x14ac:dyDescent="0.35">
      <c r="B57" s="7" t="str">
        <f t="shared" si="0"/>
        <v>Uncontrollable Costs</v>
      </c>
      <c r="C57" s="28" t="s">
        <v>81</v>
      </c>
      <c r="E57" s="5">
        <f>E48*(1+F53)</f>
        <v>937219.88145797583</v>
      </c>
      <c r="F57" s="5">
        <f>E48*(1+F53)</f>
        <v>937219.88145797583</v>
      </c>
    </row>
    <row r="60" spans="2:11" ht="13.5" thickBot="1" x14ac:dyDescent="0.25">
      <c r="B60" s="20" t="s">
        <v>82</v>
      </c>
      <c r="C60" s="2"/>
      <c r="D60" s="20"/>
      <c r="E60" s="20"/>
      <c r="F60" s="20"/>
      <c r="G60" s="20"/>
      <c r="H60" s="20"/>
      <c r="I60" s="20"/>
      <c r="J60" s="20"/>
      <c r="K60" s="20"/>
    </row>
    <row r="61" spans="2:11" ht="15" thickTop="1" thickBot="1" x14ac:dyDescent="0.35">
      <c r="B61" s="7" t="s">
        <v>83</v>
      </c>
      <c r="G61" s="16">
        <f>Inputs!P16</f>
        <v>3.7938524011807656E-3</v>
      </c>
      <c r="H61" s="16">
        <f>Inputs!Q16</f>
        <v>5.1289409836666033E-3</v>
      </c>
      <c r="I61" s="16">
        <f>Inputs!R16</f>
        <v>8.5049899184493228E-3</v>
      </c>
      <c r="J61" s="16">
        <f>Inputs!S16</f>
        <v>1.1396303374195879E-2</v>
      </c>
      <c r="K61" s="16">
        <f>Inputs!T16</f>
        <v>6.830847002371368E-3</v>
      </c>
    </row>
    <row r="63" spans="2:11" ht="14.25" thickBot="1" x14ac:dyDescent="0.35">
      <c r="B63" s="7" t="str">
        <f>B46</f>
        <v>Labour Costs</v>
      </c>
      <c r="C63" s="28" t="s">
        <v>81</v>
      </c>
      <c r="F63" s="5">
        <f>F55</f>
        <v>11623807.291906783</v>
      </c>
      <c r="G63" s="5">
        <f t="shared" ref="G63:K63" si="1">F63*(1+G61)</f>
        <v>11667906.301112045</v>
      </c>
      <c r="H63" s="5">
        <f t="shared" si="1"/>
        <v>11727750.303933399</v>
      </c>
      <c r="I63" s="5">
        <f t="shared" si="1"/>
        <v>11827494.702034444</v>
      </c>
      <c r="J63" s="5">
        <f t="shared" si="1"/>
        <v>11962284.419815524</v>
      </c>
      <c r="K63" s="5">
        <f t="shared" si="1"/>
        <v>12043996.954486135</v>
      </c>
    </row>
    <row r="64" spans="2:11" ht="14.25" thickBot="1" x14ac:dyDescent="0.35">
      <c r="B64" s="7" t="str">
        <f>B47</f>
        <v>Controllable Costs</v>
      </c>
      <c r="C64" s="28" t="s">
        <v>81</v>
      </c>
      <c r="F64" s="5">
        <f t="shared" ref="F64:F65" si="2">F56</f>
        <v>5790593.2658470757</v>
      </c>
      <c r="G64" s="11">
        <f t="shared" ref="G64:K64" si="3">F64</f>
        <v>5790593.2658470757</v>
      </c>
      <c r="H64" s="11">
        <f t="shared" si="3"/>
        <v>5790593.2658470757</v>
      </c>
      <c r="I64" s="11">
        <f t="shared" si="3"/>
        <v>5790593.2658470757</v>
      </c>
      <c r="J64" s="11">
        <f t="shared" si="3"/>
        <v>5790593.2658470757</v>
      </c>
      <c r="K64" s="11">
        <f t="shared" si="3"/>
        <v>5790593.2658470757</v>
      </c>
    </row>
    <row r="65" spans="2:13" ht="14.25" thickBot="1" x14ac:dyDescent="0.35">
      <c r="B65" s="7" t="str">
        <f>B48</f>
        <v>Uncontrollable Costs</v>
      </c>
      <c r="C65" s="28" t="s">
        <v>81</v>
      </c>
      <c r="F65" s="5">
        <f t="shared" si="2"/>
        <v>937219.88145797583</v>
      </c>
      <c r="G65" s="11">
        <f t="shared" ref="G65:K65" si="4">F65</f>
        <v>937219.88145797583</v>
      </c>
      <c r="H65" s="11">
        <f t="shared" si="4"/>
        <v>937219.88145797583</v>
      </c>
      <c r="I65" s="11">
        <f t="shared" si="4"/>
        <v>937219.88145797583</v>
      </c>
      <c r="J65" s="11">
        <f t="shared" si="4"/>
        <v>937219.88145797583</v>
      </c>
      <c r="K65" s="11">
        <f t="shared" si="4"/>
        <v>937219.88145797583</v>
      </c>
    </row>
    <row r="67" spans="2:13" ht="14.25" thickBot="1" x14ac:dyDescent="0.35">
      <c r="B67" s="7" t="s">
        <v>18</v>
      </c>
      <c r="C67" s="28" t="s">
        <v>81</v>
      </c>
      <c r="F67" s="5">
        <f t="shared" ref="F67:K67" si="5">SUM(F63:F66)</f>
        <v>18351620.439211838</v>
      </c>
      <c r="G67" s="5">
        <f t="shared" si="5"/>
        <v>18395719.448417097</v>
      </c>
      <c r="H67" s="5">
        <f t="shared" si="5"/>
        <v>18455563.451238453</v>
      </c>
      <c r="I67" s="5">
        <f t="shared" si="5"/>
        <v>18555307.849339496</v>
      </c>
      <c r="J67" s="5">
        <f t="shared" si="5"/>
        <v>18690097.567120574</v>
      </c>
      <c r="K67" s="5">
        <f t="shared" si="5"/>
        <v>18771810.101791188</v>
      </c>
      <c r="M67" s="15"/>
    </row>
    <row r="70" spans="2:13" ht="13.5" thickBot="1" x14ac:dyDescent="0.25">
      <c r="B70" s="20" t="s">
        <v>84</v>
      </c>
      <c r="C70" s="2"/>
      <c r="D70" s="20"/>
      <c r="E70" s="20"/>
      <c r="F70" s="20"/>
      <c r="G70" s="20"/>
      <c r="H70" s="20"/>
      <c r="I70" s="20"/>
      <c r="J70" s="20"/>
      <c r="K70" s="20"/>
    </row>
    <row r="71" spans="2:13" ht="15" thickTop="1" thickBot="1" x14ac:dyDescent="0.35">
      <c r="B71" s="7" t="str">
        <f>Inputs!B23</f>
        <v>Group IT</v>
      </c>
      <c r="C71" s="28" t="str">
        <f>C67</f>
        <v>$2022</v>
      </c>
      <c r="F71" s="22">
        <f>AVERAGE(G71:K71)</f>
        <v>1870713.375525</v>
      </c>
      <c r="G71" s="11">
        <f>Inputs!P23</f>
        <v>2177316.375525</v>
      </c>
      <c r="H71" s="11">
        <f>Inputs!Q23</f>
        <v>2531841.375525</v>
      </c>
      <c r="I71" s="11">
        <f>Inputs!R23</f>
        <v>1791006.375525</v>
      </c>
      <c r="J71" s="11">
        <f>Inputs!S23</f>
        <v>1429146.375525</v>
      </c>
      <c r="K71" s="11">
        <f>Inputs!T23</f>
        <v>1424256.375525</v>
      </c>
    </row>
    <row r="72" spans="2:13" ht="14.25" thickBot="1" x14ac:dyDescent="0.35">
      <c r="B72" s="7" t="str">
        <f>Inputs!B24</f>
        <v>GRID customer services</v>
      </c>
      <c r="C72" s="28" t="str">
        <f>C71</f>
        <v>$2022</v>
      </c>
      <c r="F72" s="22"/>
      <c r="G72" s="11">
        <f>Inputs!P24</f>
        <v>0</v>
      </c>
      <c r="H72" s="11">
        <f>Inputs!Q24</f>
        <v>0</v>
      </c>
      <c r="I72" s="11">
        <f>Inputs!R24</f>
        <v>0</v>
      </c>
      <c r="J72" s="11">
        <f>Inputs!S24</f>
        <v>0</v>
      </c>
      <c r="K72" s="11">
        <f>Inputs!T24</f>
        <v>0</v>
      </c>
    </row>
    <row r="74" spans="2:13" ht="14.25" thickBot="1" x14ac:dyDescent="0.35">
      <c r="B74" s="7" t="str">
        <f>B64</f>
        <v>Controllable Costs</v>
      </c>
      <c r="C74" s="28" t="s">
        <v>81</v>
      </c>
      <c r="F74" s="5">
        <f t="shared" ref="F74:K74" si="6">F63+F64+F71</f>
        <v>19285113.933278862</v>
      </c>
      <c r="G74" s="5">
        <f t="shared" si="6"/>
        <v>19635815.942484122</v>
      </c>
      <c r="H74" s="5">
        <f t="shared" si="6"/>
        <v>20050184.945305478</v>
      </c>
      <c r="I74" s="5">
        <f t="shared" si="6"/>
        <v>19409094.343406521</v>
      </c>
      <c r="J74" s="5">
        <f t="shared" si="6"/>
        <v>19182024.061187599</v>
      </c>
      <c r="K74" s="5">
        <f t="shared" si="6"/>
        <v>19258846.595858213</v>
      </c>
    </row>
    <row r="75" spans="2:13" ht="14.25" thickBot="1" x14ac:dyDescent="0.35">
      <c r="B75" s="7" t="str">
        <f>B65</f>
        <v>Uncontrollable Costs</v>
      </c>
      <c r="C75" s="28" t="s">
        <v>81</v>
      </c>
      <c r="F75" s="5">
        <f>F65</f>
        <v>937219.88145797583</v>
      </c>
      <c r="G75" s="5">
        <f t="shared" ref="G75:K75" si="7">G65</f>
        <v>937219.88145797583</v>
      </c>
      <c r="H75" s="5">
        <f t="shared" si="7"/>
        <v>937219.88145797583</v>
      </c>
      <c r="I75" s="5">
        <f t="shared" si="7"/>
        <v>937219.88145797583</v>
      </c>
      <c r="J75" s="5">
        <f t="shared" si="7"/>
        <v>937219.88145797583</v>
      </c>
      <c r="K75" s="5">
        <f t="shared" si="7"/>
        <v>937219.88145797583</v>
      </c>
    </row>
    <row r="76" spans="2:13" ht="14.25" thickBot="1" x14ac:dyDescent="0.35">
      <c r="B76" s="7" t="str">
        <f>B72</f>
        <v>GRID customer services</v>
      </c>
      <c r="C76" s="28" t="str">
        <f>C75</f>
        <v>$2022</v>
      </c>
      <c r="F76" s="5">
        <f>F72</f>
        <v>0</v>
      </c>
      <c r="G76" s="5">
        <f t="shared" ref="G76:K76" si="8">G72</f>
        <v>0</v>
      </c>
      <c r="H76" s="5">
        <f t="shared" si="8"/>
        <v>0</v>
      </c>
      <c r="I76" s="5">
        <f t="shared" si="8"/>
        <v>0</v>
      </c>
      <c r="J76" s="5">
        <f t="shared" si="8"/>
        <v>0</v>
      </c>
      <c r="K76" s="5">
        <f t="shared" si="8"/>
        <v>0</v>
      </c>
    </row>
    <row r="78" spans="2:13" ht="14.25" thickBot="1" x14ac:dyDescent="0.35">
      <c r="B78" s="7" t="s">
        <v>18</v>
      </c>
      <c r="C78" s="28" t="s">
        <v>81</v>
      </c>
      <c r="F78" s="5">
        <f t="shared" ref="F78:K78" si="9">SUM(F73:F77)</f>
        <v>20222333.814736839</v>
      </c>
      <c r="G78" s="5">
        <f t="shared" si="9"/>
        <v>20573035.823942099</v>
      </c>
      <c r="H78" s="5">
        <f t="shared" si="9"/>
        <v>20987404.826763455</v>
      </c>
      <c r="I78" s="5">
        <f t="shared" si="9"/>
        <v>20346314.224864498</v>
      </c>
      <c r="J78" s="5">
        <f t="shared" si="9"/>
        <v>20119243.942645576</v>
      </c>
      <c r="K78" s="5">
        <f t="shared" si="9"/>
        <v>20196066.47731619</v>
      </c>
    </row>
    <row r="80" spans="2:13" ht="13.5" thickBot="1" x14ac:dyDescent="0.25">
      <c r="B80" s="20" t="s">
        <v>85</v>
      </c>
      <c r="C80" s="20"/>
      <c r="D80" s="20"/>
      <c r="E80" s="20"/>
      <c r="F80" s="20"/>
      <c r="G80" s="20"/>
      <c r="H80" s="20"/>
      <c r="I80" s="20"/>
      <c r="J80" s="20"/>
      <c r="K80" s="20"/>
    </row>
    <row r="81" spans="2:11" ht="15" thickTop="1" thickBot="1" x14ac:dyDescent="0.35">
      <c r="B81" s="7" t="s">
        <v>86</v>
      </c>
      <c r="C81" s="28" t="s">
        <v>81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</row>
    <row r="83" spans="2:11" ht="14.25" thickBot="1" x14ac:dyDescent="0.35">
      <c r="B83" s="7" t="str">
        <f>B74</f>
        <v>Controllable Costs</v>
      </c>
      <c r="C83" s="28" t="str">
        <f>C74</f>
        <v>$2022</v>
      </c>
      <c r="F83" s="5">
        <f t="shared" ref="F83:K83" si="10">F74+F81</f>
        <v>19285113.933278862</v>
      </c>
      <c r="G83" s="5">
        <f t="shared" si="10"/>
        <v>19635815.942484122</v>
      </c>
      <c r="H83" s="5">
        <f t="shared" si="10"/>
        <v>20050184.945305478</v>
      </c>
      <c r="I83" s="5">
        <f t="shared" si="10"/>
        <v>19409094.343406521</v>
      </c>
      <c r="J83" s="5">
        <f t="shared" si="10"/>
        <v>19182024.061187599</v>
      </c>
      <c r="K83" s="5">
        <f t="shared" si="10"/>
        <v>19258846.595858213</v>
      </c>
    </row>
    <row r="84" spans="2:11" ht="14.25" thickBot="1" x14ac:dyDescent="0.35">
      <c r="B84" s="7" t="str">
        <f t="shared" ref="B84:C85" si="11">B75</f>
        <v>Uncontrollable Costs</v>
      </c>
      <c r="C84" s="28" t="str">
        <f t="shared" si="11"/>
        <v>$2022</v>
      </c>
      <c r="F84" s="5">
        <f t="shared" ref="F84:K85" si="12">F75</f>
        <v>937219.88145797583</v>
      </c>
      <c r="G84" s="5">
        <f t="shared" si="12"/>
        <v>937219.88145797583</v>
      </c>
      <c r="H84" s="5">
        <f t="shared" si="12"/>
        <v>937219.88145797583</v>
      </c>
      <c r="I84" s="5">
        <f t="shared" si="12"/>
        <v>937219.88145797583</v>
      </c>
      <c r="J84" s="5">
        <f t="shared" si="12"/>
        <v>937219.88145797583</v>
      </c>
      <c r="K84" s="5">
        <f t="shared" si="12"/>
        <v>937219.88145797583</v>
      </c>
    </row>
    <row r="85" spans="2:11" ht="14.25" thickBot="1" x14ac:dyDescent="0.35">
      <c r="B85" s="7" t="str">
        <f t="shared" si="11"/>
        <v>GRID customer services</v>
      </c>
      <c r="C85" s="28" t="str">
        <f t="shared" si="11"/>
        <v>$2022</v>
      </c>
      <c r="F85" s="5">
        <f t="shared" si="12"/>
        <v>0</v>
      </c>
      <c r="G85" s="5">
        <f t="shared" si="12"/>
        <v>0</v>
      </c>
      <c r="H85" s="5">
        <f t="shared" si="12"/>
        <v>0</v>
      </c>
      <c r="I85" s="5">
        <f t="shared" si="12"/>
        <v>0</v>
      </c>
      <c r="J85" s="5">
        <f t="shared" si="12"/>
        <v>0</v>
      </c>
      <c r="K85" s="5">
        <f t="shared" si="12"/>
        <v>0</v>
      </c>
    </row>
    <row r="87" spans="2:11" ht="14.25" thickBot="1" x14ac:dyDescent="0.35">
      <c r="B87" s="7" t="s">
        <v>18</v>
      </c>
      <c r="C87" s="28" t="s">
        <v>81</v>
      </c>
      <c r="F87" s="5">
        <f t="shared" ref="F87:K87" si="13">SUM(F82:F86)</f>
        <v>20222333.814736839</v>
      </c>
      <c r="G87" s="5">
        <f t="shared" si="13"/>
        <v>20573035.823942099</v>
      </c>
      <c r="H87" s="5">
        <f t="shared" si="13"/>
        <v>20987404.826763455</v>
      </c>
      <c r="I87" s="5">
        <f t="shared" si="13"/>
        <v>20346314.224864498</v>
      </c>
      <c r="J87" s="5">
        <f t="shared" si="13"/>
        <v>20119243.942645576</v>
      </c>
      <c r="K87" s="5">
        <f t="shared" si="13"/>
        <v>20196066.47731619</v>
      </c>
    </row>
    <row r="89" spans="2:11" ht="13.5" thickBot="1" x14ac:dyDescent="0.25">
      <c r="B89" s="20" t="s">
        <v>18</v>
      </c>
      <c r="C89" s="20"/>
      <c r="D89" s="20"/>
      <c r="E89" s="20"/>
      <c r="F89" s="20"/>
      <c r="G89" s="20"/>
      <c r="H89" s="20"/>
      <c r="I89" s="20"/>
      <c r="J89" s="20"/>
      <c r="K89" s="20"/>
    </row>
    <row r="90" spans="2:11" ht="15" thickTop="1" thickBot="1" x14ac:dyDescent="0.35">
      <c r="B90" s="7" t="str">
        <f>B83</f>
        <v>Controllable Costs</v>
      </c>
      <c r="C90" s="28" t="s">
        <v>81</v>
      </c>
      <c r="F90" s="5">
        <f t="shared" ref="F90:K92" si="14">F83</f>
        <v>19285113.933278862</v>
      </c>
      <c r="G90" s="5">
        <f t="shared" si="14"/>
        <v>19635815.942484122</v>
      </c>
      <c r="H90" s="5">
        <f t="shared" si="14"/>
        <v>20050184.945305478</v>
      </c>
      <c r="I90" s="5">
        <f t="shared" si="14"/>
        <v>19409094.343406521</v>
      </c>
      <c r="J90" s="5">
        <f t="shared" si="14"/>
        <v>19182024.061187599</v>
      </c>
      <c r="K90" s="5">
        <f t="shared" si="14"/>
        <v>19258846.595858213</v>
      </c>
    </row>
    <row r="91" spans="2:11" ht="14.25" thickBot="1" x14ac:dyDescent="0.35">
      <c r="B91" s="7" t="str">
        <f>B84</f>
        <v>Uncontrollable Costs</v>
      </c>
      <c r="C91" s="28" t="s">
        <v>81</v>
      </c>
      <c r="F91" s="5">
        <f t="shared" si="14"/>
        <v>937219.88145797583</v>
      </c>
      <c r="G91" s="5">
        <f t="shared" si="14"/>
        <v>937219.88145797583</v>
      </c>
      <c r="H91" s="5">
        <f t="shared" si="14"/>
        <v>937219.88145797583</v>
      </c>
      <c r="I91" s="5">
        <f t="shared" si="14"/>
        <v>937219.88145797583</v>
      </c>
      <c r="J91" s="5">
        <f t="shared" si="14"/>
        <v>937219.88145797583</v>
      </c>
      <c r="K91" s="5">
        <f t="shared" si="14"/>
        <v>937219.88145797583</v>
      </c>
    </row>
    <row r="92" spans="2:11" ht="14.25" thickBot="1" x14ac:dyDescent="0.35">
      <c r="B92" s="7" t="str">
        <f>B85</f>
        <v>GRID customer services</v>
      </c>
      <c r="C92" s="28"/>
      <c r="F92" s="5">
        <f t="shared" si="14"/>
        <v>0</v>
      </c>
      <c r="G92" s="5">
        <f t="shared" si="14"/>
        <v>0</v>
      </c>
      <c r="H92" s="5">
        <f t="shared" si="14"/>
        <v>0</v>
      </c>
      <c r="I92" s="5">
        <f t="shared" si="14"/>
        <v>0</v>
      </c>
      <c r="J92" s="5">
        <f t="shared" si="14"/>
        <v>0</v>
      </c>
      <c r="K92" s="5">
        <f t="shared" si="14"/>
        <v>0</v>
      </c>
    </row>
    <row r="93" spans="2:11" ht="14.25" thickBot="1" x14ac:dyDescent="0.35">
      <c r="B93" s="7" t="s">
        <v>59</v>
      </c>
      <c r="C93" s="28" t="s">
        <v>81</v>
      </c>
      <c r="F93" s="5">
        <f>Inputs!O26</f>
        <v>0</v>
      </c>
      <c r="G93" s="5">
        <f>Inputs!P26</f>
        <v>278030.43906396837</v>
      </c>
      <c r="H93" s="5">
        <f>Inputs!Q26</f>
        <v>281000.34210679581</v>
      </c>
      <c r="I93" s="5">
        <f>Inputs!R26</f>
        <v>275997.83064184961</v>
      </c>
      <c r="J93" s="5">
        <f>Inputs!S26</f>
        <v>269814.94495346886</v>
      </c>
      <c r="K93" s="5">
        <f>Inputs!T26</f>
        <v>262456.08836938057</v>
      </c>
    </row>
    <row r="95" spans="2:11" ht="14.25" thickBot="1" x14ac:dyDescent="0.35">
      <c r="B95" s="7" t="s">
        <v>18</v>
      </c>
      <c r="C95" s="28" t="s">
        <v>81</v>
      </c>
      <c r="F95" s="5">
        <f t="shared" ref="F95:K95" si="15">SUM(F90:F94)</f>
        <v>20222333.814736839</v>
      </c>
      <c r="G95" s="5">
        <f t="shared" si="15"/>
        <v>20851066.263006069</v>
      </c>
      <c r="H95" s="5">
        <f t="shared" si="15"/>
        <v>21268405.168870252</v>
      </c>
      <c r="I95" s="5">
        <f t="shared" si="15"/>
        <v>20622312.055506349</v>
      </c>
      <c r="J95" s="5">
        <f t="shared" si="15"/>
        <v>20389058.887599044</v>
      </c>
      <c r="K95" s="5">
        <f t="shared" si="15"/>
        <v>20458522.56568557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0"/>
  <sheetViews>
    <sheetView tabSelected="1" workbookViewId="0">
      <selection activeCell="Q12" sqref="Q12"/>
    </sheetView>
  </sheetViews>
  <sheetFormatPr defaultRowHeight="11.25" x14ac:dyDescent="0.2"/>
  <cols>
    <col min="5" max="5" width="21.33203125" bestFit="1" customWidth="1"/>
    <col min="6" max="6" width="14.33203125" bestFit="1" customWidth="1"/>
    <col min="7" max="7" width="13.83203125" bestFit="1" customWidth="1"/>
    <col min="8" max="9" width="14.5" bestFit="1" customWidth="1"/>
    <col min="10" max="10" width="18.5" bestFit="1" customWidth="1"/>
    <col min="11" max="11" width="14.5" bestFit="1" customWidth="1"/>
    <col min="13" max="14" width="13.83203125" bestFit="1" customWidth="1"/>
    <col min="15" max="18" width="11.1640625" bestFit="1" customWidth="1"/>
    <col min="19" max="19" width="4.6640625" bestFit="1" customWidth="1"/>
  </cols>
  <sheetData>
    <row r="1" spans="1:13" ht="24" x14ac:dyDescent="0.35">
      <c r="A1" s="24" t="s">
        <v>0</v>
      </c>
    </row>
    <row r="2" spans="1:13" ht="24" x14ac:dyDescent="0.35">
      <c r="A2" s="24" t="s">
        <v>1</v>
      </c>
    </row>
    <row r="3" spans="1:13" ht="13.5" thickBot="1" x14ac:dyDescent="0.25">
      <c r="A3" s="20" t="s">
        <v>2</v>
      </c>
      <c r="B3" s="20" t="str">
        <f ca="1">RIGHT(CELL("filename",A1),LEN(CELL("filename",A1))-FIND("]",CELL("filename",A1)))</f>
        <v>Output</v>
      </c>
      <c r="C3" s="20" t="s">
        <v>60</v>
      </c>
      <c r="D3" s="20" t="s">
        <v>5</v>
      </c>
      <c r="E3" s="20" t="s">
        <v>61</v>
      </c>
      <c r="F3" s="20" t="s">
        <v>46</v>
      </c>
      <c r="G3" s="20" t="s">
        <v>47</v>
      </c>
      <c r="H3" s="20" t="s">
        <v>48</v>
      </c>
      <c r="I3" s="20" t="s">
        <v>49</v>
      </c>
      <c r="J3" s="20" t="s">
        <v>50</v>
      </c>
      <c r="K3" s="20" t="s">
        <v>51</v>
      </c>
      <c r="M3" t="s">
        <v>88</v>
      </c>
    </row>
    <row r="4" spans="1:13" ht="12" thickTop="1" x14ac:dyDescent="0.2"/>
    <row r="5" spans="1:13" ht="19.5" thickBot="1" x14ac:dyDescent="0.3">
      <c r="A5" s="21" t="s">
        <v>89</v>
      </c>
      <c r="B5" s="21"/>
      <c r="C5" s="21"/>
      <c r="D5" s="21"/>
      <c r="E5" s="21"/>
      <c r="F5" s="21"/>
      <c r="G5" s="37"/>
      <c r="H5" s="37"/>
      <c r="I5" s="37"/>
      <c r="J5" s="37"/>
      <c r="K5" s="37"/>
    </row>
    <row r="6" spans="1:13" ht="12" thickTop="1" x14ac:dyDescent="0.2"/>
    <row r="7" spans="1:13" ht="12.75" x14ac:dyDescent="0.2">
      <c r="E7" s="30" t="s">
        <v>90</v>
      </c>
      <c r="F7" s="31"/>
      <c r="G7" t="str">
        <f>G3</f>
        <v>FY23</v>
      </c>
      <c r="H7" t="str">
        <f t="shared" ref="H7:K7" si="0">H3</f>
        <v>FY24</v>
      </c>
      <c r="I7" t="str">
        <f t="shared" si="0"/>
        <v>FY25</v>
      </c>
      <c r="J7" t="str">
        <f t="shared" si="0"/>
        <v>FY26</v>
      </c>
      <c r="K7" t="str">
        <f t="shared" si="0"/>
        <v>FY27</v>
      </c>
    </row>
    <row r="8" spans="1:13" ht="12.75" x14ac:dyDescent="0.2">
      <c r="E8" s="30"/>
      <c r="F8" s="31"/>
    </row>
    <row r="9" spans="1:13" x14ac:dyDescent="0.2">
      <c r="E9" s="52" t="str">
        <f>Calculation!B90</f>
        <v>Controllable Costs</v>
      </c>
      <c r="F9" s="52"/>
      <c r="G9" s="32">
        <f>Calculation!G90/1000000</f>
        <v>19.635815942484122</v>
      </c>
      <c r="H9" s="32">
        <f>Calculation!H90/1000000</f>
        <v>20.050184945305478</v>
      </c>
      <c r="I9" s="32">
        <f>Calculation!I90/1000000</f>
        <v>19.409094343406522</v>
      </c>
      <c r="J9" s="32">
        <f>Calculation!J90/1000000</f>
        <v>19.182024061187597</v>
      </c>
      <c r="K9" s="32">
        <f>Calculation!K90/1000000</f>
        <v>19.258846595858213</v>
      </c>
    </row>
    <row r="10" spans="1:13" x14ac:dyDescent="0.2">
      <c r="E10" s="52" t="str">
        <f>Calculation!B91</f>
        <v>Uncontrollable Costs</v>
      </c>
      <c r="F10" s="52"/>
      <c r="G10" s="32">
        <f>Calculation!G91/1000000</f>
        <v>0.93721988145797586</v>
      </c>
      <c r="H10" s="32">
        <f>Calculation!H91/1000000</f>
        <v>0.93721988145797586</v>
      </c>
      <c r="I10" s="32">
        <f>Calculation!I91/1000000</f>
        <v>0.93721988145797586</v>
      </c>
      <c r="J10" s="32">
        <f>Calculation!J91/1000000</f>
        <v>0.93721988145797586</v>
      </c>
      <c r="K10" s="32">
        <f>Calculation!K91/1000000</f>
        <v>0.93721988145797586</v>
      </c>
    </row>
    <row r="11" spans="1:13" ht="13.5" x14ac:dyDescent="0.3">
      <c r="E11" s="52" t="str">
        <f>Calculation!B92</f>
        <v>GRID customer services</v>
      </c>
      <c r="F11" s="52"/>
      <c r="G11" s="32">
        <f>Calculation!G92/1000000</f>
        <v>0</v>
      </c>
      <c r="H11" s="32">
        <f>Calculation!H92/1000000</f>
        <v>0</v>
      </c>
      <c r="I11" s="32">
        <f>Calculation!I92/1000000</f>
        <v>0</v>
      </c>
      <c r="J11" s="32">
        <f>Calculation!J92/1000000</f>
        <v>0</v>
      </c>
      <c r="K11" s="32">
        <f>Calculation!K92/1000000</f>
        <v>0</v>
      </c>
      <c r="M11" s="43">
        <f>SUM(G9:K11)-SUM(Calculation!G87:K87)/1000000</f>
        <v>0</v>
      </c>
    </row>
    <row r="12" spans="1:13" ht="19.5" thickBot="1" x14ac:dyDescent="0.3">
      <c r="A12" s="21" t="s">
        <v>91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3" ht="14.25" thickTop="1" thickBot="1" x14ac:dyDescent="0.25">
      <c r="A13" s="20" t="s">
        <v>92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3" ht="12" thickTop="1" x14ac:dyDescent="0.2"/>
    <row r="15" spans="1:13" x14ac:dyDescent="0.2">
      <c r="J15" s="33" t="str">
        <f>E9</f>
        <v>Controllable Costs</v>
      </c>
      <c r="K15" s="34">
        <f>SUM(G9:K9)</f>
        <v>97.535965888241947</v>
      </c>
    </row>
    <row r="16" spans="1:13" x14ac:dyDescent="0.2">
      <c r="J16" s="33" t="str">
        <f>E10</f>
        <v>Uncontrollable Costs</v>
      </c>
      <c r="K16" s="34">
        <f>SUM(G10:K10)</f>
        <v>4.6860994072898796</v>
      </c>
    </row>
    <row r="17" spans="1:13" ht="13.5" x14ac:dyDescent="0.3">
      <c r="J17" s="33" t="str">
        <f>E11</f>
        <v>GRID customer services</v>
      </c>
      <c r="K17" s="34">
        <f>SUM(G11:K11)</f>
        <v>0</v>
      </c>
      <c r="M17" s="44">
        <f>SUM(K15:K17)-SUM(G9:K11)</f>
        <v>0</v>
      </c>
    </row>
    <row r="18" spans="1:13" ht="13.5" x14ac:dyDescent="0.3">
      <c r="J18" s="33" t="s">
        <v>59</v>
      </c>
      <c r="K18" s="34">
        <f>SUM(Inputs!P26:T26)/1000000</f>
        <v>1.3672996451354633</v>
      </c>
      <c r="M18" s="44">
        <f>SUM(K15:K18)-SUM(Calculation!G95:K95)/1000000</f>
        <v>0</v>
      </c>
    </row>
    <row r="20" spans="1:13" ht="19.5" thickBot="1" x14ac:dyDescent="0.3">
      <c r="A20" s="21" t="s">
        <v>93</v>
      </c>
      <c r="B20" s="21"/>
      <c r="C20" s="21"/>
      <c r="D20" s="21"/>
      <c r="E20" s="36" t="str">
        <f>E3</f>
        <v>FY21</v>
      </c>
      <c r="F20" s="36" t="str">
        <f>F3</f>
        <v>FY22</v>
      </c>
      <c r="G20" s="36" t="str">
        <f>G3</f>
        <v>FY23</v>
      </c>
      <c r="H20" s="36" t="str">
        <f t="shared" ref="H20:K20" si="1">H3</f>
        <v>FY24</v>
      </c>
      <c r="I20" s="36" t="str">
        <f t="shared" si="1"/>
        <v>FY25</v>
      </c>
      <c r="J20" s="36" t="str">
        <f>J3</f>
        <v>FY26</v>
      </c>
      <c r="K20" s="36" t="str">
        <f t="shared" si="1"/>
        <v>FY27</v>
      </c>
    </row>
    <row r="21" spans="1:13" ht="12" thickTop="1" x14ac:dyDescent="0.2"/>
    <row r="22" spans="1:13" x14ac:dyDescent="0.2">
      <c r="A22" t="s">
        <v>94</v>
      </c>
      <c r="F22" s="38">
        <f>F29-F26-F24</f>
        <v>0</v>
      </c>
      <c r="G22" s="38">
        <f t="shared" ref="G22:K22" si="2">G29-G26-G24</f>
        <v>44099.009205259383</v>
      </c>
      <c r="H22" s="38">
        <f t="shared" si="2"/>
        <v>103943.01202661544</v>
      </c>
      <c r="I22" s="38">
        <f t="shared" si="2"/>
        <v>203687.4101276584</v>
      </c>
      <c r="J22" s="38">
        <f t="shared" si="2"/>
        <v>338477.12790873647</v>
      </c>
      <c r="K22" s="38">
        <f t="shared" si="2"/>
        <v>420189.66257935017</v>
      </c>
    </row>
    <row r="24" spans="1:13" x14ac:dyDescent="0.2">
      <c r="A24" t="s">
        <v>95</v>
      </c>
      <c r="F24" s="38">
        <f>SUM(Calculation!F63:F65)</f>
        <v>18351620.439211838</v>
      </c>
      <c r="G24" s="38">
        <f t="shared" ref="G24:I24" si="3">F24</f>
        <v>18351620.439211838</v>
      </c>
      <c r="H24" s="38">
        <f t="shared" si="3"/>
        <v>18351620.439211838</v>
      </c>
      <c r="I24" s="38">
        <f t="shared" si="3"/>
        <v>18351620.439211838</v>
      </c>
      <c r="J24" s="38">
        <f>I24</f>
        <v>18351620.439211838</v>
      </c>
      <c r="K24" s="38">
        <f>J24</f>
        <v>18351620.439211838</v>
      </c>
    </row>
    <row r="26" spans="1:13" x14ac:dyDescent="0.2">
      <c r="A26" t="s">
        <v>96</v>
      </c>
      <c r="F26" s="38">
        <f>Calculation!F71</f>
        <v>1870713.375525</v>
      </c>
      <c r="G26" s="38">
        <f>Calculation!G71</f>
        <v>2177316.375525</v>
      </c>
      <c r="H26" s="38">
        <f>Calculation!H71</f>
        <v>2531841.375525</v>
      </c>
      <c r="I26" s="38">
        <f>Calculation!I71</f>
        <v>1791006.375525</v>
      </c>
      <c r="J26" s="38">
        <f>Calculation!J71</f>
        <v>1429146.375525</v>
      </c>
      <c r="K26" s="38">
        <f>Calculation!K71</f>
        <v>1424256.375525</v>
      </c>
    </row>
    <row r="29" spans="1:13" ht="13.5" x14ac:dyDescent="0.3">
      <c r="A29" t="s">
        <v>18</v>
      </c>
      <c r="F29" s="38">
        <f>Calculation!F87</f>
        <v>20222333.814736839</v>
      </c>
      <c r="G29" s="38">
        <f>Calculation!G87</f>
        <v>20573035.823942099</v>
      </c>
      <c r="H29" s="38">
        <f>Calculation!H87</f>
        <v>20987404.826763455</v>
      </c>
      <c r="I29" s="38">
        <f>Calculation!I87</f>
        <v>20346314.224864498</v>
      </c>
      <c r="J29" s="38">
        <f>Calculation!J87</f>
        <v>20119243.942645576</v>
      </c>
      <c r="K29" s="38">
        <f>Calculation!K87</f>
        <v>20196066.47731619</v>
      </c>
      <c r="M29" s="44">
        <f>SUM(G29:K29)-SUM(G9:K11)*1000000</f>
        <v>0</v>
      </c>
    </row>
    <row r="32" spans="1:13" x14ac:dyDescent="0.2">
      <c r="A32" t="s">
        <v>97</v>
      </c>
      <c r="F32" s="38">
        <f>M32*Calculation!$E$46</f>
        <v>9657580.0955599416</v>
      </c>
      <c r="G32" s="38">
        <f>$M32*Calculation!F$63</f>
        <v>9898755.4011645615</v>
      </c>
      <c r="H32" s="38">
        <f>$M32*Calculation!G$63</f>
        <v>9936309.8181119692</v>
      </c>
      <c r="I32" s="38">
        <f>$M32*Calculation!H$63</f>
        <v>9987272.5647644922</v>
      </c>
      <c r="J32" s="38">
        <f>$M32*Calculation!I$63</f>
        <v>10072214.21724062</v>
      </c>
      <c r="K32" s="38">
        <f>$M32*Calculation!J$63</f>
        <v>10187000.226110183</v>
      </c>
      <c r="M32" s="39">
        <f>(Calculation!D16+Calculation!D18)/Calculation!D19</f>
        <v>0.85159321318555325</v>
      </c>
    </row>
    <row r="33" spans="1:13" x14ac:dyDescent="0.2">
      <c r="A33" t="s">
        <v>98</v>
      </c>
    </row>
    <row r="34" spans="1:13" x14ac:dyDescent="0.2">
      <c r="A34" t="s">
        <v>99</v>
      </c>
      <c r="F34" s="38">
        <f>M34*Calculation!$E$46</f>
        <v>1683022.3728813559</v>
      </c>
      <c r="G34" s="38">
        <f>$M34*Calculation!F$63</f>
        <v>1725051.8907422211</v>
      </c>
      <c r="H34" s="38">
        <f>$M34*Calculation!G$63</f>
        <v>1731596.4830000747</v>
      </c>
      <c r="I34" s="38">
        <f>$M34*Calculation!H$63</f>
        <v>1740477.7391689066</v>
      </c>
      <c r="J34" s="38">
        <f>$M34*Calculation!I$63</f>
        <v>1755280.4847938237</v>
      </c>
      <c r="K34" s="38">
        <f>$M34*Calculation!J$63</f>
        <v>1775284.1937053399</v>
      </c>
      <c r="M34" s="39">
        <f>Calculation!D17/Calculation!D19</f>
        <v>0.14840678681444672</v>
      </c>
    </row>
    <row r="35" spans="1:13" x14ac:dyDescent="0.2">
      <c r="A35" t="s">
        <v>100</v>
      </c>
      <c r="F35" s="38">
        <f>F29-F32-F34</f>
        <v>8881731.3462955412</v>
      </c>
      <c r="G35" s="38">
        <f t="shared" ref="G35:K35" si="4">G29-G32-G34</f>
        <v>8949228.5320353154</v>
      </c>
      <c r="H35" s="38">
        <f t="shared" si="4"/>
        <v>9319498.5256514102</v>
      </c>
      <c r="I35" s="38">
        <f t="shared" si="4"/>
        <v>8618563.920931099</v>
      </c>
      <c r="J35" s="38">
        <f t="shared" si="4"/>
        <v>8291749.2406111322</v>
      </c>
      <c r="K35" s="38">
        <f t="shared" si="4"/>
        <v>8233782.0575006669</v>
      </c>
    </row>
    <row r="36" spans="1:13" ht="13.5" x14ac:dyDescent="0.3">
      <c r="A36" t="s">
        <v>18</v>
      </c>
      <c r="F36" s="38">
        <f>SUM(F32:F35)</f>
        <v>20222333.814736839</v>
      </c>
      <c r="G36" s="38">
        <f t="shared" ref="G36:K36" si="5">SUM(G32:G35)</f>
        <v>20573035.823942099</v>
      </c>
      <c r="H36" s="38">
        <f t="shared" si="5"/>
        <v>20987404.826763455</v>
      </c>
      <c r="I36" s="38">
        <f t="shared" si="5"/>
        <v>20346314.224864498</v>
      </c>
      <c r="J36" s="38">
        <f t="shared" si="5"/>
        <v>20119243.942645576</v>
      </c>
      <c r="K36" s="38">
        <f t="shared" si="5"/>
        <v>20196066.47731619</v>
      </c>
      <c r="M36" s="45">
        <f>SUM(G36:K36)-SUM(G29:K29)</f>
        <v>0</v>
      </c>
    </row>
    <row r="39" spans="1:13" ht="13.5" thickBot="1" x14ac:dyDescent="0.3">
      <c r="A39" s="7" t="s">
        <v>101</v>
      </c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3" x14ac:dyDescent="0.2">
      <c r="A40" t="s">
        <v>14</v>
      </c>
      <c r="F40" s="38">
        <f>Calculation!$D$18/Calculation!$D$19*Calculation!F63</f>
        <v>1031987.7237920882</v>
      </c>
      <c r="G40" s="38">
        <f>Calculation!$D$18/Calculation!$D$19*Calculation!G63</f>
        <v>1035902.9328959858</v>
      </c>
      <c r="H40" s="38">
        <f>Calculation!$D$18/Calculation!$D$19*Calculation!H63</f>
        <v>1041216.0179036163</v>
      </c>
      <c r="I40" s="38">
        <f>Calculation!$D$18/Calculation!$D$19*Calculation!I63</f>
        <v>1050071.5496388145</v>
      </c>
      <c r="J40" s="38">
        <f>Calculation!$D$18/Calculation!$D$19*Calculation!J63</f>
        <v>1062038.4835831106</v>
      </c>
      <c r="K40" s="38">
        <f>Calculation!$D$18/Calculation!$D$19*Calculation!K63</f>
        <v>1069293.1059750973</v>
      </c>
    </row>
    <row r="41" spans="1:13" x14ac:dyDescent="0.2">
      <c r="A41" t="s">
        <v>15</v>
      </c>
      <c r="F41" s="38">
        <f>Calculation!$D$26/Calculation!$D$27*Calculation!F64+Calculation!F71</f>
        <v>4199922.9483640147</v>
      </c>
      <c r="G41" s="38">
        <f>Calculation!$D$26/Calculation!$D$27*Calculation!G64+Calculation!G71</f>
        <v>4506525.9483640147</v>
      </c>
      <c r="H41" s="38">
        <f>Calculation!$D$26/Calculation!$D$27*Calculation!H64+Calculation!H71</f>
        <v>4861050.9483640147</v>
      </c>
      <c r="I41" s="38">
        <f>Calculation!$D$26/Calculation!$D$27*Calculation!I64+Calculation!I71</f>
        <v>4120215.9483640147</v>
      </c>
      <c r="J41" s="38">
        <f>Calculation!$D$26/Calculation!$D$27*Calculation!J64+Calculation!J71</f>
        <v>3758355.9483640147</v>
      </c>
      <c r="K41" s="38">
        <f>Calculation!$D$26/Calculation!$D$27*Calculation!K64+Calculation!K71</f>
        <v>3753465.9483640147</v>
      </c>
    </row>
    <row r="42" spans="1:13" x14ac:dyDescent="0.2">
      <c r="A42" t="s">
        <v>101</v>
      </c>
      <c r="F42" s="38">
        <f>SUM(F40:F41)</f>
        <v>5231910.672156103</v>
      </c>
      <c r="G42" s="38">
        <f t="shared" ref="G42:K42" si="6">SUM(G40:G41)</f>
        <v>5542428.8812600002</v>
      </c>
      <c r="H42" s="38">
        <f t="shared" si="6"/>
        <v>5902266.9662676314</v>
      </c>
      <c r="I42" s="38">
        <f t="shared" si="6"/>
        <v>5170287.498002829</v>
      </c>
      <c r="J42" s="38">
        <f t="shared" si="6"/>
        <v>4820394.4319471251</v>
      </c>
      <c r="K42" s="38">
        <f t="shared" si="6"/>
        <v>4822759.0543391118</v>
      </c>
    </row>
    <row r="45" spans="1:13" x14ac:dyDescent="0.2">
      <c r="A45" t="s">
        <v>27</v>
      </c>
      <c r="F45" s="38">
        <f>F$29*$L58</f>
        <v>14500544.016705338</v>
      </c>
      <c r="G45" s="38">
        <f t="shared" ref="G45:K45" si="7">G$29*$L58</f>
        <v>14752016.965763371</v>
      </c>
      <c r="H45" s="38">
        <f t="shared" si="7"/>
        <v>15049142.708994387</v>
      </c>
      <c r="I45" s="38">
        <f t="shared" si="7"/>
        <v>14589444.90276208</v>
      </c>
      <c r="J45" s="38">
        <f>J$29*$L58</f>
        <v>14426622.814452879</v>
      </c>
      <c r="K45" s="38">
        <f t="shared" si="7"/>
        <v>14481708.867114829</v>
      </c>
    </row>
    <row r="46" spans="1:13" x14ac:dyDescent="0.2">
      <c r="A46" t="s">
        <v>33</v>
      </c>
      <c r="F46" s="38">
        <f>F$29*$L59</f>
        <v>5721789.7980315024</v>
      </c>
      <c r="G46" s="38">
        <f t="shared" ref="G46:K46" si="8">G$29*$L59</f>
        <v>5821018.8581787283</v>
      </c>
      <c r="H46" s="38">
        <f t="shared" si="8"/>
        <v>5938262.117769069</v>
      </c>
      <c r="I46" s="38">
        <f t="shared" si="8"/>
        <v>5756869.32210242</v>
      </c>
      <c r="J46" s="38">
        <f>J$29*$L59</f>
        <v>5692621.1281926967</v>
      </c>
      <c r="K46" s="38">
        <f t="shared" si="8"/>
        <v>5714357.6102013616</v>
      </c>
    </row>
    <row r="47" spans="1:13" x14ac:dyDescent="0.2">
      <c r="A47" t="s">
        <v>34</v>
      </c>
      <c r="F47" s="38">
        <f>Calculation!F93</f>
        <v>0</v>
      </c>
      <c r="G47" s="38">
        <f>Calculation!G93</f>
        <v>278030.43906396837</v>
      </c>
      <c r="H47" s="38">
        <f>Calculation!H93</f>
        <v>281000.34210679581</v>
      </c>
      <c r="I47" s="38">
        <f>Calculation!I93</f>
        <v>275997.83064184961</v>
      </c>
      <c r="J47" s="38">
        <f>Calculation!J93</f>
        <v>269814.94495346886</v>
      </c>
      <c r="K47" s="38">
        <f>Calculation!K93</f>
        <v>262456.08836938057</v>
      </c>
    </row>
    <row r="48" spans="1:13" x14ac:dyDescent="0.2">
      <c r="A48" t="s">
        <v>35</v>
      </c>
      <c r="F48" s="38">
        <f>F$29*$L61</f>
        <v>0</v>
      </c>
      <c r="G48" s="38">
        <f t="shared" ref="G48:K48" si="9">G$29*$L61</f>
        <v>0</v>
      </c>
      <c r="H48" s="38">
        <f t="shared" si="9"/>
        <v>0</v>
      </c>
      <c r="I48" s="38">
        <f t="shared" si="9"/>
        <v>0</v>
      </c>
      <c r="J48" s="38">
        <f>J$29*$L61</f>
        <v>0</v>
      </c>
      <c r="K48" s="38">
        <f t="shared" si="9"/>
        <v>0</v>
      </c>
    </row>
    <row r="49" spans="1:13" ht="13.5" x14ac:dyDescent="0.3">
      <c r="A49" t="s">
        <v>18</v>
      </c>
      <c r="F49" s="38">
        <f>SUM(F45:F48)</f>
        <v>20222333.814736839</v>
      </c>
      <c r="G49" s="38">
        <f t="shared" ref="G49:K49" si="10">SUM(G45:G48)</f>
        <v>20851066.263006069</v>
      </c>
      <c r="H49" s="38">
        <f t="shared" si="10"/>
        <v>21268405.168870252</v>
      </c>
      <c r="I49" s="38">
        <f t="shared" si="10"/>
        <v>20622312.055506349</v>
      </c>
      <c r="J49" s="38">
        <f t="shared" si="10"/>
        <v>20389058.887599044</v>
      </c>
      <c r="K49" s="38">
        <f t="shared" si="10"/>
        <v>20458522.56568557</v>
      </c>
      <c r="M49" s="44">
        <f>SUM(G49:K49)/1000000-SUM(K15:K18)</f>
        <v>0</v>
      </c>
    </row>
    <row r="57" spans="1:13" ht="19.5" thickBot="1" x14ac:dyDescent="0.3">
      <c r="A57" s="21" t="s">
        <v>3</v>
      </c>
      <c r="B57" s="21"/>
      <c r="C57" s="21"/>
      <c r="D57" s="21"/>
      <c r="E57" s="21"/>
      <c r="F57" s="36" t="s">
        <v>87</v>
      </c>
      <c r="G57" s="36" t="s">
        <v>5</v>
      </c>
      <c r="H57" s="36" t="s">
        <v>61</v>
      </c>
      <c r="L57" t="s">
        <v>102</v>
      </c>
    </row>
    <row r="58" spans="1:13" ht="14.25" thickTop="1" x14ac:dyDescent="0.3">
      <c r="A58" s="26" t="str">
        <f>A45</f>
        <v>Repairs and maintenance</v>
      </c>
      <c r="F58" s="35">
        <f>'Historic Data'!C50/Inputs!L$11</f>
        <v>12703149.13249865</v>
      </c>
      <c r="G58" s="35">
        <f>SUM('Historic Data'!D50:D54)/Inputs!M$11</f>
        <v>13095081.528804855</v>
      </c>
      <c r="L58" s="25">
        <f>G58/$G$62</f>
        <v>0.71705591202031294</v>
      </c>
    </row>
    <row r="59" spans="1:13" ht="13.5" x14ac:dyDescent="0.3">
      <c r="A59" s="26" t="str">
        <f t="shared" ref="A59:A62" si="11">A46</f>
        <v>Other operating</v>
      </c>
      <c r="F59" s="35">
        <f>'Historic Data'!C56/Inputs!L$11</f>
        <v>5134043.1798251849</v>
      </c>
      <c r="G59" s="35">
        <f>'Historic Data'!D56/Inputs!M$11</f>
        <v>5167206.4034002079</v>
      </c>
      <c r="L59" s="25">
        <f t="shared" ref="L59:L61" si="12">G59/$G$62</f>
        <v>0.28294408797968712</v>
      </c>
    </row>
    <row r="60" spans="1:13" ht="13.5" x14ac:dyDescent="0.3">
      <c r="A60" s="26" t="str">
        <f t="shared" si="11"/>
        <v>Debt raising</v>
      </c>
      <c r="F60" s="35"/>
      <c r="G60" s="35"/>
      <c r="L60" s="25">
        <f t="shared" si="12"/>
        <v>0</v>
      </c>
    </row>
    <row r="61" spans="1:13" ht="13.5" x14ac:dyDescent="0.3">
      <c r="A61" s="26" t="str">
        <f t="shared" si="11"/>
        <v>Equity raising</v>
      </c>
      <c r="F61" s="35">
        <f>'Historic Data'!C58/Inputs!L$11</f>
        <v>0</v>
      </c>
      <c r="G61" s="35">
        <f>'Historic Data'!D58/Inputs!M$11</f>
        <v>0</v>
      </c>
      <c r="L61" s="25">
        <f t="shared" si="12"/>
        <v>0</v>
      </c>
    </row>
    <row r="62" spans="1:13" ht="13.5" x14ac:dyDescent="0.3">
      <c r="A62" s="26" t="str">
        <f t="shared" si="11"/>
        <v>Total</v>
      </c>
      <c r="F62" s="35">
        <f>SUM(F58:F61)</f>
        <v>17837192.312323835</v>
      </c>
      <c r="G62" s="35">
        <f>SUM(G58:G61)</f>
        <v>18262287.932205062</v>
      </c>
      <c r="L62" s="25">
        <f>SUM(L58:L61)</f>
        <v>1</v>
      </c>
    </row>
    <row r="64" spans="1:13" ht="19.5" thickBot="1" x14ac:dyDescent="0.3">
      <c r="A64" s="21" t="s">
        <v>103</v>
      </c>
      <c r="B64" s="21"/>
      <c r="C64" s="21"/>
      <c r="D64" s="21"/>
      <c r="E64" s="21"/>
      <c r="F64" s="21"/>
      <c r="G64" s="37"/>
      <c r="H64" s="37"/>
      <c r="I64" s="37"/>
      <c r="J64" s="37"/>
      <c r="K64" s="37"/>
    </row>
    <row r="65" spans="5:11" ht="12" thickTop="1" x14ac:dyDescent="0.2"/>
    <row r="66" spans="5:11" ht="13.5" thickBot="1" x14ac:dyDescent="0.25">
      <c r="E66" s="30"/>
      <c r="F66" s="31"/>
      <c r="J66">
        <f t="shared" ref="J66:K66" si="13">J62</f>
        <v>0</v>
      </c>
      <c r="K66">
        <f t="shared" si="13"/>
        <v>0</v>
      </c>
    </row>
    <row r="67" spans="5:11" ht="17.25" thickBot="1" x14ac:dyDescent="0.25">
      <c r="E67" s="46" t="s">
        <v>104</v>
      </c>
      <c r="F67" s="47">
        <v>2023</v>
      </c>
      <c r="G67" s="47">
        <v>2024</v>
      </c>
      <c r="H67" s="47">
        <v>2025</v>
      </c>
      <c r="I67" s="47">
        <v>2026</v>
      </c>
      <c r="J67" s="47">
        <v>2027</v>
      </c>
      <c r="K67" s="47" t="s">
        <v>18</v>
      </c>
    </row>
    <row r="68" spans="5:11" ht="15" thickBot="1" x14ac:dyDescent="0.25">
      <c r="E68" s="48" t="s">
        <v>105</v>
      </c>
      <c r="F68" s="49">
        <f>(Inputs!P23+Inputs!P24)/1000000</f>
        <v>2.1773163755250002</v>
      </c>
      <c r="G68" s="49">
        <f>(Inputs!Q23+Inputs!Q24)/1000000</f>
        <v>2.531841375525</v>
      </c>
      <c r="H68" s="49">
        <f>(Inputs!R23+Inputs!R24)/1000000</f>
        <v>1.7910063755250001</v>
      </c>
      <c r="I68" s="49">
        <f>(Inputs!S23+Inputs!S24)/1000000</f>
        <v>1.429146375525</v>
      </c>
      <c r="J68" s="49">
        <f>(Inputs!T23+Inputs!T24)/1000000</f>
        <v>1.424256375525</v>
      </c>
      <c r="K68" s="49">
        <f>SUM(F68:J68)</f>
        <v>9.3535668776249992</v>
      </c>
    </row>
    <row r="69" spans="5:11" ht="15" thickBot="1" x14ac:dyDescent="0.25">
      <c r="E69" s="48" t="s">
        <v>106</v>
      </c>
      <c r="F69" s="49">
        <v>3.3235911426099474</v>
      </c>
      <c r="G69" s="49">
        <v>3.6709228161960699</v>
      </c>
      <c r="H69" s="49">
        <v>2.568319583939461</v>
      </c>
      <c r="I69" s="49">
        <v>1.7104802827334726</v>
      </c>
      <c r="J69" s="49">
        <v>1.7058181126182226</v>
      </c>
      <c r="K69" s="49">
        <f>SUM(F69:J69)</f>
        <v>12.979131938097174</v>
      </c>
    </row>
    <row r="70" spans="5:11" ht="14.25" thickBot="1" x14ac:dyDescent="0.25">
      <c r="E70" s="50" t="s">
        <v>20</v>
      </c>
      <c r="F70" s="51">
        <f t="shared" ref="F70:I70" si="14">F68-F69</f>
        <v>-1.1462747670849471</v>
      </c>
      <c r="G70" s="51">
        <f t="shared" si="14"/>
        <v>-1.1390814406710699</v>
      </c>
      <c r="H70" s="51">
        <f t="shared" si="14"/>
        <v>-0.77731320841446094</v>
      </c>
      <c r="I70" s="51">
        <f t="shared" si="14"/>
        <v>-0.28133390720847262</v>
      </c>
      <c r="J70" s="51">
        <f>J68-J69</f>
        <v>-0.28156173709322263</v>
      </c>
      <c r="K70" s="51">
        <f>K68-K69</f>
        <v>-3.6255650604721747</v>
      </c>
    </row>
  </sheetData>
  <mergeCells count="3">
    <mergeCell ref="E9:F9"/>
    <mergeCell ref="E10:F10"/>
    <mergeCell ref="E11:F11"/>
  </mergeCells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4" workbookViewId="0">
      <selection activeCell="E35" sqref="E35"/>
    </sheetView>
  </sheetViews>
  <sheetFormatPr defaultRowHeight="11.25" x14ac:dyDescent="0.2"/>
  <sheetData>
    <row r="1" spans="1:2" ht="24" x14ac:dyDescent="0.35">
      <c r="A1" s="24" t="s">
        <v>0</v>
      </c>
    </row>
    <row r="2" spans="1:2" ht="24" x14ac:dyDescent="0.35">
      <c r="A2" s="24" t="s">
        <v>1</v>
      </c>
    </row>
    <row r="3" spans="1:2" ht="13.5" thickBot="1" x14ac:dyDescent="0.25">
      <c r="A3" s="20" t="s">
        <v>2</v>
      </c>
      <c r="B3" s="20" t="str">
        <f ca="1">RIGHT(CELL("filename",A1),LEN(CELL("filename",A1))-FIND("]",CELL("filename",A1)))</f>
        <v>Graphs</v>
      </c>
    </row>
    <row r="4" spans="1:2" ht="12" thickTop="1" x14ac:dyDescent="0.2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11" ma:contentTypeDescription="Create a new document." ma:contentTypeScope="" ma:versionID="9e6b78fc3325611fe7ffd97e2b22c1c8">
  <xsd:schema xmlns:xsd="http://www.w3.org/2001/XMLSchema" xmlns:xs="http://www.w3.org/2001/XMLSchema" xmlns:p="http://schemas.microsoft.com/office/2006/metadata/properties" xmlns:ns2="92f33184-8f76-499f-8375-f72d6cfe5636" xmlns:ns3="64666f4f-5ef0-4a2c-bbe1-6139430fff00" targetNamespace="http://schemas.microsoft.com/office/2006/metadata/properties" ma:root="true" ma:fieldsID="9997bb42200b12f91a1dc060bc66f47a" ns2:_="" ns3:_=""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4666f4f-5ef0-4a2c-bbe1-6139430fff00">
      <UserInfo>
        <DisplayName>Chakrabarti, Nikhil</DisplayName>
        <AccountId>93</AccountId>
        <AccountType/>
      </UserInfo>
      <UserInfo>
        <DisplayName>Daguio, Joseph</DisplayName>
        <AccountId>92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10B243D-CA32-4385-8265-E2D011C6EB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9D0E3D-5615-4C1F-A7B9-1FE44CBCA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33184-8f76-499f-8375-f72d6cfe5636"/>
    <ds:schemaRef ds:uri="64666f4f-5ef0-4a2c-bbe1-6139430f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67FF4E-7B2D-4D68-8CCD-3AF281AB1E9E}">
  <ds:schemaRefs>
    <ds:schemaRef ds:uri="92f33184-8f76-499f-8375-f72d6cfe5636"/>
    <ds:schemaRef ds:uri="http://purl.org/dc/dcmitype/"/>
    <ds:schemaRef ds:uri="64666f4f-5ef0-4a2c-bbe1-6139430fff00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Historic Data</vt:lpstr>
      <vt:lpstr>Inputs</vt:lpstr>
      <vt:lpstr>Calculation</vt:lpstr>
      <vt:lpstr>Output</vt:lpstr>
      <vt:lpstr>Graphs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Allen, Mark</cp:lastModifiedBy>
  <cp:revision/>
  <dcterms:created xsi:type="dcterms:W3CDTF">2016-07-06T08:22:49Z</dcterms:created>
  <dcterms:modified xsi:type="dcterms:W3CDTF">2022-01-14T00:48:17Z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0x010100084BA54412A0814C9BFB6DB711AF1A38</vt:lpwstr>
  </property>
</Properties>
</file>