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atory\APT Assets\RBP\Price Changes\FY 22 Tariff Adjustment\"/>
    </mc:Choice>
  </mc:AlternateContent>
  <bookViews>
    <workbookView xWindow="0" yWindow="0" windowWidth="28800" windowHeight="13500"/>
  </bookViews>
  <sheets>
    <sheet name="Sheet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38" i="1" s="1"/>
  <c r="C66" i="1"/>
  <c r="C38" i="1" s="1"/>
  <c r="C19" i="1" l="1"/>
  <c r="D19" i="1" l="1"/>
  <c r="C46" i="1" l="1"/>
  <c r="D46" i="1"/>
  <c r="D27" i="1" l="1"/>
  <c r="D21" i="1" s="1"/>
  <c r="D2" i="1"/>
  <c r="C58" i="1" l="1"/>
  <c r="C56" i="1" s="1"/>
  <c r="C21" i="1"/>
  <c r="D58" i="1"/>
  <c r="D56" i="1" s="1"/>
  <c r="D40" i="1" l="1"/>
  <c r="D36" i="1" s="1"/>
  <c r="D68" i="1"/>
  <c r="D69" i="1" s="1"/>
  <c r="D71" i="1" s="1"/>
  <c r="C40" i="1"/>
  <c r="C36" i="1" s="1"/>
  <c r="C68" i="1"/>
  <c r="C69" i="1" s="1"/>
  <c r="C71" i="1" s="1"/>
  <c r="C8" i="1"/>
  <c r="D23" i="1" l="1"/>
  <c r="C44" i="1"/>
  <c r="C42" i="1" s="1"/>
  <c r="C10" i="1" l="1"/>
  <c r="C12" i="1" s="1"/>
  <c r="C6" i="1" s="1"/>
  <c r="C73" i="1" l="1"/>
  <c r="D8" i="1"/>
  <c r="D44" i="1" l="1"/>
  <c r="D42" i="1" s="1"/>
  <c r="D10" i="1"/>
  <c r="D12" i="1" s="1"/>
  <c r="D6" i="1" s="1"/>
  <c r="D73" i="1" l="1"/>
</calcChain>
</file>

<file path=xl/sharedStrings.xml><?xml version="1.0" encoding="utf-8"?>
<sst xmlns="http://schemas.openxmlformats.org/spreadsheetml/2006/main" count="38" uniqueCount="35">
  <si>
    <t>RTn</t>
  </si>
  <si>
    <t>RT'n</t>
  </si>
  <si>
    <t>RBn</t>
  </si>
  <si>
    <t>1-X</t>
  </si>
  <si>
    <t>1+(CPIn-1-CPIn2)/CPIn-2</t>
  </si>
  <si>
    <t>CPIn-1</t>
  </si>
  <si>
    <t>CPI n-2</t>
  </si>
  <si>
    <t>X</t>
  </si>
  <si>
    <t>Rn-1(1+WACC)</t>
  </si>
  <si>
    <t>WACCn</t>
  </si>
  <si>
    <t>Qn</t>
  </si>
  <si>
    <t>Capacity</t>
  </si>
  <si>
    <t>Days</t>
  </si>
  <si>
    <t>Gj</t>
  </si>
  <si>
    <t>Nominal Vanilla WACC</t>
  </si>
  <si>
    <t>Inflation</t>
  </si>
  <si>
    <t>Real Vanilla WACC</t>
  </si>
  <si>
    <t>Rebateable Services Revenue:</t>
  </si>
  <si>
    <t>Calendar 2019</t>
  </si>
  <si>
    <t>Calendar 2020</t>
  </si>
  <si>
    <t>Park and Loan</t>
  </si>
  <si>
    <t>In-Pipe Trading</t>
  </si>
  <si>
    <t>Capacity Trading</t>
  </si>
  <si>
    <t>Total</t>
  </si>
  <si>
    <t>Rebate proportion</t>
  </si>
  <si>
    <t>WACC adjustment</t>
  </si>
  <si>
    <t>Rebateable amount</t>
  </si>
  <si>
    <t>Forecast volume</t>
  </si>
  <si>
    <t>200 TJ/day</t>
  </si>
  <si>
    <t>Rebateable Services Tariff Impact ($/GJMDQ/day)</t>
  </si>
  <si>
    <t>Check</t>
  </si>
  <si>
    <t>RT'n-1</t>
  </si>
  <si>
    <t>RT'nQn</t>
  </si>
  <si>
    <t>Rn-1</t>
  </si>
  <si>
    <t>1-RBn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</si>
</sst>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&quot;$&quot;#,##0.0000;[Red]\-&quot;$&quot;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10.5"/>
      <color theme="1"/>
      <name val="Century Gothic"/>
      <family val="2"/>
    </font>
    <font>
      <sz val="16"/>
      <color theme="1"/>
      <name val="Calibri"/>
      <family val="2"/>
      <scheme val="minor"/>
    </font>
    <font>
      <sz val="14"/>
      <color theme="1"/>
      <name val="Century Gothic"/>
      <family val="2"/>
    </font>
    <font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5" fontId="3" fillId="0" borderId="0" xfId="0" applyNumberFormat="1" applyFont="1"/>
    <xf numFmtId="15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164" fontId="2" fillId="0" borderId="0" xfId="1" applyNumberFormat="1" applyFont="1"/>
    <xf numFmtId="0" fontId="2" fillId="2" borderId="0" xfId="0" applyFont="1" applyFill="1"/>
    <xf numFmtId="0" fontId="2" fillId="0" borderId="0" xfId="0" applyFont="1" applyFill="1"/>
    <xf numFmtId="43" fontId="2" fillId="0" borderId="0" xfId="1" applyFont="1" applyFill="1"/>
    <xf numFmtId="165" fontId="2" fillId="0" borderId="0" xfId="1" applyNumberFormat="1" applyFont="1"/>
    <xf numFmtId="10" fontId="2" fillId="0" borderId="0" xfId="0" applyNumberFormat="1" applyFont="1"/>
    <xf numFmtId="0" fontId="2" fillId="4" borderId="0" xfId="0" applyFont="1" applyFill="1"/>
    <xf numFmtId="3" fontId="2" fillId="0" borderId="0" xfId="0" applyNumberFormat="1" applyFont="1"/>
    <xf numFmtId="0" fontId="3" fillId="0" borderId="0" xfId="0" applyFont="1"/>
    <xf numFmtId="10" fontId="2" fillId="0" borderId="0" xfId="2" applyNumberFormat="1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/>
    <xf numFmtId="6" fontId="2" fillId="0" borderId="0" xfId="0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/>
    <xf numFmtId="0" fontId="2" fillId="0" borderId="4" xfId="0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5" borderId="0" xfId="0" applyFont="1" applyFill="1"/>
    <xf numFmtId="0" fontId="4" fillId="0" borderId="0" xfId="0" applyFont="1"/>
    <xf numFmtId="0" fontId="6" fillId="0" borderId="0" xfId="0" applyFont="1"/>
    <xf numFmtId="0" fontId="5" fillId="4" borderId="0" xfId="0" applyFont="1" applyFill="1"/>
    <xf numFmtId="10" fontId="2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152400</xdr:rowOff>
    </xdr:from>
    <xdr:to>
      <xdr:col>0</xdr:col>
      <xdr:colOff>1704975</xdr:colOff>
      <xdr:row>4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52450"/>
          <a:ext cx="15144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13</xdr:row>
      <xdr:rowOff>85725</xdr:rowOff>
    </xdr:from>
    <xdr:to>
      <xdr:col>1</xdr:col>
      <xdr:colOff>495300</xdr:colOff>
      <xdr:row>15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050"/>
          <a:ext cx="30289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209549</xdr:colOff>
      <xdr:row>31</xdr:row>
      <xdr:rowOff>0</xdr:rowOff>
    </xdr:from>
    <xdr:to>
      <xdr:col>0</xdr:col>
      <xdr:colOff>2495550</xdr:colOff>
      <xdr:row>32</xdr:row>
      <xdr:rowOff>71438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6257925"/>
          <a:ext cx="2286001" cy="40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workbookViewId="0">
      <selection activeCell="F14" sqref="F14"/>
    </sheetView>
  </sheetViews>
  <sheetFormatPr defaultRowHeight="15.75" x14ac:dyDescent="0.3"/>
  <cols>
    <col min="1" max="1" width="41.7109375" style="1" customWidth="1"/>
    <col min="2" max="2" width="9.140625" style="1"/>
    <col min="3" max="3" width="14" style="1" bestFit="1" customWidth="1"/>
    <col min="4" max="4" width="12.85546875" style="1" bestFit="1" customWidth="1"/>
    <col min="5" max="5" width="9.140625" style="1"/>
    <col min="6" max="6" width="14" style="1" customWidth="1"/>
    <col min="7" max="16384" width="9.140625" style="1"/>
  </cols>
  <sheetData>
    <row r="2" spans="1:6" x14ac:dyDescent="0.3">
      <c r="C2" s="2">
        <v>44013</v>
      </c>
      <c r="D2" s="2">
        <f t="shared" ref="D2" si="0">DATE(YEAR(C2)+1,MONTH(C2),DAY(C2))</f>
        <v>44378</v>
      </c>
      <c r="E2" s="3"/>
    </row>
    <row r="3" spans="1:6" x14ac:dyDescent="0.3">
      <c r="A3" s="4"/>
      <c r="B3" s="4"/>
      <c r="C3" s="4"/>
      <c r="D3" s="4"/>
    </row>
    <row r="4" spans="1:6" x14ac:dyDescent="0.3">
      <c r="A4" s="4"/>
      <c r="B4" s="4"/>
      <c r="C4" s="4"/>
      <c r="D4" s="4"/>
      <c r="F4"/>
    </row>
    <row r="5" spans="1:6" x14ac:dyDescent="0.3">
      <c r="A5" s="4"/>
      <c r="B5" s="4"/>
      <c r="C5" s="4"/>
      <c r="D5" s="4"/>
    </row>
    <row r="6" spans="1:6" x14ac:dyDescent="0.3">
      <c r="A6" s="1" t="s">
        <v>0</v>
      </c>
      <c r="C6" s="5">
        <f t="shared" ref="C6" si="1">C8*(C12)</f>
        <v>0.65135315894629742</v>
      </c>
      <c r="D6" s="5">
        <f>D8*(D12)</f>
        <v>0.58019200995573394</v>
      </c>
      <c r="F6" s="5"/>
    </row>
    <row r="7" spans="1:6" x14ac:dyDescent="0.3">
      <c r="C7" s="5"/>
      <c r="D7" s="5"/>
    </row>
    <row r="8" spans="1:6" x14ac:dyDescent="0.3">
      <c r="A8" s="1" t="s">
        <v>1</v>
      </c>
      <c r="C8" s="5">
        <f t="shared" ref="C8:D8" si="2">C23*C21*C19</f>
        <v>0.66041283806648177</v>
      </c>
      <c r="D8" s="5">
        <f t="shared" si="2"/>
        <v>0.59248307710125336</v>
      </c>
    </row>
    <row r="9" spans="1:6" x14ac:dyDescent="0.3">
      <c r="C9" s="5"/>
      <c r="D9" s="5"/>
    </row>
    <row r="10" spans="1:6" x14ac:dyDescent="0.3">
      <c r="A10" s="1" t="s">
        <v>2</v>
      </c>
      <c r="C10" s="6">
        <f t="shared" ref="C10:D10" si="3">C36/C42*0.7</f>
        <v>1.3718205640442642E-2</v>
      </c>
      <c r="D10" s="6">
        <f t="shared" si="3"/>
        <v>2.0745009639184946E-2</v>
      </c>
    </row>
    <row r="11" spans="1:6" x14ac:dyDescent="0.3">
      <c r="C11" s="6"/>
      <c r="D11" s="6"/>
    </row>
    <row r="12" spans="1:6" x14ac:dyDescent="0.3">
      <c r="A12" s="1" t="s">
        <v>34</v>
      </c>
      <c r="C12" s="6">
        <f t="shared" ref="C12:D12" si="4">1-C10</f>
        <v>0.98628179435955732</v>
      </c>
      <c r="D12" s="6">
        <f t="shared" si="4"/>
        <v>0.97925499036081509</v>
      </c>
    </row>
    <row r="14" spans="1:6" x14ac:dyDescent="0.3">
      <c r="A14" s="7"/>
      <c r="B14" s="7"/>
      <c r="C14" s="7"/>
      <c r="D14" s="7"/>
    </row>
    <row r="15" spans="1:6" x14ac:dyDescent="0.3">
      <c r="A15" s="7"/>
      <c r="B15" s="7"/>
      <c r="C15" s="7"/>
      <c r="D15" s="7"/>
      <c r="F15"/>
    </row>
    <row r="16" spans="1:6" x14ac:dyDescent="0.3">
      <c r="A16" s="7"/>
      <c r="B16" s="7"/>
      <c r="C16" s="7"/>
      <c r="D16" s="7"/>
    </row>
    <row r="17" spans="1:10" x14ac:dyDescent="0.3">
      <c r="A17" s="7"/>
      <c r="B17" s="7"/>
      <c r="C17" s="7"/>
      <c r="D17" s="7"/>
    </row>
    <row r="18" spans="1:10" x14ac:dyDescent="0.3">
      <c r="A18" s="8"/>
      <c r="B18" s="8"/>
      <c r="C18" s="8"/>
      <c r="D18" s="8"/>
    </row>
    <row r="19" spans="1:10" x14ac:dyDescent="0.3">
      <c r="A19" s="8" t="s">
        <v>3</v>
      </c>
      <c r="B19" s="8"/>
      <c r="C19" s="9">
        <f t="shared" ref="C19:D19" si="5">1-C29</f>
        <v>0.91710059818229317</v>
      </c>
      <c r="D19" s="9">
        <f t="shared" si="5"/>
        <v>0.88724832565824285</v>
      </c>
    </row>
    <row r="20" spans="1:10" x14ac:dyDescent="0.3">
      <c r="A20" s="8"/>
      <c r="B20" s="8"/>
      <c r="C20" s="8"/>
      <c r="D20" s="8"/>
    </row>
    <row r="21" spans="1:10" x14ac:dyDescent="0.3">
      <c r="A21" s="8" t="s">
        <v>4</v>
      </c>
      <c r="B21" s="8"/>
      <c r="C21" s="8">
        <f t="shared" ref="C21:D21" si="6">1+(C25-C27)/C27</f>
        <v>1.0219106047326907</v>
      </c>
      <c r="D21" s="8">
        <f t="shared" si="6"/>
        <v>1.0111492281303602</v>
      </c>
    </row>
    <row r="23" spans="1:10" x14ac:dyDescent="0.3">
      <c r="A23" s="1" t="s">
        <v>31</v>
      </c>
      <c r="C23" s="10">
        <v>0.70466974327908183</v>
      </c>
      <c r="D23" s="10">
        <f t="shared" ref="D23" si="7">C8</f>
        <v>0.66041283806648177</v>
      </c>
    </row>
    <row r="25" spans="1:10" x14ac:dyDescent="0.3">
      <c r="A25" s="1" t="s">
        <v>5</v>
      </c>
      <c r="C25" s="1">
        <v>116.6</v>
      </c>
      <c r="D25" s="1">
        <v>117.9</v>
      </c>
    </row>
    <row r="27" spans="1:10" x14ac:dyDescent="0.3">
      <c r="A27" s="1" t="s">
        <v>6</v>
      </c>
      <c r="C27" s="1">
        <v>114.1</v>
      </c>
      <c r="D27" s="1">
        <f>C25</f>
        <v>116.6</v>
      </c>
    </row>
    <row r="29" spans="1:10" x14ac:dyDescent="0.3">
      <c r="A29" s="1" t="s">
        <v>7</v>
      </c>
      <c r="C29" s="11">
        <v>8.2899401817706816E-2</v>
      </c>
      <c r="D29" s="11">
        <v>0.1127516743417571</v>
      </c>
    </row>
    <row r="31" spans="1:10" ht="20.25" x14ac:dyDescent="0.3">
      <c r="A31" s="12"/>
      <c r="B31" s="12"/>
      <c r="C31" s="12"/>
      <c r="D31" s="12"/>
      <c r="F31"/>
      <c r="G31" s="36"/>
      <c r="H31" s="36"/>
      <c r="I31" s="36"/>
      <c r="J31" s="36"/>
    </row>
    <row r="32" spans="1:10" ht="26.25" customHeight="1" x14ac:dyDescent="0.35">
      <c r="A32" s="37"/>
      <c r="B32" s="12"/>
      <c r="C32" s="12"/>
      <c r="D32" s="12"/>
      <c r="F32"/>
      <c r="G32" s="35"/>
      <c r="H32" s="36"/>
      <c r="I32" s="36"/>
      <c r="J32" s="36"/>
    </row>
    <row r="33" spans="1:10" ht="20.25" x14ac:dyDescent="0.3">
      <c r="A33" s="12"/>
      <c r="B33" s="12"/>
      <c r="C33" s="12"/>
      <c r="D33" s="12"/>
      <c r="G33" s="36"/>
      <c r="H33" s="36"/>
      <c r="I33" s="36"/>
      <c r="J33" s="36"/>
    </row>
    <row r="34" spans="1:10" x14ac:dyDescent="0.3">
      <c r="A34" s="12"/>
      <c r="B34" s="12"/>
      <c r="C34" s="12"/>
      <c r="D34" s="12"/>
    </row>
    <row r="36" spans="1:10" x14ac:dyDescent="0.3">
      <c r="A36" s="1" t="s">
        <v>8</v>
      </c>
      <c r="C36" s="13">
        <f t="shared" ref="C36:D36" si="8">C38*(1+C40)</f>
        <v>944795.10824779584</v>
      </c>
      <c r="D36" s="13">
        <f t="shared" si="8"/>
        <v>1281782.7166041723</v>
      </c>
    </row>
    <row r="38" spans="1:10" x14ac:dyDescent="0.3">
      <c r="A38" s="34" t="s">
        <v>33</v>
      </c>
      <c r="C38" s="13">
        <f t="shared" ref="C38:D38" si="9">C66</f>
        <v>898070</v>
      </c>
      <c r="D38" s="13">
        <f t="shared" si="9"/>
        <v>1232560</v>
      </c>
    </row>
    <row r="40" spans="1:10" x14ac:dyDescent="0.3">
      <c r="A40" s="1" t="s">
        <v>9</v>
      </c>
      <c r="C40" s="15">
        <f t="shared" ref="C40:D40" si="10">C56</f>
        <v>5.2028358867121538E-2</v>
      </c>
      <c r="D40" s="15">
        <f t="shared" si="10"/>
        <v>3.9935351304741573E-2</v>
      </c>
    </row>
    <row r="42" spans="1:10" x14ac:dyDescent="0.3">
      <c r="A42" s="1" t="s">
        <v>32</v>
      </c>
      <c r="C42" s="13">
        <f t="shared" ref="C42:D42" si="11">C44*C46</f>
        <v>48210137.178853169</v>
      </c>
      <c r="D42" s="13">
        <f t="shared" si="11"/>
        <v>43251264.628391497</v>
      </c>
    </row>
    <row r="44" spans="1:10" x14ac:dyDescent="0.3">
      <c r="A44" s="1" t="s">
        <v>1</v>
      </c>
      <c r="C44" s="5">
        <f t="shared" ref="C44:D44" si="12">C8</f>
        <v>0.66041283806648177</v>
      </c>
      <c r="D44" s="5">
        <f t="shared" si="12"/>
        <v>0.59248307710125336</v>
      </c>
    </row>
    <row r="46" spans="1:10" x14ac:dyDescent="0.3">
      <c r="A46" s="1" t="s">
        <v>10</v>
      </c>
      <c r="C46" s="1">
        <f t="shared" ref="C46:D46" si="13">C48*C50*C52</f>
        <v>73000000</v>
      </c>
      <c r="D46" s="1">
        <f t="shared" si="13"/>
        <v>73000000</v>
      </c>
    </row>
    <row r="48" spans="1:10" x14ac:dyDescent="0.3">
      <c r="A48" s="1" t="s">
        <v>11</v>
      </c>
      <c r="C48" s="1">
        <v>200</v>
      </c>
      <c r="D48" s="1">
        <v>200</v>
      </c>
    </row>
    <row r="50" spans="1:4" x14ac:dyDescent="0.3">
      <c r="A50" s="1" t="s">
        <v>12</v>
      </c>
      <c r="C50" s="1">
        <v>365</v>
      </c>
      <c r="D50" s="1">
        <v>365</v>
      </c>
    </row>
    <row r="52" spans="1:4" x14ac:dyDescent="0.3">
      <c r="A52" s="1" t="s">
        <v>13</v>
      </c>
      <c r="C52" s="1">
        <v>1000</v>
      </c>
      <c r="D52" s="1">
        <v>1000</v>
      </c>
    </row>
    <row r="54" spans="1:4" x14ac:dyDescent="0.3">
      <c r="A54" s="14" t="s">
        <v>9</v>
      </c>
    </row>
    <row r="56" spans="1:4" x14ac:dyDescent="0.3">
      <c r="A56" s="1" t="s">
        <v>14</v>
      </c>
      <c r="C56" s="15">
        <f t="shared" ref="C56:D56" si="14">(1+C60)*(1+C58)-1</f>
        <v>5.2028358867121538E-2</v>
      </c>
      <c r="D56" s="15">
        <f t="shared" si="14"/>
        <v>3.9935351304741573E-2</v>
      </c>
    </row>
    <row r="58" spans="1:4" x14ac:dyDescent="0.3">
      <c r="A58" s="1" t="s">
        <v>15</v>
      </c>
      <c r="C58" s="15">
        <f>C25/C27-1</f>
        <v>2.1910604732690686E-2</v>
      </c>
      <c r="D58" s="15">
        <f>D25/D27-1</f>
        <v>1.1149228130360234E-2</v>
      </c>
    </row>
    <row r="60" spans="1:4" x14ac:dyDescent="0.3">
      <c r="A60" s="1" t="s">
        <v>16</v>
      </c>
      <c r="C60" s="11">
        <v>2.9472004689010102E-2</v>
      </c>
      <c r="D60" s="38">
        <v>2.84687189324246E-2</v>
      </c>
    </row>
    <row r="61" spans="1:4" ht="16.5" thickBot="1" x14ac:dyDescent="0.35"/>
    <row r="62" spans="1:4" ht="31.5" x14ac:dyDescent="0.3">
      <c r="A62" s="16" t="s">
        <v>17</v>
      </c>
      <c r="B62" s="17"/>
      <c r="C62" s="18" t="s">
        <v>18</v>
      </c>
      <c r="D62" s="27" t="s">
        <v>19</v>
      </c>
    </row>
    <row r="63" spans="1:4" x14ac:dyDescent="0.3">
      <c r="A63" s="19" t="s">
        <v>20</v>
      </c>
      <c r="B63" s="20"/>
      <c r="C63" s="21">
        <v>599583</v>
      </c>
      <c r="D63" s="28">
        <v>811571</v>
      </c>
    </row>
    <row r="64" spans="1:4" x14ac:dyDescent="0.3">
      <c r="A64" s="19" t="s">
        <v>21</v>
      </c>
      <c r="B64" s="20"/>
      <c r="C64" s="21">
        <v>199668</v>
      </c>
      <c r="D64" s="28">
        <v>277498</v>
      </c>
    </row>
    <row r="65" spans="1:4" x14ac:dyDescent="0.3">
      <c r="A65" s="19" t="s">
        <v>22</v>
      </c>
      <c r="B65" s="20"/>
      <c r="C65" s="21">
        <v>98819</v>
      </c>
      <c r="D65" s="28">
        <v>143491</v>
      </c>
    </row>
    <row r="66" spans="1:4" x14ac:dyDescent="0.3">
      <c r="A66" s="19" t="s">
        <v>23</v>
      </c>
      <c r="B66" s="20"/>
      <c r="C66" s="21">
        <f>SUM(C63:C65)</f>
        <v>898070</v>
      </c>
      <c r="D66" s="28">
        <f>SUM(D63:D65)</f>
        <v>1232560</v>
      </c>
    </row>
    <row r="67" spans="1:4" x14ac:dyDescent="0.3">
      <c r="A67" s="19" t="s">
        <v>24</v>
      </c>
      <c r="B67" s="20"/>
      <c r="C67" s="22">
        <v>0.7</v>
      </c>
      <c r="D67" s="29">
        <v>0.7</v>
      </c>
    </row>
    <row r="68" spans="1:4" x14ac:dyDescent="0.3">
      <c r="A68" s="19" t="s">
        <v>25</v>
      </c>
      <c r="B68" s="20"/>
      <c r="C68" s="23">
        <f>C56</f>
        <v>5.2028358867121538E-2</v>
      </c>
      <c r="D68" s="30">
        <f>D56</f>
        <v>3.9935351304741573E-2</v>
      </c>
    </row>
    <row r="69" spans="1:4" x14ac:dyDescent="0.3">
      <c r="A69" s="19" t="s">
        <v>26</v>
      </c>
      <c r="B69" s="20"/>
      <c r="C69" s="21">
        <f>C66*((1+C68)*C67)</f>
        <v>661356.57577345707</v>
      </c>
      <c r="D69" s="28">
        <f>D66*((1+D68)*D67)</f>
        <v>897247.90162292065</v>
      </c>
    </row>
    <row r="70" spans="1:4" x14ac:dyDescent="0.3">
      <c r="A70" s="19" t="s">
        <v>27</v>
      </c>
      <c r="B70" s="20"/>
      <c r="C70" s="24" t="s">
        <v>28</v>
      </c>
      <c r="D70" s="31" t="s">
        <v>28</v>
      </c>
    </row>
    <row r="71" spans="1:4" ht="32.25" thickBot="1" x14ac:dyDescent="0.35">
      <c r="A71" s="25" t="s">
        <v>29</v>
      </c>
      <c r="B71" s="26"/>
      <c r="C71" s="32">
        <f>C69/C46</f>
        <v>9.0596791201843427E-3</v>
      </c>
      <c r="D71" s="33">
        <f>D69/D46</f>
        <v>1.229106714551946E-2</v>
      </c>
    </row>
    <row r="73" spans="1:4" x14ac:dyDescent="0.3">
      <c r="A73" s="1" t="s">
        <v>30</v>
      </c>
      <c r="C73" s="21">
        <f>C10*C8*C46</f>
        <v>661356.57577345707</v>
      </c>
      <c r="D73" s="21">
        <f>D10*D8*D46</f>
        <v>897247.90162292053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4" ma:contentTypeDescription="Create a new document." ma:contentTypeScope="" ma:versionID="5cd78c2669e9e6c3e28bc98813a625e3">
  <xsd:schema xmlns:xsd="http://www.w3.org/2001/XMLSchema" xmlns:xs="http://www.w3.org/2001/XMLSchema" xmlns:p="http://schemas.microsoft.com/office/2006/metadata/properties" xmlns:ns2="92f33184-8f76-499f-8375-f72d6cfe5636" targetNamespace="http://schemas.microsoft.com/office/2006/metadata/properties" ma:root="true" ma:fieldsID="433e04c74881fc40eceb751dfea69118" ns2:_="">
    <xsd:import namespace="92f33184-8f76-499f-8375-f72d6cfe5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659E8-8474-4EF9-901D-6046D064C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48E7B-8686-4E83-981A-A92E51295B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f33184-8f76-499f-8375-f72d6cfe5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F3ABF3-2705-4752-983C-30C63305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APA</cp:lastModifiedBy>
  <cp:revision/>
  <dcterms:created xsi:type="dcterms:W3CDTF">2020-04-29T01:35:56Z</dcterms:created>
  <dcterms:modified xsi:type="dcterms:W3CDTF">2021-05-05T23:44:15Z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