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workbookProtection lockStructure="1"/>
  <bookViews>
    <workbookView xWindow="360" yWindow="105" windowWidth="24240" windowHeight="4170" tabRatio="697"/>
  </bookViews>
  <sheets>
    <sheet name="Summary" sheetId="12" r:id="rId1"/>
    <sheet name="Advice and Support" sheetId="11" r:id="rId2"/>
    <sheet name="Industry Engagement &amp; Training " sheetId="5" r:id="rId3"/>
    <sheet name="Project Management" sheetId="6" r:id="rId4"/>
    <sheet name="Policy &amp; Procedures" sheetId="7" r:id="rId5"/>
    <sheet name="Tariff uptake model" sheetId="13" r:id="rId6"/>
  </sheets>
  <calcPr calcId="125725"/>
</workbook>
</file>

<file path=xl/calcChain.xml><?xml version="1.0" encoding="utf-8"?>
<calcChain xmlns="http://schemas.openxmlformats.org/spreadsheetml/2006/main">
  <c r="E7" i="12"/>
  <c r="F7"/>
  <c r="G7"/>
  <c r="H7"/>
  <c r="D7"/>
  <c r="C35" i="11"/>
  <c r="D35"/>
  <c r="E35"/>
  <c r="F35"/>
  <c r="G35"/>
  <c r="B35"/>
  <c r="C34"/>
  <c r="D34"/>
  <c r="E34"/>
  <c r="F34"/>
  <c r="G34"/>
  <c r="B34"/>
  <c r="H13" i="13"/>
  <c r="H12"/>
  <c r="H11"/>
  <c r="H8"/>
  <c r="H7"/>
  <c r="H4"/>
  <c r="J37"/>
  <c r="H2"/>
  <c r="G8" i="5" l="1"/>
  <c r="F8"/>
  <c r="E19" i="12" l="1"/>
  <c r="F19"/>
  <c r="G19"/>
  <c r="H19"/>
  <c r="D19"/>
  <c r="E18"/>
  <c r="F18"/>
  <c r="G18"/>
  <c r="H18"/>
  <c r="D18"/>
  <c r="B101" i="11"/>
  <c r="B102"/>
  <c r="C103"/>
  <c r="D20" i="12" s="1"/>
  <c r="D103" i="11"/>
  <c r="D104" s="1"/>
  <c r="E103"/>
  <c r="F20" i="12" s="1"/>
  <c r="F103" i="11"/>
  <c r="F104" s="1"/>
  <c r="G103"/>
  <c r="G104" s="1"/>
  <c r="D4" i="13"/>
  <c r="C4"/>
  <c r="E4"/>
  <c r="F4"/>
  <c r="G4"/>
  <c r="H27"/>
  <c r="I27"/>
  <c r="G27"/>
  <c r="G26"/>
  <c r="H26"/>
  <c r="F26"/>
  <c r="F25"/>
  <c r="G25"/>
  <c r="E25"/>
  <c r="E104" i="11" l="1"/>
  <c r="H20" i="12"/>
  <c r="G20"/>
  <c r="E20"/>
  <c r="B103" i="11"/>
  <c r="C104"/>
  <c r="B104" l="1"/>
  <c r="D38" i="13" l="1"/>
  <c r="E37"/>
  <c r="E38" s="1"/>
  <c r="I28"/>
  <c r="E28"/>
  <c r="C9" s="1"/>
  <c r="C28"/>
  <c r="H28"/>
  <c r="F9" s="1"/>
  <c r="F28"/>
  <c r="D9" s="1"/>
  <c r="G28"/>
  <c r="E9" s="1"/>
  <c r="F11"/>
  <c r="G9"/>
  <c r="G8"/>
  <c r="F8"/>
  <c r="E8"/>
  <c r="D8"/>
  <c r="C8"/>
  <c r="D7"/>
  <c r="C7"/>
  <c r="G11"/>
  <c r="F13"/>
  <c r="E13"/>
  <c r="D13"/>
  <c r="C11"/>
  <c r="C12" s="1"/>
  <c r="F9" i="12"/>
  <c r="G9"/>
  <c r="H9"/>
  <c r="C22" i="5"/>
  <c r="C23"/>
  <c r="C24"/>
  <c r="C25"/>
  <c r="C26"/>
  <c r="C27"/>
  <c r="C28"/>
  <c r="C29"/>
  <c r="C30"/>
  <c r="C31"/>
  <c r="C33"/>
  <c r="C32"/>
  <c r="F33"/>
  <c r="F32"/>
  <c r="G33"/>
  <c r="G32"/>
  <c r="E17" i="12"/>
  <c r="F17"/>
  <c r="G17"/>
  <c r="H17"/>
  <c r="D17"/>
  <c r="E8"/>
  <c r="F8"/>
  <c r="G8"/>
  <c r="H8"/>
  <c r="D8"/>
  <c r="F6"/>
  <c r="G6"/>
  <c r="H6"/>
  <c r="C20" l="1"/>
  <c r="C13" i="13"/>
  <c r="G13"/>
  <c r="C17" i="12"/>
  <c r="C8"/>
  <c r="F37" i="13"/>
  <c r="F38" s="1"/>
  <c r="E11"/>
  <c r="D11"/>
  <c r="D12" s="1"/>
  <c r="C18" i="12"/>
  <c r="C19"/>
  <c r="G11"/>
  <c r="C34" i="5"/>
  <c r="H11" i="12"/>
  <c r="F11"/>
  <c r="E12" i="13" l="1"/>
  <c r="F12" s="1"/>
  <c r="G12" s="1"/>
  <c r="G37"/>
  <c r="G38" s="1"/>
  <c r="H37" l="1"/>
  <c r="H38" s="1"/>
  <c r="I37" l="1"/>
  <c r="I38" s="1"/>
  <c r="J38" l="1"/>
  <c r="B52" i="11" l="1"/>
  <c r="D46" s="1"/>
  <c r="F85"/>
  <c r="F6" s="1"/>
  <c r="E85"/>
  <c r="E6" s="1"/>
  <c r="D85"/>
  <c r="D6"/>
  <c r="C85"/>
  <c r="C6" s="1"/>
  <c r="G94"/>
  <c r="G22" s="1"/>
  <c r="G23" s="1"/>
  <c r="F94"/>
  <c r="F22" s="1"/>
  <c r="F23" s="1"/>
  <c r="F5" s="1"/>
  <c r="E94"/>
  <c r="E22" s="1"/>
  <c r="E23" s="1"/>
  <c r="E5" s="1"/>
  <c r="G16" i="12" s="1"/>
  <c r="D94" i="11"/>
  <c r="D22" s="1"/>
  <c r="D23" s="1"/>
  <c r="D5" s="1"/>
  <c r="C94"/>
  <c r="C22" s="1"/>
  <c r="C23" s="1"/>
  <c r="C5" s="1"/>
  <c r="B94"/>
  <c r="B22" s="1"/>
  <c r="B23" s="1"/>
  <c r="B5" s="1"/>
  <c r="B85"/>
  <c r="B6" s="1"/>
  <c r="G84"/>
  <c r="G85" s="1"/>
  <c r="D5" i="7"/>
  <c r="C5"/>
  <c r="B5"/>
  <c r="D38"/>
  <c r="D37"/>
  <c r="D36"/>
  <c r="F23" i="6"/>
  <c r="F21"/>
  <c r="F20"/>
  <c r="F19"/>
  <c r="F18"/>
  <c r="F17"/>
  <c r="F16"/>
  <c r="F22" i="5"/>
  <c r="G31"/>
  <c r="G30"/>
  <c r="G29"/>
  <c r="G28"/>
  <c r="G27"/>
  <c r="G26"/>
  <c r="G25"/>
  <c r="G24"/>
  <c r="G23"/>
  <c r="F23"/>
  <c r="G22"/>
  <c r="F31"/>
  <c r="F30"/>
  <c r="F29"/>
  <c r="F28"/>
  <c r="F27"/>
  <c r="F26"/>
  <c r="F25"/>
  <c r="F24"/>
  <c r="B3" i="7"/>
  <c r="B10"/>
  <c r="G12"/>
  <c r="D12"/>
  <c r="B12" s="1"/>
  <c r="E12"/>
  <c r="F12"/>
  <c r="D10" i="6"/>
  <c r="B10" s="1"/>
  <c r="C12"/>
  <c r="D12" s="1"/>
  <c r="B12" s="1"/>
  <c r="C3" l="1"/>
  <c r="C6" s="1"/>
  <c r="D3"/>
  <c r="F25"/>
  <c r="D12" i="5"/>
  <c r="E9" i="12" s="1"/>
  <c r="G34" i="5"/>
  <c r="C8"/>
  <c r="F34"/>
  <c r="C12" s="1"/>
  <c r="D49" i="11"/>
  <c r="E16" i="12"/>
  <c r="H16"/>
  <c r="F16"/>
  <c r="G59" i="11"/>
  <c r="D16" i="12"/>
  <c r="G5" i="11"/>
  <c r="B36"/>
  <c r="B72" s="1"/>
  <c r="B59"/>
  <c r="G6"/>
  <c r="D47"/>
  <c r="D51"/>
  <c r="D50"/>
  <c r="C59"/>
  <c r="D48"/>
  <c r="D8" i="5"/>
  <c r="D6" i="12" l="1"/>
  <c r="E6"/>
  <c r="E11" s="1"/>
  <c r="D6" i="6"/>
  <c r="B6"/>
  <c r="B3"/>
  <c r="E8" i="5"/>
  <c r="B8" s="1"/>
  <c r="D9" i="12"/>
  <c r="C9" s="1"/>
  <c r="B12" i="5"/>
  <c r="D52" i="11"/>
  <c r="B74" s="1"/>
  <c r="B75" s="1"/>
  <c r="B14" s="1"/>
  <c r="C16" i="12"/>
  <c r="D59" i="11"/>
  <c r="C60" s="1"/>
  <c r="C36"/>
  <c r="C72" s="1"/>
  <c r="F59"/>
  <c r="E59"/>
  <c r="C6" i="12" l="1"/>
  <c r="E60" i="11"/>
  <c r="E61" s="1"/>
  <c r="E62" s="1"/>
  <c r="E13" s="1"/>
  <c r="D11" i="12"/>
  <c r="C7"/>
  <c r="C11" s="1"/>
  <c r="C61" i="11"/>
  <c r="C62" s="1"/>
  <c r="C13" s="1"/>
  <c r="B61"/>
  <c r="B62" s="1"/>
  <c r="B13" s="1"/>
  <c r="B15" s="1"/>
  <c r="B18" s="1"/>
  <c r="D60"/>
  <c r="D61" s="1"/>
  <c r="D62" s="1"/>
  <c r="D13" s="1"/>
  <c r="F60"/>
  <c r="F61" s="1"/>
  <c r="F62" s="1"/>
  <c r="F13" s="1"/>
  <c r="D36"/>
  <c r="D72" s="1"/>
  <c r="C73"/>
  <c r="C74" s="1"/>
  <c r="C75" s="1"/>
  <c r="C14" s="1"/>
  <c r="C15" l="1"/>
  <c r="C18" s="1"/>
  <c r="C19" s="1"/>
  <c r="C4" s="1"/>
  <c r="C7" s="1"/>
  <c r="G13"/>
  <c r="E36"/>
  <c r="E72" s="1"/>
  <c r="D73"/>
  <c r="D74" s="1"/>
  <c r="D75" s="1"/>
  <c r="D14" s="1"/>
  <c r="D15" s="1"/>
  <c r="D18" s="1"/>
  <c r="D19" s="1"/>
  <c r="D4" s="1"/>
  <c r="B19"/>
  <c r="E15" i="12" l="1"/>
  <c r="E22" s="1"/>
  <c r="F15"/>
  <c r="F22" s="1"/>
  <c r="D7" i="11"/>
  <c r="B4"/>
  <c r="E73"/>
  <c r="E74" s="1"/>
  <c r="E75" s="1"/>
  <c r="E14" s="1"/>
  <c r="E15" s="1"/>
  <c r="E18" s="1"/>
  <c r="E19" s="1"/>
  <c r="E4" s="1"/>
  <c r="F36"/>
  <c r="F72" s="1"/>
  <c r="G15" i="12" l="1"/>
  <c r="G22" s="1"/>
  <c r="E7" i="11"/>
  <c r="F73"/>
  <c r="F74" s="1"/>
  <c r="F75" s="1"/>
  <c r="F14" s="1"/>
  <c r="G36"/>
  <c r="D15" i="12"/>
  <c r="F15" i="11" l="1"/>
  <c r="F18" s="1"/>
  <c r="G14"/>
  <c r="G15" s="1"/>
  <c r="D22" i="12"/>
  <c r="F19" i="11" l="1"/>
  <c r="G18"/>
  <c r="F4" l="1"/>
  <c r="G19"/>
  <c r="H15" i="12" l="1"/>
  <c r="F7" i="11"/>
  <c r="G4"/>
  <c r="G7" l="1"/>
  <c r="H22" i="12"/>
  <c r="C15"/>
  <c r="C22" s="1"/>
</calcChain>
</file>

<file path=xl/sharedStrings.xml><?xml version="1.0" encoding="utf-8"?>
<sst xmlns="http://schemas.openxmlformats.org/spreadsheetml/2006/main" count="362" uniqueCount="257">
  <si>
    <t>CAPEX New tariff customer engagement</t>
  </si>
  <si>
    <t>Total CAPEX</t>
  </si>
  <si>
    <t>OPEX New tariff customer support</t>
  </si>
  <si>
    <t>Total OPEX</t>
  </si>
  <si>
    <t xml:space="preserve">Item </t>
  </si>
  <si>
    <t>Based on 45,000 customers to be placed on the tariff in year 1</t>
  </si>
  <si>
    <t>($,000)</t>
  </si>
  <si>
    <t xml:space="preserve">Policy Development </t>
  </si>
  <si>
    <t>Hardship Policy</t>
  </si>
  <si>
    <t>1. Opt In /Opt Out</t>
  </si>
  <si>
    <t>2. Move In / Move Out</t>
  </si>
  <si>
    <t>3. Holiday Homes</t>
  </si>
  <si>
    <t>4. Long Term Absence (Holiday)</t>
  </si>
  <si>
    <t xml:space="preserve">Policy Review </t>
  </si>
  <si>
    <t xml:space="preserve">5. Estimation </t>
  </si>
  <si>
    <t>6. Long term access issues</t>
  </si>
  <si>
    <t>7. Disputes / Adjustments  (introductory phase?)</t>
  </si>
  <si>
    <t>8. Adds / Alts (mandatory vs discretionary, e.g. housing trsut)</t>
  </si>
  <si>
    <t>9. Billing frequency</t>
  </si>
  <si>
    <t>10. Referral to the current FRMP (if purely a non capacity related high bill enquiry)</t>
  </si>
  <si>
    <t>Policy Development and sharing (Retailers) all developed prior to and during the course of Year 1 (if new scenarios present themselves), with a review at end of year one commencement of year 2</t>
  </si>
  <si>
    <t xml:space="preserve">Change Management requirement </t>
  </si>
  <si>
    <t>Real Estate Institute</t>
  </si>
  <si>
    <t xml:space="preserve">Lge Electrical Contracting Firms </t>
  </si>
  <si>
    <t xml:space="preserve">Riverland Farmers Association </t>
  </si>
  <si>
    <t>Solar / Air Con Industry</t>
  </si>
  <si>
    <t>Hotels Association</t>
  </si>
  <si>
    <t xml:space="preserve">Industry Engagement </t>
  </si>
  <si>
    <t>Project Management</t>
  </si>
  <si>
    <t>Policy &amp; Procedures</t>
  </si>
  <si>
    <t>Project Manager 100%</t>
  </si>
  <si>
    <t>Business Stream - Service Orders</t>
  </si>
  <si>
    <t>Effort</t>
  </si>
  <si>
    <t>No.</t>
  </si>
  <si>
    <t>$</t>
  </si>
  <si>
    <t>Busienss Stream - Customer Contact</t>
  </si>
  <si>
    <t>Busienss Stream - Policy, Education &amp; Training</t>
  </si>
  <si>
    <t>NECA National Electrical and Communications Association</t>
  </si>
  <si>
    <t>ESAA Electrical Supply Association of Australia</t>
  </si>
  <si>
    <t xml:space="preserve">3. Letter to the industry body for members </t>
  </si>
  <si>
    <t xml:space="preserve">5. Letter to the industry body for members </t>
  </si>
  <si>
    <t>Large Mass Market Retailers</t>
  </si>
  <si>
    <t>Small Mass Market Retailers</t>
  </si>
  <si>
    <t>4. Meet independently to NECA Roadshows</t>
  </si>
  <si>
    <t>6. Meet Larger installers independently to advice provided through the REX system</t>
  </si>
  <si>
    <t xml:space="preserve">7. Letter to the industry body for members </t>
  </si>
  <si>
    <t xml:space="preserve">8. Letter to the industry body for members </t>
  </si>
  <si>
    <t xml:space="preserve">9. SAPN Representative to attend NECA Roadshows throughout the State and present capacity tariff </t>
  </si>
  <si>
    <t xml:space="preserve">1. Face to Face meetings, workshops and extensive consultation and communication </t>
  </si>
  <si>
    <t xml:space="preserve">2. Face to Face meetings, workshops and extensive consultation and communication </t>
  </si>
  <si>
    <t>EWOSA</t>
  </si>
  <si>
    <t>Effort (Hours) Year 1</t>
  </si>
  <si>
    <t>Effort (Hours) Year 2</t>
  </si>
  <si>
    <t>$ Year 1</t>
  </si>
  <si>
    <t>$ Year 2</t>
  </si>
  <si>
    <t>Total</t>
  </si>
  <si>
    <t>Total Effort (hours)</t>
  </si>
  <si>
    <t xml:space="preserve">NEM Procedural Review </t>
  </si>
  <si>
    <t>Scenario based Policy e.g;</t>
  </si>
  <si>
    <t>Description of Work Required</t>
  </si>
  <si>
    <t>Summary</t>
  </si>
  <si>
    <t>2015/16</t>
  </si>
  <si>
    <t>2016/17</t>
  </si>
  <si>
    <t>2017/18</t>
  </si>
  <si>
    <t>2018/19</t>
  </si>
  <si>
    <t>2019/20</t>
  </si>
  <si>
    <t>2020/21</t>
  </si>
  <si>
    <t>New customers</t>
  </si>
  <si>
    <t>Capacity Charge Enquiry</t>
  </si>
  <si>
    <t>Capacity Charge Dispute</t>
  </si>
  <si>
    <t>Capacity General Enquiry</t>
  </si>
  <si>
    <t>Opt-out Requests</t>
  </si>
  <si>
    <t>Specialist advice</t>
  </si>
  <si>
    <t xml:space="preserve">BAU Backfill </t>
  </si>
  <si>
    <t>TOTAL</t>
  </si>
  <si>
    <t>Services</t>
  </si>
  <si>
    <t>Grade 9</t>
  </si>
  <si>
    <t>Hourly</t>
  </si>
  <si>
    <t>Grade7</t>
  </si>
  <si>
    <t>Grade</t>
  </si>
  <si>
    <t xml:space="preserve">Cost estimation is based on 0.75 of a Gr 7 FTE effort throughout 2015 (or year 1) and 0.20 of an FTE in 2016 (or year 2)   </t>
  </si>
  <si>
    <t xml:space="preserve">Grade 7 </t>
  </si>
  <si>
    <t>Business Stream - Billing &amp; data</t>
  </si>
  <si>
    <t>2015-2020</t>
  </si>
  <si>
    <t xml:space="preserve">Total </t>
  </si>
  <si>
    <t>Notes/Assumptions:</t>
  </si>
  <si>
    <t xml:space="preserve">Customer Call &amp; Work Volume Hours </t>
  </si>
  <si>
    <t>Total Customer Call and Work Volume Hours</t>
  </si>
  <si>
    <t>Number of FTE's (i)</t>
  </si>
  <si>
    <t>(i) 1 FTE = 1,500 hours</t>
  </si>
  <si>
    <t>Total Customer Numbers (i)</t>
  </si>
  <si>
    <t>Cumulative Customers</t>
  </si>
  <si>
    <t>% of Expected</t>
  </si>
  <si>
    <t xml:space="preserve">Minutes </t>
  </si>
  <si>
    <t>Contacts</t>
  </si>
  <si>
    <t xml:space="preserve">Per Call </t>
  </si>
  <si>
    <t xml:space="preserve">Per customer </t>
  </si>
  <si>
    <t>All On Tariff</t>
  </si>
  <si>
    <t>Yes</t>
  </si>
  <si>
    <t>Capacity Advice</t>
  </si>
  <si>
    <t>Total Number of Calls (ii)</t>
  </si>
  <si>
    <t>Total Minutes (iii)</t>
  </si>
  <si>
    <t xml:space="preserve">Number of Customers not yet on Capacity Tariff </t>
  </si>
  <si>
    <t>Total Number of Calls (i)</t>
  </si>
  <si>
    <t>Total Minutes (ii)</t>
  </si>
  <si>
    <t xml:space="preserve">Total Opt-in enquiries - Call and Work Volume Hours  </t>
  </si>
  <si>
    <t>Total Services</t>
  </si>
  <si>
    <t xml:space="preserve">Cost estimation is based on 0.20 of a Gr 7 FTE effort required to evolve policy in conitually refining, reviewing, amending and then communciating changes in policy    </t>
  </si>
  <si>
    <t>Business Support FTE's (i)</t>
  </si>
  <si>
    <t>Labour - general customer support</t>
  </si>
  <si>
    <t>Labour - business support</t>
  </si>
  <si>
    <t>Services - business support</t>
  </si>
  <si>
    <t>General customer support</t>
  </si>
  <si>
    <r>
      <t xml:space="preserve">Total Labour - general customer support $000 </t>
    </r>
    <r>
      <rPr>
        <sz val="10"/>
        <color indexed="8"/>
        <rFont val="Calibri"/>
        <family val="2"/>
      </rPr>
      <t>(ii)</t>
    </r>
  </si>
  <si>
    <t>Business support</t>
  </si>
  <si>
    <r>
      <t xml:space="preserve">Total Labour - business support $000 </t>
    </r>
    <r>
      <rPr>
        <sz val="10"/>
        <color indexed="8"/>
        <rFont val="Calibri"/>
        <family val="2"/>
      </rPr>
      <t>(ii)</t>
    </r>
  </si>
  <si>
    <t>Number of FTE's</t>
  </si>
  <si>
    <t>Travel/Vehicles (i)</t>
  </si>
  <si>
    <t>Labour</t>
  </si>
  <si>
    <t>Item</t>
  </si>
  <si>
    <t>Derivation of Labour Cost: Tables 3-8</t>
  </si>
  <si>
    <t>Table A-1: New tariff customer support - OPEX Summary ($000)</t>
  </si>
  <si>
    <t>Table A-2: Total Labour - Based on conversion of customer call and work volume hours to FTEs</t>
  </si>
  <si>
    <t>(ii) Average Labour cost per FTE of $101k p.a (Blended rate including on-costs based on staff required to manage enquiries/work effort)</t>
  </si>
  <si>
    <t xml:space="preserve">Table A-3: Forecast number of customers moving onto the residential demand tariff </t>
  </si>
  <si>
    <t>Table A-4: Capacity Call Volume and Minutes</t>
  </si>
  <si>
    <t xml:space="preserve">(i) Estimates of effort have been revised based on the assumption that retailers will manage the bulk of customer enquiries regarding the residential demand tariff </t>
  </si>
  <si>
    <t xml:space="preserve">Table A-5: Capacity Tariffs - Call and Work Volume Hours  </t>
  </si>
  <si>
    <t>No. customers moving to capacity tariff (i)</t>
  </si>
  <si>
    <t xml:space="preserve">Total Call and Work Volume Hours  </t>
  </si>
  <si>
    <t>(i) As calculated in Table A-3</t>
  </si>
  <si>
    <t>(ii) Refer table A-4. Based on experience with calls from solar PV customers, calculation assumes that  customer calls relating  to the tariff occur with the following probabiilty distribution over time, where year 1 is the year that the customer transitions to the tariff: Year 0: 5%; Year 1: 80%; Year 2: 10%; Year 3: 5%</t>
  </si>
  <si>
    <t>(iii) Minutes per call is as calculated in Table A-4</t>
  </si>
  <si>
    <t xml:space="preserve">Table A-6: Opt-in enquiries - Call and Work Volume Hours  </t>
  </si>
  <si>
    <t xml:space="preserve">(ii) Historical average of 5 minutes per customer call for calls of this nature </t>
  </si>
  <si>
    <t xml:space="preserve">Table A-7: Services </t>
  </si>
  <si>
    <t>(i) Estimate based on historical requirements for existing team of 2 supporting large business customers on agreed maximum demand tariffs</t>
  </si>
  <si>
    <t xml:space="preserve">Table A-8: Business Support (4 FTE's) </t>
  </si>
  <si>
    <t xml:space="preserve">(i) 4 FTE's required to meet and provide business customer support in the move to cost reflective tariffs. Based on experience of diverse and complex support requirements of business customers gained through supporting  large business customers in transition to existing tariffs based on agreed maximum demand. 
</t>
  </si>
  <si>
    <t>Capacity Tariff Customers (See Table A-5)</t>
  </si>
  <si>
    <t>Opt-in enquiries (See Table A-8)</t>
  </si>
  <si>
    <t>Project team</t>
  </si>
  <si>
    <t>Project Team</t>
  </si>
  <si>
    <t>Change manager / BA</t>
  </si>
  <si>
    <t>Revised</t>
  </si>
  <si>
    <t>(ii)</t>
  </si>
  <si>
    <t>Total FTE</t>
  </si>
  <si>
    <t>Customer advice and support</t>
  </si>
  <si>
    <t>(v)</t>
  </si>
  <si>
    <t>Business advice and support</t>
  </si>
  <si>
    <t>Saving vs 0.98v</t>
  </si>
  <si>
    <t>Total FTEs</t>
  </si>
  <si>
    <t>Cost model: distribution network pricing revised proposal</t>
  </si>
  <si>
    <t>Project team and PM</t>
  </si>
  <si>
    <t>Education and training</t>
  </si>
  <si>
    <t>Policy and procedures</t>
  </si>
  <si>
    <t>Industry engagement</t>
  </si>
  <si>
    <t>Advertising – production</t>
  </si>
  <si>
    <t>Advertising – media</t>
  </si>
  <si>
    <t>Customer information packs</t>
  </si>
  <si>
    <t>Total 15-20 ($,000)</t>
  </si>
  <si>
    <t>2015-16</t>
  </si>
  <si>
    <t>2016-17</t>
  </si>
  <si>
    <t>2017-18</t>
  </si>
  <si>
    <t>2018-19</t>
  </si>
  <si>
    <t>2019-20</t>
  </si>
  <si>
    <t>10. SAPN Representative to meet and assist in training and policy sharing of EWOSA staff</t>
  </si>
  <si>
    <t>11. Engagement with Business SA, targeted engagement with small business</t>
  </si>
  <si>
    <t>12. Engagement with SACOSS and related community groups</t>
  </si>
  <si>
    <t>Business SA &amp; related</t>
  </si>
  <si>
    <t>SACOSS &amp; related</t>
  </si>
  <si>
    <t>Advertising - production</t>
  </si>
  <si>
    <t>Advertising - media</t>
  </si>
  <si>
    <t>Customer information packs - Tariffs</t>
  </si>
  <si>
    <t>Marketing &amp; corp. Communication</t>
  </si>
  <si>
    <t>(i)</t>
  </si>
  <si>
    <t>New solar</t>
  </si>
  <si>
    <t>Service alteration</t>
  </si>
  <si>
    <t>(iii)</t>
  </si>
  <si>
    <t>Voluntary opt-in / new business tariff</t>
  </si>
  <si>
    <t>(iv)</t>
  </si>
  <si>
    <t>Asset management - reactive replacements</t>
  </si>
  <si>
    <t>Asset management - proactive replacements</t>
  </si>
  <si>
    <t>(vi)</t>
  </si>
  <si>
    <t>Retailer initiated meter change</t>
  </si>
  <si>
    <t>(vii)</t>
  </si>
  <si>
    <t>Total forecast meters p.a. transition from T6 to T5/4</t>
  </si>
  <si>
    <t>Cumulative new interval meters</t>
  </si>
  <si>
    <t>Total new tariff customers</t>
  </si>
  <si>
    <t>Retailer-initiated meter churn forecast</t>
  </si>
  <si>
    <t>Customers</t>
  </si>
  <si>
    <t>% high cost</t>
  </si>
  <si>
    <t>Tier 1 first mover  (forecasts as advised by retailer, rollout now underway)</t>
  </si>
  <si>
    <t>2014/15 (act)</t>
  </si>
  <si>
    <t>Forecast new solar p.a.</t>
  </si>
  <si>
    <t xml:space="preserve">Total PV customers </t>
  </si>
  <si>
    <t>%age growth vs. 2014/15</t>
  </si>
  <si>
    <t>NEFR High (2020/21)</t>
  </si>
  <si>
    <t>SAER Moderate (2020/21)</t>
  </si>
  <si>
    <t>AEMO SAER 2014 (forecast by installed capacity)</t>
  </si>
  <si>
    <t>AEMO NEFR 2014 (forecast by annual generation)</t>
  </si>
  <si>
    <t>Note:</t>
  </si>
  <si>
    <t>Forecast based on scaling original Energeia forecasts to align with AEMO SAER 2014</t>
  </si>
  <si>
    <t>3rd major &amp; other</t>
  </si>
  <si>
    <t>Forecast number of new tariff customers &amp; new interval meters (T5 and T4/4A)</t>
  </si>
  <si>
    <t>2nd major (apply above estimate to 2nd retailer market share)</t>
  </si>
  <si>
    <t>Full metering competition</t>
  </si>
  <si>
    <t>(i) Assume retailer-initiated deployment to reach ~14% high cost to serve customers over 3 years. Based on major retailer that has confirmed commencing in 2015.</t>
  </si>
  <si>
    <t>(ii) Apply above estimate to 2nd major retailer market share in SA, assume commencement in 2016</t>
  </si>
  <si>
    <t>(iii) Assume remaining retailers will target similar customers over 3 years from commencement of new rules</t>
  </si>
  <si>
    <t>Notes / assumptions</t>
  </si>
  <si>
    <t>Table A-9: Marketing and comms</t>
  </si>
  <si>
    <t>Total customers (reset RIN)</t>
  </si>
  <si>
    <t>(viii)</t>
  </si>
  <si>
    <t>(i) Reset RIN</t>
  </si>
  <si>
    <t>(ii) All new customer connections are to receive retailer-installed T4 meter from commencement of new rules</t>
  </si>
  <si>
    <t>(iii) Solar forecasts aligned with AEMO SAER in line with AER preliminary determination - see table below</t>
  </si>
  <si>
    <t>(iv) All service alterations requiring a meter change are to receive retailer-installed T4 meter from commencement of new rules</t>
  </si>
  <si>
    <t>(v) Tariff (and minimum T5 meter)  is mandatory for business 3-phase customers from July 2015, estimated at 1,000 p.a. Opt-in estimates reduced from SAPN original proposal to reflect reduction in active tariff promotion</t>
  </si>
  <si>
    <t xml:space="preserve">(vi) Annual replacement volumes approved in AER Preliminary Determination </t>
  </si>
  <si>
    <t>(vii) Annual replacement volumes approved in AER Preliminary Determination</t>
  </si>
  <si>
    <t>(viii) Forecast based on annual target volumes proposed by major retailer that has commenced T4 rollout in SA to target 'high cost to serve' customers.Refer table below</t>
  </si>
  <si>
    <t>(i) Source: reset RIN</t>
  </si>
  <si>
    <t>Annual Customers moving to demand tariff (ii)</t>
  </si>
  <si>
    <t>(ii) See detailed model in separate worksheet</t>
  </si>
  <si>
    <t>(i) Forecast based on enquires from 5% of customers not yet on capacity tariffs from year 2, based on experience with uptake of solar PV. Assume no retailer promotion before year 2</t>
  </si>
  <si>
    <t>(iii) Customer information packs. Unit cost estimate of $6 per customer is based on cost of customer information packs produced for tariff trials and previous demand management programmes. Volume estimates have been revised based on revised forecasting of solar uptake, retailer-led meter rollout and replacement rates in line with AER Preliminary Determination.</t>
  </si>
  <si>
    <t>(i) Concept development, campaign production for media to educate customers on impact of peak demand on network costs and encourage understanding to enable community response to new price signals. Estimates based on previous customer education initiatives, nominal 1 x 30 sec + 2x 15 sec video-format information bulletins / ads, plus content for press, digital and radio.  Refresh after 2 years, estimate 25% of original cost plus inflation increase of 3% p.a.</t>
  </si>
  <si>
    <t>(ii) Media &amp; on-line education &amp; awareness programme,  2 x 3 months campaign in the year prior to the tariffs being mandatory from July 2017.  A follow-up 3 month campaign in Yr3, Yr4 and Yr5. Scope reduced from original proposal due to greater reliance on retailers for tariff promotion &amp; education, increased focus on business customers</t>
  </si>
  <si>
    <t>Hard copy material</t>
  </si>
  <si>
    <t>Retailer education &amp; engagement policy, process, script development</t>
  </si>
  <si>
    <t>Digital media</t>
  </si>
  <si>
    <t>Training external - retail partners</t>
  </si>
  <si>
    <t>Training internal - call centre &amp; support staff</t>
  </si>
  <si>
    <t>CAPEX New tariff education &amp; training</t>
  </si>
  <si>
    <t>Total Education &amp; Training</t>
  </si>
  <si>
    <t>CAPEX New tariff industry engagement</t>
  </si>
  <si>
    <t>OPEX New tariff  policy &amp; procedures</t>
  </si>
  <si>
    <t>CAPEX New tariff  policy &amp; procedures</t>
  </si>
  <si>
    <t>Refer table A-9, Project Management tab</t>
  </si>
  <si>
    <t>Table A-10: Education &amp; training</t>
  </si>
  <si>
    <t>Table A-11: Industry engagement</t>
  </si>
  <si>
    <t xml:space="preserve">Table A-12: Project team CAPEX </t>
  </si>
  <si>
    <t xml:space="preserve">Table A-13: Project team OPEX </t>
  </si>
  <si>
    <t xml:space="preserve">Table A-14: Policies &amp; Procedures CAPEX </t>
  </si>
  <si>
    <t>Table A-15: Policies &amp; Procedures OPEX</t>
  </si>
  <si>
    <t>Refer table A-14, Policy &amp; Procedures tab</t>
  </si>
  <si>
    <t>Refer table A-15, Policy &amp; Procedures tab</t>
  </si>
  <si>
    <t>Refer table A-10, Industry Engagement &amp; Training tab</t>
  </si>
  <si>
    <t>Refer table A-11, Industry Engagement &amp; Training tab</t>
  </si>
  <si>
    <t>Refer table A-1, row 1, Advice and Support tab</t>
  </si>
  <si>
    <t>Refer table A-1, rows 2 &amp; 3, Advice and Support tab</t>
  </si>
  <si>
    <t>Refer table A-9, row 1, Advice and Support tab</t>
  </si>
  <si>
    <t>Refer table A-9, row 2, Advice and Support tab</t>
  </si>
  <si>
    <t>Refer table A-9, row 3, Advice and Support tab</t>
  </si>
  <si>
    <t>Refer table A-12, Project Management tab</t>
  </si>
  <si>
    <t xml:space="preserve">Cost based on Gr 9 </t>
  </si>
</sst>
</file>

<file path=xl/styles.xml><?xml version="1.0" encoding="utf-8"?>
<styleSheet xmlns="http://schemas.openxmlformats.org/spreadsheetml/2006/main">
  <numFmts count="13">
    <numFmt numFmtId="5" formatCode="&quot;$&quot;#,##0;\-&quot;$&quot;#,##0"/>
    <numFmt numFmtId="6" formatCode="&quot;$&quot;#,##0;[Red]\-&quot;$&quot;#,##0"/>
    <numFmt numFmtId="8" formatCode="&quot;$&quot;#,##0.00;[Red]\-&quot;$&quot;#,##0.00"/>
    <numFmt numFmtId="44" formatCode="_-&quot;$&quot;* #,##0.00_-;\-&quot;$&quot;* #,##0.00_-;_-&quot;$&quot;* &quot;-&quot;??_-;_-@_-"/>
    <numFmt numFmtId="43" formatCode="_-* #,##0.00_-;\-* #,##0.00_-;_-* &quot;-&quot;??_-;_-@_-"/>
    <numFmt numFmtId="164" formatCode="_-* #,##0_-;\-* #,##0_-;_-* &quot;-&quot;??_-;_-@_-"/>
    <numFmt numFmtId="165" formatCode="0.0"/>
    <numFmt numFmtId="166" formatCode="_-&quot;$&quot;* #,##0_-;\-&quot;$&quot;* #,##0_-;_-&quot;$&quot;* &quot;-&quot;??_-;_-@_-"/>
    <numFmt numFmtId="167" formatCode="0.000"/>
    <numFmt numFmtId="168" formatCode="0.0%"/>
    <numFmt numFmtId="169" formatCode="#,##0.000"/>
    <numFmt numFmtId="170" formatCode="#,##0.0"/>
    <numFmt numFmtId="171" formatCode="_(* #,##0_);_(* \(#,##0\);_(* &quot;-&quot;??_);_(@_)"/>
  </numFmts>
  <fonts count="28">
    <font>
      <sz val="11"/>
      <color theme="1"/>
      <name val="Calibri"/>
      <family val="2"/>
    </font>
    <font>
      <sz val="11"/>
      <color indexed="8"/>
      <name val="Calibri"/>
      <family val="2"/>
    </font>
    <font>
      <sz val="9"/>
      <color indexed="8"/>
      <name val="Calibri"/>
      <family val="2"/>
    </font>
    <font>
      <sz val="10"/>
      <color indexed="8"/>
      <name val="Calibri"/>
      <family val="2"/>
    </font>
    <font>
      <sz val="10"/>
      <color indexed="8"/>
      <name val="Calibri"/>
      <family val="2"/>
    </font>
    <font>
      <b/>
      <sz val="10"/>
      <color indexed="8"/>
      <name val="Calibri"/>
      <family val="2"/>
    </font>
    <font>
      <b/>
      <sz val="11"/>
      <color indexed="8"/>
      <name val="Calibri"/>
      <family val="2"/>
    </font>
    <font>
      <b/>
      <sz val="9"/>
      <color indexed="8"/>
      <name val="Calibri"/>
      <family val="2"/>
    </font>
    <font>
      <sz val="8"/>
      <name val="Calibri"/>
      <family val="2"/>
    </font>
    <font>
      <sz val="10"/>
      <name val="Arial"/>
      <family val="2"/>
    </font>
    <font>
      <b/>
      <u/>
      <sz val="10"/>
      <color indexed="8"/>
      <name val="Calibri"/>
      <family val="2"/>
    </font>
    <font>
      <b/>
      <sz val="10"/>
      <color theme="0"/>
      <name val="Calibri"/>
      <family val="2"/>
    </font>
    <font>
      <sz val="10"/>
      <color theme="1"/>
      <name val="Calibri"/>
      <family val="2"/>
    </font>
    <font>
      <b/>
      <sz val="24"/>
      <color theme="1"/>
      <name val="Calibri"/>
      <family val="2"/>
      <scheme val="minor"/>
    </font>
    <font>
      <sz val="24"/>
      <color theme="1"/>
      <name val="Calibri"/>
      <family val="2"/>
      <scheme val="minor"/>
    </font>
    <font>
      <b/>
      <sz val="11"/>
      <color theme="1"/>
      <name val="Calibri"/>
      <family val="2"/>
      <scheme val="minor"/>
    </font>
    <font>
      <b/>
      <sz val="11"/>
      <color theme="0"/>
      <name val="Calibri"/>
      <family val="2"/>
      <scheme val="minor"/>
    </font>
    <font>
      <sz val="11"/>
      <color rgb="FF000000"/>
      <name val="Calibri"/>
      <family val="2"/>
      <scheme val="minor"/>
    </font>
    <font>
      <b/>
      <sz val="11"/>
      <color rgb="FF000000"/>
      <name val="Calibri"/>
      <family val="2"/>
      <scheme val="minor"/>
    </font>
    <font>
      <b/>
      <sz val="10"/>
      <name val="Calibri"/>
      <family val="2"/>
      <scheme val="minor"/>
    </font>
    <font>
      <sz val="10"/>
      <name val="Calibri"/>
      <family val="2"/>
      <scheme val="minor"/>
    </font>
    <font>
      <b/>
      <sz val="10"/>
      <color theme="1"/>
      <name val="Calibri"/>
      <family val="2"/>
      <scheme val="minor"/>
    </font>
    <font>
      <b/>
      <sz val="10"/>
      <color theme="1"/>
      <name val="Calibri"/>
      <family val="2"/>
    </font>
    <font>
      <sz val="10"/>
      <color rgb="FF262626"/>
      <name val="Calibri"/>
      <family val="2"/>
    </font>
    <font>
      <sz val="10"/>
      <color theme="1"/>
      <name val="Calibri"/>
      <family val="2"/>
      <scheme val="minor"/>
    </font>
    <font>
      <b/>
      <sz val="10"/>
      <color indexed="8"/>
      <name val="Calibri"/>
      <family val="2"/>
      <scheme val="minor"/>
    </font>
    <font>
      <sz val="10"/>
      <color indexed="8"/>
      <name val="Calibri"/>
      <family val="2"/>
      <scheme val="minor"/>
    </font>
    <font>
      <b/>
      <sz val="11"/>
      <color theme="1"/>
      <name val="Calibri"/>
      <family val="2"/>
    </font>
  </fonts>
  <fills count="10">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4" tint="0.79998168889431442"/>
        <bgColor indexed="64"/>
      </patternFill>
    </fill>
  </fills>
  <borders count="12">
    <border>
      <left/>
      <right/>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ashed">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xf numFmtId="9" fontId="1" fillId="0" borderId="0" applyFont="0" applyFill="0" applyBorder="0" applyAlignment="0" applyProtection="0"/>
  </cellStyleXfs>
  <cellXfs count="224">
    <xf numFmtId="0" fontId="0" fillId="0" borderId="0" xfId="0"/>
    <xf numFmtId="0" fontId="2" fillId="0" borderId="0" xfId="0" applyFont="1"/>
    <xf numFmtId="0" fontId="3" fillId="2" borderId="0" xfId="0" applyFont="1" applyFill="1"/>
    <xf numFmtId="0" fontId="4" fillId="2" borderId="0" xfId="0" applyFont="1" applyFill="1" applyAlignment="1">
      <alignment horizontal="center" wrapText="1"/>
    </xf>
    <xf numFmtId="0" fontId="4" fillId="0" borderId="0" xfId="0" applyFont="1"/>
    <xf numFmtId="0" fontId="0" fillId="0" borderId="1" xfId="0" applyBorder="1"/>
    <xf numFmtId="0" fontId="5" fillId="0" borderId="0" xfId="0" applyFont="1"/>
    <xf numFmtId="164" fontId="2" fillId="0" borderId="0" xfId="1" applyNumberFormat="1" applyFont="1"/>
    <xf numFmtId="0" fontId="2" fillId="0" borderId="0" xfId="0" applyFont="1" applyAlignment="1">
      <alignment wrapText="1"/>
    </xf>
    <xf numFmtId="0" fontId="6" fillId="0" borderId="0" xfId="0" applyFont="1" applyAlignment="1">
      <alignment horizontal="justify"/>
    </xf>
    <xf numFmtId="0" fontId="1" fillId="0" borderId="0" xfId="0" applyFont="1" applyAlignment="1">
      <alignment horizontal="justify"/>
    </xf>
    <xf numFmtId="0" fontId="2" fillId="0" borderId="0" xfId="0" applyFont="1" applyAlignment="1">
      <alignment horizontal="center"/>
    </xf>
    <xf numFmtId="0" fontId="2" fillId="0" borderId="0" xfId="0" applyFont="1" applyAlignment="1">
      <alignment horizontal="center" vertical="center"/>
    </xf>
    <xf numFmtId="43" fontId="2" fillId="0" borderId="0" xfId="0" applyNumberFormat="1" applyFont="1" applyAlignment="1"/>
    <xf numFmtId="9" fontId="2" fillId="0" borderId="0" xfId="0" applyNumberFormat="1" applyFont="1" applyAlignment="1">
      <alignment horizontal="center"/>
    </xf>
    <xf numFmtId="164" fontId="2" fillId="0" borderId="0" xfId="1" applyNumberFormat="1" applyFont="1" applyAlignment="1">
      <alignment horizontal="center"/>
    </xf>
    <xf numFmtId="10" fontId="2" fillId="0" borderId="0" xfId="0" applyNumberFormat="1" applyFont="1" applyAlignment="1">
      <alignment horizontal="center"/>
    </xf>
    <xf numFmtId="6" fontId="4" fillId="0" borderId="0" xfId="0" applyNumberFormat="1" applyFont="1" applyAlignment="1">
      <alignment horizontal="center"/>
    </xf>
    <xf numFmtId="6" fontId="5" fillId="0" borderId="0" xfId="0" applyNumberFormat="1" applyFont="1" applyAlignment="1">
      <alignment horizontal="center"/>
    </xf>
    <xf numFmtId="3" fontId="4" fillId="3" borderId="0" xfId="0" applyNumberFormat="1" applyFont="1" applyFill="1" applyAlignment="1">
      <alignment horizontal="center"/>
    </xf>
    <xf numFmtId="0" fontId="7" fillId="0" borderId="0" xfId="0" applyFont="1"/>
    <xf numFmtId="0" fontId="2" fillId="0" borderId="0" xfId="0" applyFont="1" applyAlignment="1">
      <alignment horizontal="center" wrapText="1"/>
    </xf>
    <xf numFmtId="0" fontId="7" fillId="0" borderId="0" xfId="0" applyFont="1" applyAlignment="1">
      <alignment wrapText="1"/>
    </xf>
    <xf numFmtId="165" fontId="2" fillId="0" borderId="0" xfId="4" applyNumberFormat="1" applyFont="1" applyAlignment="1">
      <alignment horizontal="center"/>
    </xf>
    <xf numFmtId="16" fontId="2" fillId="0" borderId="0" xfId="0" applyNumberFormat="1" applyFont="1" applyAlignment="1">
      <alignment horizontal="left"/>
    </xf>
    <xf numFmtId="16" fontId="2" fillId="0" borderId="0" xfId="0" applyNumberFormat="1" applyFont="1" applyAlignment="1">
      <alignment horizontal="left" wrapText="1"/>
    </xf>
    <xf numFmtId="164" fontId="2" fillId="0" borderId="0" xfId="1" applyNumberFormat="1" applyFont="1" applyAlignment="1">
      <alignment horizontal="left" wrapText="1"/>
    </xf>
    <xf numFmtId="44" fontId="2" fillId="0" borderId="0" xfId="2" applyFont="1"/>
    <xf numFmtId="43" fontId="2" fillId="0" borderId="0" xfId="0" applyNumberFormat="1" applyFont="1" applyAlignment="1">
      <alignment horizontal="center"/>
    </xf>
    <xf numFmtId="166" fontId="2" fillId="0" borderId="0" xfId="2" applyNumberFormat="1" applyFont="1"/>
    <xf numFmtId="164" fontId="7" fillId="0" borderId="0" xfId="1" applyNumberFormat="1" applyFont="1" applyAlignment="1">
      <alignment horizontal="left"/>
    </xf>
    <xf numFmtId="166" fontId="2" fillId="0" borderId="0" xfId="0" applyNumberFormat="1" applyFont="1" applyAlignment="1">
      <alignment horizontal="center" vertical="center"/>
    </xf>
    <xf numFmtId="0" fontId="2" fillId="0" borderId="0" xfId="0" applyFont="1" applyAlignment="1"/>
    <xf numFmtId="44" fontId="2" fillId="0" borderId="0" xfId="0" applyNumberFormat="1" applyFont="1"/>
    <xf numFmtId="43" fontId="0" fillId="0" borderId="0" xfId="0" applyNumberFormat="1"/>
    <xf numFmtId="0" fontId="5" fillId="2" borderId="0" xfId="0" applyFont="1" applyFill="1"/>
    <xf numFmtId="0" fontId="5" fillId="2" borderId="0" xfId="0" applyFont="1" applyFill="1" applyAlignment="1">
      <alignment horizontal="center" wrapText="1"/>
    </xf>
    <xf numFmtId="0" fontId="3" fillId="0" borderId="0" xfId="0" applyFont="1"/>
    <xf numFmtId="8" fontId="2" fillId="0" borderId="0" xfId="0" applyNumberFormat="1" applyFont="1" applyAlignment="1">
      <alignment horizontal="center" wrapText="1"/>
    </xf>
    <xf numFmtId="0" fontId="0" fillId="0" borderId="1" xfId="0" applyBorder="1" applyAlignment="1">
      <alignment horizontal="center"/>
    </xf>
    <xf numFmtId="6" fontId="5" fillId="2" borderId="0" xfId="0" applyNumberFormat="1" applyFont="1" applyFill="1"/>
    <xf numFmtId="0" fontId="5" fillId="2" borderId="0" xfId="0" applyFont="1" applyFill="1" applyAlignment="1">
      <alignment horizontal="center"/>
    </xf>
    <xf numFmtId="3" fontId="3" fillId="0" borderId="0" xfId="0" applyNumberFormat="1" applyFont="1" applyFill="1" applyAlignment="1">
      <alignment horizontal="center"/>
    </xf>
    <xf numFmtId="3" fontId="5" fillId="0" borderId="0" xfId="0" applyNumberFormat="1" applyFont="1" applyFill="1" applyAlignment="1">
      <alignment horizontal="center"/>
    </xf>
    <xf numFmtId="0" fontId="2" fillId="0" borderId="0" xfId="0" applyFont="1" applyFill="1" applyAlignment="1">
      <alignment wrapText="1"/>
    </xf>
    <xf numFmtId="0" fontId="5" fillId="0" borderId="8" xfId="0" applyFont="1" applyBorder="1"/>
    <xf numFmtId="3" fontId="5" fillId="0" borderId="8" xfId="0" applyNumberFormat="1" applyFont="1" applyFill="1" applyBorder="1" applyAlignment="1">
      <alignment horizontal="center"/>
    </xf>
    <xf numFmtId="3" fontId="5" fillId="0" borderId="8" xfId="0" applyNumberFormat="1" applyFont="1" applyBorder="1" applyAlignment="1">
      <alignment horizontal="center"/>
    </xf>
    <xf numFmtId="3" fontId="5" fillId="0" borderId="0" xfId="0" applyNumberFormat="1" applyFont="1" applyAlignment="1">
      <alignment horizontal="center"/>
    </xf>
    <xf numFmtId="0" fontId="5" fillId="0" borderId="0" xfId="0" applyFont="1" applyBorder="1"/>
    <xf numFmtId="3" fontId="5" fillId="0" borderId="0" xfId="0" applyNumberFormat="1" applyFont="1" applyFill="1" applyBorder="1" applyAlignment="1">
      <alignment horizontal="center"/>
    </xf>
    <xf numFmtId="169" fontId="3" fillId="0" borderId="0" xfId="0" applyNumberFormat="1" applyFont="1" applyFill="1" applyBorder="1" applyAlignment="1">
      <alignment horizontal="center"/>
    </xf>
    <xf numFmtId="169" fontId="5" fillId="0" borderId="0" xfId="0" applyNumberFormat="1" applyFont="1" applyBorder="1" applyAlignment="1">
      <alignment horizontal="center"/>
    </xf>
    <xf numFmtId="0" fontId="3" fillId="0" borderId="0" xfId="0" applyFont="1" applyBorder="1"/>
    <xf numFmtId="170" fontId="3" fillId="0" borderId="0" xfId="0" applyNumberFormat="1" applyFont="1" applyFill="1" applyAlignment="1">
      <alignment horizontal="center"/>
    </xf>
    <xf numFmtId="170" fontId="5" fillId="0" borderId="0" xfId="0" applyNumberFormat="1" applyFont="1" applyFill="1" applyAlignment="1">
      <alignment horizontal="center"/>
    </xf>
    <xf numFmtId="3" fontId="5" fillId="3" borderId="0" xfId="0" applyNumberFormat="1" applyFont="1" applyFill="1" applyBorder="1" applyAlignment="1">
      <alignment horizontal="center"/>
    </xf>
    <xf numFmtId="0" fontId="3" fillId="0" borderId="0" xfId="0" applyFont="1" applyFill="1" applyBorder="1"/>
    <xf numFmtId="169" fontId="5" fillId="0" borderId="0" xfId="0" applyNumberFormat="1" applyFont="1" applyFill="1" applyBorder="1" applyAlignment="1">
      <alignment horizontal="center"/>
    </xf>
    <xf numFmtId="6" fontId="5" fillId="2" borderId="0" xfId="0" quotePrefix="1" applyNumberFormat="1" applyFont="1" applyFill="1"/>
    <xf numFmtId="0" fontId="3" fillId="0" borderId="0" xfId="0" applyFont="1" applyFill="1"/>
    <xf numFmtId="168" fontId="3" fillId="0" borderId="0" xfId="4" applyNumberFormat="1" applyFont="1" applyFill="1" applyAlignment="1">
      <alignment horizontal="center"/>
    </xf>
    <xf numFmtId="0" fontId="5" fillId="3" borderId="0" xfId="0" applyFont="1" applyFill="1"/>
    <xf numFmtId="3" fontId="5" fillId="3" borderId="0" xfId="0" applyNumberFormat="1" applyFont="1" applyFill="1" applyAlignment="1">
      <alignment horizontal="center"/>
    </xf>
    <xf numFmtId="0" fontId="5" fillId="0" borderId="0" xfId="0" applyFont="1" applyFill="1"/>
    <xf numFmtId="0" fontId="0" fillId="0" borderId="0" xfId="0" applyAlignment="1">
      <alignment horizontal="center"/>
    </xf>
    <xf numFmtId="9" fontId="3" fillId="0" borderId="0" xfId="4" applyFont="1" applyAlignment="1">
      <alignment horizontal="center"/>
    </xf>
    <xf numFmtId="2" fontId="3" fillId="0" borderId="0" xfId="0" applyNumberFormat="1" applyFont="1" applyFill="1" applyAlignment="1">
      <alignment horizontal="center"/>
    </xf>
    <xf numFmtId="167" fontId="5" fillId="0" borderId="0" xfId="0" applyNumberFormat="1" applyFont="1" applyFill="1" applyAlignment="1">
      <alignment horizontal="center"/>
    </xf>
    <xf numFmtId="0" fontId="2" fillId="0" borderId="0" xfId="0" applyFont="1" applyFill="1"/>
    <xf numFmtId="0" fontId="0" fillId="0" borderId="0" xfId="0" applyFill="1" applyAlignment="1">
      <alignment horizontal="center"/>
    </xf>
    <xf numFmtId="0" fontId="0" fillId="0" borderId="0" xfId="0" applyFill="1"/>
    <xf numFmtId="0" fontId="5" fillId="0" borderId="0" xfId="0" applyFont="1" applyFill="1" applyBorder="1"/>
    <xf numFmtId="9" fontId="11" fillId="0" borderId="0" xfId="4" applyFont="1" applyFill="1" applyAlignment="1">
      <alignment horizontal="center"/>
    </xf>
    <xf numFmtId="0" fontId="10" fillId="0" borderId="0" xfId="0" applyFont="1" applyFill="1"/>
    <xf numFmtId="0" fontId="2" fillId="0" borderId="0" xfId="0" applyFont="1" applyFill="1" applyAlignment="1">
      <alignment horizontal="center"/>
    </xf>
    <xf numFmtId="0" fontId="5" fillId="2" borderId="9" xfId="0" applyFont="1" applyFill="1" applyBorder="1" applyAlignment="1">
      <alignment horizontal="center"/>
    </xf>
    <xf numFmtId="3" fontId="3" fillId="0" borderId="9" xfId="0" applyNumberFormat="1" applyFont="1" applyFill="1" applyBorder="1" applyAlignment="1">
      <alignment horizontal="center"/>
    </xf>
    <xf numFmtId="3" fontId="5" fillId="3" borderId="9" xfId="0" applyNumberFormat="1" applyFont="1" applyFill="1" applyBorder="1" applyAlignment="1">
      <alignment horizontal="center"/>
    </xf>
    <xf numFmtId="6" fontId="5" fillId="2" borderId="0" xfId="0" applyNumberFormat="1" applyFont="1" applyFill="1" applyAlignment="1">
      <alignment wrapText="1"/>
    </xf>
    <xf numFmtId="0" fontId="5" fillId="2" borderId="0" xfId="0" applyFont="1" applyFill="1" applyAlignment="1">
      <alignment horizontal="center" vertical="top" wrapText="1"/>
    </xf>
    <xf numFmtId="0" fontId="5" fillId="0" borderId="0" xfId="0" applyFont="1" applyAlignment="1">
      <alignment wrapText="1"/>
    </xf>
    <xf numFmtId="0" fontId="3" fillId="0" borderId="0" xfId="0" applyFont="1" applyAlignment="1">
      <alignment wrapText="1"/>
    </xf>
    <xf numFmtId="0" fontId="5" fillId="0" borderId="8" xfId="0" applyFont="1" applyBorder="1" applyAlignment="1">
      <alignment wrapText="1"/>
    </xf>
    <xf numFmtId="0" fontId="5" fillId="0" borderId="0" xfId="0" applyFont="1" applyBorder="1" applyAlignment="1">
      <alignment wrapText="1"/>
    </xf>
    <xf numFmtId="0" fontId="3" fillId="0" borderId="0" xfId="0" applyFont="1" applyBorder="1" applyAlignment="1">
      <alignment wrapText="1"/>
    </xf>
    <xf numFmtId="0" fontId="5" fillId="3" borderId="0" xfId="0" applyFont="1" applyFill="1" applyBorder="1" applyAlignment="1">
      <alignment wrapText="1"/>
    </xf>
    <xf numFmtId="0" fontId="12" fillId="0" borderId="0" xfId="0" applyFont="1"/>
    <xf numFmtId="0" fontId="12" fillId="4" borderId="0" xfId="0" applyFont="1" applyFill="1"/>
    <xf numFmtId="0" fontId="0" fillId="0" borderId="0" xfId="0" applyFill="1" applyAlignment="1">
      <alignment horizontal="right"/>
    </xf>
    <xf numFmtId="0" fontId="0" fillId="0" borderId="0" xfId="0" applyFill="1" applyAlignment="1">
      <alignment horizontal="left" vertical="center" wrapText="1" indent="1"/>
    </xf>
    <xf numFmtId="5" fontId="0" fillId="0" borderId="0" xfId="2" applyNumberFormat="1" applyFont="1" applyFill="1" applyAlignment="1">
      <alignment horizontal="right" vertical="center" wrapText="1" indent="1"/>
    </xf>
    <xf numFmtId="0" fontId="0" fillId="0" borderId="0" xfId="0" applyFill="1" applyAlignment="1">
      <alignment horizontal="right" vertical="center"/>
    </xf>
    <xf numFmtId="0" fontId="0" fillId="0" borderId="0" xfId="0" applyFill="1" applyAlignment="1">
      <alignment vertical="center"/>
    </xf>
    <xf numFmtId="0" fontId="15" fillId="4" borderId="0" xfId="0" applyFont="1" applyFill="1" applyAlignment="1">
      <alignment horizontal="left" vertical="center" wrapText="1" indent="1"/>
    </xf>
    <xf numFmtId="0" fontId="15" fillId="0" borderId="0" xfId="0" applyFont="1" applyFill="1" applyAlignment="1">
      <alignment horizontal="left" vertical="center" wrapText="1" indent="1"/>
    </xf>
    <xf numFmtId="0" fontId="16" fillId="6" borderId="7" xfId="0" applyFont="1" applyFill="1" applyBorder="1" applyAlignment="1">
      <alignment horizontal="left" vertical="center" wrapText="1" indent="1"/>
    </xf>
    <xf numFmtId="0" fontId="16" fillId="7" borderId="7" xfId="0" applyFont="1" applyFill="1" applyBorder="1" applyAlignment="1">
      <alignment horizontal="left" vertical="center" wrapText="1" indent="1"/>
    </xf>
    <xf numFmtId="1" fontId="0" fillId="0" borderId="0" xfId="0" applyNumberFormat="1" applyFill="1" applyAlignment="1">
      <alignment vertical="center"/>
    </xf>
    <xf numFmtId="0" fontId="16" fillId="7" borderId="7" xfId="0" applyFont="1" applyFill="1" applyBorder="1" applyAlignment="1">
      <alignment horizontal="center" vertical="center"/>
    </xf>
    <xf numFmtId="0" fontId="17" fillId="8" borderId="7" xfId="0" applyFont="1" applyFill="1" applyBorder="1" applyAlignment="1">
      <alignment horizontal="left" vertical="center" wrapText="1" indent="1"/>
    </xf>
    <xf numFmtId="0" fontId="0" fillId="0" borderId="0" xfId="0" applyAlignment="1">
      <alignment horizontal="left" vertical="center" wrapText="1" indent="1"/>
    </xf>
    <xf numFmtId="3" fontId="0" fillId="0" borderId="0" xfId="0" applyNumberFormat="1" applyAlignment="1">
      <alignment horizontal="right" vertical="center" indent="1"/>
    </xf>
    <xf numFmtId="1" fontId="0" fillId="0" borderId="0" xfId="0" applyNumberFormat="1" applyAlignment="1">
      <alignment vertical="center"/>
    </xf>
    <xf numFmtId="0" fontId="16" fillId="6" borderId="7" xfId="0" applyFont="1" applyFill="1" applyBorder="1" applyAlignment="1">
      <alignment horizontal="center" vertical="center"/>
    </xf>
    <xf numFmtId="0" fontId="0" fillId="8" borderId="7" xfId="0" applyFont="1" applyFill="1" applyBorder="1" applyAlignment="1">
      <alignment horizontal="left" vertical="center" wrapText="1" indent="1"/>
    </xf>
    <xf numFmtId="0" fontId="0" fillId="0" borderId="7" xfId="0" applyFont="1" applyBorder="1" applyAlignment="1">
      <alignment horizontal="left" vertical="center" wrapText="1" indent="1"/>
    </xf>
    <xf numFmtId="0" fontId="18" fillId="0" borderId="7" xfId="0" applyFont="1" applyBorder="1" applyAlignment="1">
      <alignment horizontal="left" vertical="center" wrapText="1" indent="1"/>
    </xf>
    <xf numFmtId="0" fontId="17" fillId="9" borderId="0" xfId="0" applyFont="1" applyFill="1" applyAlignment="1">
      <alignment horizontal="left" vertical="center" wrapText="1" indent="1"/>
    </xf>
    <xf numFmtId="3" fontId="0" fillId="9" borderId="0" xfId="0" applyNumberFormat="1" applyFill="1" applyAlignment="1">
      <alignment horizontal="right" vertical="center" indent="1"/>
    </xf>
    <xf numFmtId="1" fontId="0" fillId="9" borderId="0" xfId="0" applyNumberFormat="1" applyFill="1" applyAlignment="1">
      <alignment vertical="center"/>
    </xf>
    <xf numFmtId="0" fontId="0" fillId="0" borderId="0" xfId="0" applyFont="1" applyAlignment="1">
      <alignment horizontal="left" vertical="center" wrapText="1" indent="1"/>
    </xf>
    <xf numFmtId="3" fontId="0" fillId="0" borderId="0" xfId="0" applyNumberFormat="1" applyFill="1" applyAlignment="1">
      <alignment horizontal="right" vertical="center" indent="1"/>
    </xf>
    <xf numFmtId="0" fontId="0" fillId="9" borderId="0" xfId="0" applyFill="1" applyAlignment="1">
      <alignment horizontal="left" vertical="center" wrapText="1" indent="1"/>
    </xf>
    <xf numFmtId="0" fontId="21" fillId="4" borderId="7" xfId="0" applyFont="1" applyFill="1" applyBorder="1"/>
    <xf numFmtId="0" fontId="5" fillId="4" borderId="7" xfId="0" applyFont="1" applyFill="1" applyBorder="1" applyAlignment="1">
      <alignment horizontal="center"/>
    </xf>
    <xf numFmtId="3" fontId="3" fillId="0" borderId="7" xfId="0" applyNumberFormat="1" applyFont="1" applyFill="1" applyBorder="1" applyAlignment="1">
      <alignment horizontal="center"/>
    </xf>
    <xf numFmtId="0" fontId="21" fillId="4" borderId="7" xfId="0" applyFont="1" applyFill="1" applyBorder="1" applyAlignment="1">
      <alignment horizontal="left" vertical="center"/>
    </xf>
    <xf numFmtId="0" fontId="21" fillId="4" borderId="7" xfId="0" applyFont="1" applyFill="1" applyBorder="1" applyAlignment="1">
      <alignment horizontal="center" vertical="center"/>
    </xf>
    <xf numFmtId="0" fontId="21" fillId="4" borderId="7" xfId="0" applyFont="1" applyFill="1" applyBorder="1" applyAlignment="1">
      <alignment horizontal="center" vertical="center" wrapText="1"/>
    </xf>
    <xf numFmtId="0" fontId="5" fillId="4" borderId="7" xfId="0" applyFont="1" applyFill="1" applyBorder="1" applyAlignment="1">
      <alignment horizontal="center" vertical="center"/>
    </xf>
    <xf numFmtId="171" fontId="0" fillId="0" borderId="7" xfId="1" applyNumberFormat="1" applyFont="1" applyFill="1" applyBorder="1" applyAlignment="1">
      <alignment vertical="center"/>
    </xf>
    <xf numFmtId="9" fontId="0" fillId="0" borderId="7" xfId="4" applyFont="1" applyBorder="1" applyAlignment="1">
      <alignment horizontal="right" vertical="center"/>
    </xf>
    <xf numFmtId="3" fontId="3" fillId="0" borderId="7" xfId="0" applyNumberFormat="1" applyFont="1" applyFill="1" applyBorder="1" applyAlignment="1">
      <alignment horizontal="center" vertical="center"/>
    </xf>
    <xf numFmtId="0" fontId="3" fillId="0"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171"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3" fontId="5" fillId="0" borderId="7" xfId="0" applyNumberFormat="1" applyFont="1" applyFill="1" applyBorder="1" applyAlignment="1">
      <alignment horizontal="center" vertical="center" wrapText="1"/>
    </xf>
    <xf numFmtId="9" fontId="0" fillId="0" borderId="0" xfId="0" applyNumberFormat="1" applyFill="1"/>
    <xf numFmtId="0" fontId="12" fillId="0" borderId="7" xfId="0" applyFont="1" applyBorder="1" applyAlignment="1">
      <alignment vertical="center"/>
    </xf>
    <xf numFmtId="0" fontId="12" fillId="4" borderId="7" xfId="0" applyFont="1" applyFill="1" applyBorder="1" applyAlignment="1">
      <alignment horizontal="center"/>
    </xf>
    <xf numFmtId="164" fontId="12" fillId="0" borderId="7" xfId="0" applyNumberFormat="1" applyFont="1" applyBorder="1"/>
    <xf numFmtId="164" fontId="12" fillId="0" borderId="7" xfId="0" applyNumberFormat="1" applyFont="1" applyFill="1" applyBorder="1"/>
    <xf numFmtId="9" fontId="12" fillId="0" borderId="7" xfId="4" applyFont="1" applyBorder="1"/>
    <xf numFmtId="9" fontId="12" fillId="4" borderId="7" xfId="4" applyFont="1" applyFill="1" applyBorder="1"/>
    <xf numFmtId="9" fontId="12" fillId="4" borderId="0" xfId="0" applyNumberFormat="1" applyFont="1" applyFill="1"/>
    <xf numFmtId="0" fontId="22" fillId="0" borderId="0" xfId="0" applyFont="1"/>
    <xf numFmtId="3" fontId="0" fillId="0" borderId="0" xfId="0" applyNumberFormat="1" applyFill="1" applyAlignment="1">
      <alignment vertical="center"/>
    </xf>
    <xf numFmtId="0" fontId="12" fillId="0" borderId="0" xfId="0" applyFont="1" applyFill="1" applyAlignment="1">
      <alignment vertical="center"/>
    </xf>
    <xf numFmtId="9" fontId="3" fillId="0" borderId="0" xfId="0" applyNumberFormat="1" applyFont="1" applyAlignment="1">
      <alignment horizontal="center"/>
    </xf>
    <xf numFmtId="164" fontId="3" fillId="0" borderId="0" xfId="1" applyNumberFormat="1" applyFont="1" applyAlignment="1">
      <alignment horizontal="center"/>
    </xf>
    <xf numFmtId="0" fontId="3" fillId="0" borderId="0" xfId="0" applyFont="1" applyAlignment="1">
      <alignment horizontal="center"/>
    </xf>
    <xf numFmtId="16" fontId="3" fillId="0" borderId="0" xfId="0" applyNumberFormat="1" applyFont="1" applyAlignment="1">
      <alignment horizontal="right"/>
    </xf>
    <xf numFmtId="0" fontId="20" fillId="0" borderId="7" xfId="0" applyFont="1" applyBorder="1" applyAlignment="1">
      <alignment wrapText="1"/>
    </xf>
    <xf numFmtId="0" fontId="19" fillId="0" borderId="7" xfId="0" applyFont="1" applyBorder="1" applyAlignment="1">
      <alignment wrapText="1"/>
    </xf>
    <xf numFmtId="0" fontId="24" fillId="0" borderId="7" xfId="0" applyFont="1" applyFill="1" applyBorder="1"/>
    <xf numFmtId="0" fontId="25" fillId="4" borderId="7" xfId="0" applyFont="1" applyFill="1" applyBorder="1" applyAlignment="1">
      <alignment horizontal="center"/>
    </xf>
    <xf numFmtId="3" fontId="26" fillId="0" borderId="7" xfId="0" applyNumberFormat="1" applyFont="1" applyFill="1" applyBorder="1" applyAlignment="1">
      <alignment horizontal="center"/>
    </xf>
    <xf numFmtId="3" fontId="26" fillId="9" borderId="7" xfId="0" applyNumberFormat="1" applyFont="1" applyFill="1" applyBorder="1" applyAlignment="1">
      <alignment horizontal="center"/>
    </xf>
    <xf numFmtId="3" fontId="25" fillId="0" borderId="7" xfId="0" applyNumberFormat="1" applyFont="1" applyFill="1" applyBorder="1" applyAlignment="1">
      <alignment horizontal="center" vertical="center"/>
    </xf>
    <xf numFmtId="3" fontId="25" fillId="9" borderId="7" xfId="0" applyNumberFormat="1" applyFont="1" applyFill="1" applyBorder="1" applyAlignment="1">
      <alignment horizontal="center" vertical="center"/>
    </xf>
    <xf numFmtId="0" fontId="24" fillId="0" borderId="7" xfId="0" applyFont="1" applyBorder="1"/>
    <xf numFmtId="0" fontId="24" fillId="0" borderId="7" xfId="0" applyFont="1" applyBorder="1" applyAlignment="1">
      <alignment horizontal="left" vertical="center" wrapText="1" indent="1"/>
    </xf>
    <xf numFmtId="0" fontId="21" fillId="0" borderId="7" xfId="0" applyFont="1" applyBorder="1"/>
    <xf numFmtId="3" fontId="21" fillId="0" borderId="7" xfId="0" applyNumberFormat="1" applyFont="1" applyBorder="1" applyAlignment="1">
      <alignment horizontal="center" vertical="center"/>
    </xf>
    <xf numFmtId="3" fontId="21" fillId="9" borderId="7" xfId="0" applyNumberFormat="1" applyFont="1" applyFill="1" applyBorder="1" applyAlignment="1">
      <alignment horizontal="center" vertical="center"/>
    </xf>
    <xf numFmtId="0" fontId="24" fillId="0" borderId="0" xfId="0" applyFont="1" applyAlignment="1">
      <alignment horizontal="left" vertical="center" wrapText="1" indent="1"/>
    </xf>
    <xf numFmtId="0" fontId="24" fillId="0" borderId="0" xfId="0" applyFont="1" applyAlignment="1">
      <alignment horizontal="right" vertical="center" indent="1"/>
    </xf>
    <xf numFmtId="3" fontId="21" fillId="0" borderId="7" xfId="0" applyNumberFormat="1" applyFont="1" applyFill="1" applyBorder="1" applyAlignment="1">
      <alignment horizontal="center" vertical="center"/>
    </xf>
    <xf numFmtId="164" fontId="12" fillId="0" borderId="7" xfId="1" applyNumberFormat="1" applyFont="1" applyBorder="1"/>
    <xf numFmtId="0" fontId="12" fillId="0" borderId="0" xfId="0" applyFont="1" applyFill="1"/>
    <xf numFmtId="3" fontId="12" fillId="0" borderId="7" xfId="0" applyNumberFormat="1" applyFont="1" applyFill="1" applyBorder="1"/>
    <xf numFmtId="0" fontId="12" fillId="0" borderId="0" xfId="0" applyFont="1" applyAlignment="1">
      <alignment vertical="center"/>
    </xf>
    <xf numFmtId="0" fontId="12" fillId="0" borderId="7" xfId="0" applyFont="1" applyFill="1" applyBorder="1"/>
    <xf numFmtId="0" fontId="12" fillId="0" borderId="7" xfId="0" applyFont="1" applyFill="1" applyBorder="1" applyAlignment="1">
      <alignment vertical="center"/>
    </xf>
    <xf numFmtId="0" fontId="19" fillId="4" borderId="7" xfId="0" applyFont="1" applyFill="1" applyBorder="1" applyAlignment="1">
      <alignment wrapText="1"/>
    </xf>
    <xf numFmtId="0" fontId="4" fillId="0" borderId="0" xfId="0" applyFont="1" applyFill="1" applyAlignment="1">
      <alignment horizontal="center" wrapText="1"/>
    </xf>
    <xf numFmtId="0" fontId="0" fillId="0" borderId="0" xfId="0" applyBorder="1"/>
    <xf numFmtId="0" fontId="2" fillId="0" borderId="0" xfId="0" applyFont="1" applyBorder="1"/>
    <xf numFmtId="3" fontId="0" fillId="0" borderId="7" xfId="0" applyNumberFormat="1" applyFill="1" applyBorder="1" applyAlignment="1">
      <alignment horizontal="center" vertical="center"/>
    </xf>
    <xf numFmtId="3" fontId="15" fillId="0" borderId="7" xfId="0" applyNumberFormat="1" applyFont="1" applyFill="1" applyBorder="1" applyAlignment="1">
      <alignment horizontal="center" vertical="center"/>
    </xf>
    <xf numFmtId="3" fontId="0" fillId="9" borderId="0" xfId="0" applyNumberFormat="1" applyFill="1" applyAlignment="1">
      <alignment horizontal="center" vertical="center"/>
    </xf>
    <xf numFmtId="3" fontId="0" fillId="0" borderId="0" xfId="0" applyNumberFormat="1" applyFill="1" applyAlignment="1">
      <alignment horizontal="center" vertical="center"/>
    </xf>
    <xf numFmtId="3" fontId="15" fillId="0" borderId="7" xfId="0" applyNumberFormat="1" applyFont="1" applyBorder="1" applyAlignment="1">
      <alignment horizontal="center" vertical="center"/>
    </xf>
    <xf numFmtId="3" fontId="0" fillId="5" borderId="7" xfId="0" applyNumberFormat="1" applyFill="1" applyBorder="1" applyAlignment="1">
      <alignment horizontal="center" vertical="center"/>
    </xf>
    <xf numFmtId="3" fontId="0" fillId="0" borderId="7" xfId="0" applyNumberFormat="1" applyBorder="1" applyAlignment="1">
      <alignment horizontal="center" vertical="center"/>
    </xf>
    <xf numFmtId="3" fontId="0" fillId="0" borderId="0" xfId="0" applyNumberFormat="1" applyAlignment="1">
      <alignment horizontal="center" vertical="center"/>
    </xf>
    <xf numFmtId="3" fontId="16" fillId="6" borderId="7" xfId="0" applyNumberFormat="1" applyFont="1" applyFill="1" applyBorder="1" applyAlignment="1">
      <alignment horizontal="center" vertical="center"/>
    </xf>
    <xf numFmtId="3" fontId="27" fillId="5" borderId="7" xfId="0" applyNumberFormat="1" applyFont="1" applyFill="1" applyBorder="1" applyAlignment="1">
      <alignment horizontal="center" vertical="center"/>
    </xf>
    <xf numFmtId="0" fontId="4" fillId="2" borderId="0" xfId="0" applyFont="1" applyFill="1" applyAlignment="1">
      <alignment horizontal="center"/>
    </xf>
    <xf numFmtId="0" fontId="4" fillId="3" borderId="0" xfId="0" applyFont="1" applyFill="1" applyAlignment="1">
      <alignment horizontal="center"/>
    </xf>
    <xf numFmtId="0" fontId="6" fillId="0" borderId="0" xfId="0" applyFont="1" applyAlignment="1">
      <alignment horizontal="center"/>
    </xf>
    <xf numFmtId="0" fontId="3" fillId="4" borderId="0" xfId="0" applyFont="1" applyFill="1" applyAlignment="1">
      <alignment horizontal="center" wrapText="1"/>
    </xf>
    <xf numFmtId="0" fontId="3" fillId="0" borderId="0" xfId="4" applyNumberFormat="1" applyFont="1" applyAlignment="1">
      <alignment horizontal="center"/>
    </xf>
    <xf numFmtId="0" fontId="12" fillId="0" borderId="0" xfId="0" applyFont="1" applyAlignment="1">
      <alignment horizontal="center"/>
    </xf>
    <xf numFmtId="44" fontId="2" fillId="0" borderId="0" xfId="2" applyFont="1" applyAlignment="1">
      <alignment horizontal="center"/>
    </xf>
    <xf numFmtId="44" fontId="3" fillId="0" borderId="0" xfId="0" applyNumberFormat="1" applyFont="1" applyAlignment="1">
      <alignment horizontal="center"/>
    </xf>
    <xf numFmtId="0" fontId="12" fillId="4" borderId="0" xfId="0" applyFont="1" applyFill="1" applyAlignment="1">
      <alignment horizontal="center"/>
    </xf>
    <xf numFmtId="0" fontId="27" fillId="0" borderId="0" xfId="0" applyFont="1" applyAlignment="1">
      <alignment horizontal="center"/>
    </xf>
    <xf numFmtId="44" fontId="5" fillId="0" borderId="0" xfId="2" applyFont="1" applyAlignment="1">
      <alignment horizontal="center"/>
    </xf>
    <xf numFmtId="166" fontId="4" fillId="0" borderId="0" xfId="0" applyNumberFormat="1" applyFont="1" applyFill="1" applyAlignment="1">
      <alignment horizontal="center"/>
    </xf>
    <xf numFmtId="6" fontId="5" fillId="0" borderId="8" xfId="0" applyNumberFormat="1" applyFont="1" applyBorder="1" applyAlignment="1">
      <alignment horizontal="center"/>
    </xf>
    <xf numFmtId="3" fontId="5" fillId="3" borderId="8" xfId="0" applyNumberFormat="1" applyFont="1" applyFill="1" applyBorder="1" applyAlignment="1">
      <alignment horizontal="center"/>
    </xf>
    <xf numFmtId="0" fontId="0" fillId="4" borderId="0" xfId="0" applyFill="1" applyAlignment="1">
      <alignment horizontal="center" vertical="center"/>
    </xf>
    <xf numFmtId="5" fontId="0" fillId="4" borderId="0" xfId="2" applyNumberFormat="1" applyFont="1" applyFill="1" applyAlignment="1">
      <alignment horizontal="center" vertical="center" wrapText="1"/>
    </xf>
    <xf numFmtId="5" fontId="0" fillId="0" borderId="0" xfId="2" applyNumberFormat="1" applyFont="1" applyFill="1" applyAlignment="1">
      <alignment horizontal="center" vertical="center" wrapText="1"/>
    </xf>
    <xf numFmtId="0" fontId="0" fillId="0" borderId="0" xfId="0" applyFill="1" applyAlignment="1">
      <alignment horizontal="center" vertical="center"/>
    </xf>
    <xf numFmtId="0" fontId="7" fillId="0" borderId="0" xfId="0" applyFont="1" applyAlignment="1">
      <alignment horizontal="center"/>
    </xf>
    <xf numFmtId="0" fontId="7" fillId="0" borderId="0" xfId="0" applyNumberFormat="1" applyFont="1" applyAlignment="1">
      <alignment horizontal="center"/>
    </xf>
    <xf numFmtId="164" fontId="7" fillId="0" borderId="0" xfId="1" applyNumberFormat="1" applyFont="1" applyAlignment="1">
      <alignment horizontal="center"/>
    </xf>
    <xf numFmtId="43" fontId="7" fillId="0" borderId="0" xfId="0" applyNumberFormat="1" applyFont="1" applyAlignment="1"/>
    <xf numFmtId="0" fontId="7" fillId="0" borderId="0" xfId="0" applyFont="1" applyAlignment="1">
      <alignment horizontal="center" wrapText="1"/>
    </xf>
    <xf numFmtId="43" fontId="7" fillId="0" borderId="0" xfId="0" applyNumberFormat="1" applyFont="1" applyAlignment="1">
      <alignment horizontal="center"/>
    </xf>
    <xf numFmtId="5" fontId="12" fillId="4" borderId="7" xfId="2" applyNumberFormat="1" applyFont="1" applyFill="1" applyBorder="1" applyAlignment="1">
      <alignment horizontal="center" vertical="center" wrapText="1"/>
    </xf>
    <xf numFmtId="0" fontId="12" fillId="4" borderId="7" xfId="0" applyFont="1" applyFill="1" applyBorder="1" applyAlignment="1">
      <alignment horizontal="center" vertical="center"/>
    </xf>
    <xf numFmtId="3" fontId="19" fillId="0" borderId="7" xfId="0" applyNumberFormat="1" applyFont="1" applyBorder="1" applyAlignment="1">
      <alignment horizontal="center"/>
    </xf>
    <xf numFmtId="3" fontId="20" fillId="0" borderId="7" xfId="0" applyNumberFormat="1" applyFont="1" applyBorder="1" applyAlignment="1">
      <alignment horizontal="center"/>
    </xf>
    <xf numFmtId="0" fontId="13" fillId="4" borderId="0" xfId="0" applyFont="1" applyFill="1" applyAlignment="1">
      <alignment horizontal="left" vertical="center" wrapText="1"/>
    </xf>
    <xf numFmtId="0" fontId="14" fillId="4" borderId="0" xfId="0" applyFont="1" applyFill="1" applyAlignment="1">
      <alignment horizontal="left" vertical="center" wrapText="1"/>
    </xf>
    <xf numFmtId="0" fontId="3" fillId="0" borderId="0" xfId="0" applyFont="1" applyFill="1" applyBorder="1" applyAlignment="1">
      <alignment horizontal="left" wrapText="1"/>
    </xf>
    <xf numFmtId="6" fontId="5" fillId="2" borderId="0" xfId="0" quotePrefix="1" applyNumberFormat="1" applyFont="1" applyFill="1" applyAlignment="1">
      <alignment horizontal="center" vertical="center" wrapText="1"/>
    </xf>
    <xf numFmtId="0" fontId="23" fillId="0" borderId="0" xfId="0" applyFont="1" applyAlignment="1">
      <alignment horizontal="left" wrapText="1"/>
    </xf>
    <xf numFmtId="0" fontId="24" fillId="0" borderId="0" xfId="0" applyFont="1" applyAlignment="1">
      <alignment horizontal="left" wrapText="1"/>
    </xf>
    <xf numFmtId="0" fontId="2" fillId="0" borderId="0" xfId="0" applyNumberFormat="1" applyFont="1" applyFill="1" applyAlignment="1">
      <alignment horizontal="left" wrapText="1"/>
    </xf>
    <xf numFmtId="0" fontId="12" fillId="4" borderId="7" xfId="0" applyFont="1" applyFill="1" applyBorder="1" applyAlignment="1">
      <alignment horizontal="left" vertical="center" wrapText="1"/>
    </xf>
    <xf numFmtId="0" fontId="22" fillId="4" borderId="10" xfId="0" applyFont="1" applyFill="1" applyBorder="1" applyAlignment="1">
      <alignment horizontal="left" vertical="center" wrapText="1"/>
    </xf>
    <xf numFmtId="0" fontId="22" fillId="4" borderId="1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3" fillId="0" borderId="0" xfId="0" applyFont="1" applyFill="1" applyBorder="1" applyAlignment="1">
      <alignment horizontal="left" vertical="top" wrapText="1"/>
    </xf>
    <xf numFmtId="0" fontId="24" fillId="9" borderId="4" xfId="0" applyFont="1" applyFill="1" applyBorder="1" applyAlignment="1">
      <alignment horizontal="center" vertical="center"/>
    </xf>
    <xf numFmtId="0" fontId="24" fillId="9" borderId="5" xfId="0" applyFont="1" applyFill="1" applyBorder="1" applyAlignment="1">
      <alignment horizontal="center" vertical="center"/>
    </xf>
    <xf numFmtId="0" fontId="24" fillId="9" borderId="6" xfId="0" applyFont="1" applyFill="1" applyBorder="1" applyAlignment="1">
      <alignment horizontal="center" vertical="center"/>
    </xf>
  </cellXfs>
  <cellStyles count="5">
    <cellStyle name="Comma" xfId="1" builtinId="3"/>
    <cellStyle name="Currency" xfId="2" builtinId="4"/>
    <cellStyle name="Normal" xfId="0" builtinId="0"/>
    <cellStyle name="Normal 2" xfId="3"/>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466726</xdr:colOff>
      <xdr:row>45</xdr:row>
      <xdr:rowOff>76200</xdr:rowOff>
    </xdr:from>
    <xdr:to>
      <xdr:col>2</xdr:col>
      <xdr:colOff>114301</xdr:colOff>
      <xdr:row>66</xdr:row>
      <xdr:rowOff>10743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466726" y="8505825"/>
          <a:ext cx="4438650" cy="3935043"/>
        </a:xfrm>
        <a:prstGeom prst="rect">
          <a:avLst/>
        </a:prstGeom>
      </xdr:spPr>
    </xdr:pic>
    <xdr:clientData/>
  </xdr:twoCellAnchor>
  <xdr:twoCellAnchor editAs="oneCell">
    <xdr:from>
      <xdr:col>3</xdr:col>
      <xdr:colOff>76200</xdr:colOff>
      <xdr:row>45</xdr:row>
      <xdr:rowOff>152401</xdr:rowOff>
    </xdr:from>
    <xdr:to>
      <xdr:col>10</xdr:col>
      <xdr:colOff>9537</xdr:colOff>
      <xdr:row>62</xdr:row>
      <xdr:rowOff>133351</xdr:rowOff>
    </xdr:to>
    <xdr:pic>
      <xdr:nvPicPr>
        <xdr:cNvPr id="4" name="Picture 3"/>
        <xdr:cNvPicPr>
          <a:picLocks noChangeAspect="1"/>
        </xdr:cNvPicPr>
      </xdr:nvPicPr>
      <xdr:blipFill>
        <a:blip xmlns:r="http://schemas.openxmlformats.org/officeDocument/2006/relationships" r:embed="rId2" cstate="print"/>
        <a:stretch>
          <a:fillRect/>
        </a:stretch>
      </xdr:blipFill>
      <xdr:spPr>
        <a:xfrm>
          <a:off x="5476875" y="8582026"/>
          <a:ext cx="4467237" cy="3219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FF00"/>
  </sheetPr>
  <dimension ref="A1:I25"/>
  <sheetViews>
    <sheetView tabSelected="1" workbookViewId="0">
      <selection activeCell="H30" sqref="H30"/>
    </sheetView>
  </sheetViews>
  <sheetFormatPr defaultRowHeight="15"/>
  <cols>
    <col min="1" max="1" width="3.42578125" customWidth="1"/>
    <col min="2" max="2" width="60.85546875" customWidth="1"/>
    <col min="3" max="3" width="11.28515625" customWidth="1"/>
    <col min="4" max="4" width="10.42578125" customWidth="1"/>
    <col min="5" max="8" width="9.140625" customWidth="1"/>
    <col min="9" max="9" width="49" bestFit="1" customWidth="1"/>
  </cols>
  <sheetData>
    <row r="1" spans="1:9" s="71" customFormat="1" ht="31.5">
      <c r="B1" s="208" t="s">
        <v>152</v>
      </c>
      <c r="C1" s="209"/>
      <c r="D1" s="209"/>
      <c r="E1" s="209"/>
      <c r="F1" s="209"/>
      <c r="G1" s="209"/>
      <c r="H1" s="209"/>
    </row>
    <row r="2" spans="1:9" s="71" customFormat="1">
      <c r="B2" s="90"/>
      <c r="C2" s="91"/>
      <c r="D2" s="92"/>
      <c r="E2" s="92"/>
      <c r="F2" s="92"/>
      <c r="G2" s="92"/>
      <c r="H2" s="92"/>
    </row>
    <row r="3" spans="1:9" s="71" customFormat="1" ht="30">
      <c r="B3" s="94" t="s">
        <v>60</v>
      </c>
      <c r="C3" s="195" t="s">
        <v>160</v>
      </c>
      <c r="D3" s="194" t="s">
        <v>161</v>
      </c>
      <c r="E3" s="194" t="s">
        <v>162</v>
      </c>
      <c r="F3" s="194" t="s">
        <v>163</v>
      </c>
      <c r="G3" s="194" t="s">
        <v>164</v>
      </c>
      <c r="H3" s="194" t="s">
        <v>165</v>
      </c>
    </row>
    <row r="4" spans="1:9" s="71" customFormat="1">
      <c r="B4" s="95"/>
      <c r="C4" s="196"/>
      <c r="D4" s="197"/>
      <c r="E4" s="197"/>
      <c r="F4" s="197"/>
      <c r="G4" s="197"/>
      <c r="H4" s="197"/>
    </row>
    <row r="5" spans="1:9">
      <c r="A5" s="89"/>
      <c r="B5" s="97" t="s">
        <v>0</v>
      </c>
      <c r="C5" s="99" t="s">
        <v>144</v>
      </c>
      <c r="D5" s="99"/>
      <c r="E5" s="99"/>
      <c r="F5" s="99"/>
      <c r="G5" s="99"/>
      <c r="H5" s="99"/>
      <c r="I5" s="71"/>
    </row>
    <row r="6" spans="1:9">
      <c r="A6" s="89"/>
      <c r="B6" s="105" t="s">
        <v>153</v>
      </c>
      <c r="C6" s="170">
        <f>SUM(D6:H6)</f>
        <v>851.79</v>
      </c>
      <c r="D6" s="175">
        <f>'Project Management'!C3</f>
        <v>425.89499999999998</v>
      </c>
      <c r="E6" s="175">
        <f>'Project Management'!D3</f>
        <v>425.89499999999998</v>
      </c>
      <c r="F6" s="175">
        <f>'Project Management'!E3</f>
        <v>0</v>
      </c>
      <c r="G6" s="175">
        <f>'Project Management'!F3</f>
        <v>0</v>
      </c>
      <c r="H6" s="175">
        <f>'Project Management'!G3</f>
        <v>0</v>
      </c>
      <c r="I6" s="71" t="s">
        <v>255</v>
      </c>
    </row>
    <row r="7" spans="1:9">
      <c r="A7" s="89"/>
      <c r="B7" s="105" t="s">
        <v>154</v>
      </c>
      <c r="C7" s="170">
        <f>SUM(D7:H7)</f>
        <v>1249.177403846154</v>
      </c>
      <c r="D7" s="175">
        <f>'Industry Engagement &amp; Training '!C8</f>
        <v>847.65096153846162</v>
      </c>
      <c r="E7" s="175">
        <f>'Industry Engagement &amp; Training '!D8</f>
        <v>401.52644230769226</v>
      </c>
      <c r="F7" s="175">
        <f>'Industry Engagement &amp; Training '!E8</f>
        <v>0</v>
      </c>
      <c r="G7" s="175">
        <f>'Industry Engagement &amp; Training '!F8</f>
        <v>0</v>
      </c>
      <c r="H7" s="175">
        <f>'Industry Engagement &amp; Training '!G8</f>
        <v>0</v>
      </c>
      <c r="I7" s="71" t="s">
        <v>248</v>
      </c>
    </row>
    <row r="8" spans="1:9">
      <c r="A8" s="89"/>
      <c r="B8" s="100" t="s">
        <v>155</v>
      </c>
      <c r="C8" s="170">
        <f>SUM(D8:H8)</f>
        <v>127</v>
      </c>
      <c r="D8" s="175">
        <f>'Policy &amp; Procedures'!C3</f>
        <v>100</v>
      </c>
      <c r="E8" s="175">
        <f>'Policy &amp; Procedures'!D3</f>
        <v>27</v>
      </c>
      <c r="F8" s="175">
        <f>'Policy &amp; Procedures'!E3</f>
        <v>0</v>
      </c>
      <c r="G8" s="175">
        <f>'Policy &amp; Procedures'!F3</f>
        <v>0</v>
      </c>
      <c r="H8" s="175">
        <f>'Policy &amp; Procedures'!G3</f>
        <v>0</v>
      </c>
      <c r="I8" s="71" t="s">
        <v>246</v>
      </c>
    </row>
    <row r="9" spans="1:9">
      <c r="A9" s="89"/>
      <c r="B9" s="100" t="s">
        <v>156</v>
      </c>
      <c r="C9" s="170">
        <f>SUM(D9:H9)</f>
        <v>342.65454999999997</v>
      </c>
      <c r="D9" s="175">
        <f>'Industry Engagement &amp; Training '!C12</f>
        <v>123.405</v>
      </c>
      <c r="E9" s="175">
        <f>'Industry Engagement &amp; Training '!D12</f>
        <v>219.24955</v>
      </c>
      <c r="F9" s="175">
        <f>'Industry Engagement &amp; Training '!E12</f>
        <v>0</v>
      </c>
      <c r="G9" s="175">
        <f>'Industry Engagement &amp; Training '!F12</f>
        <v>0</v>
      </c>
      <c r="H9" s="175">
        <f>'Industry Engagement &amp; Training '!G12</f>
        <v>0</v>
      </c>
      <c r="I9" s="71" t="s">
        <v>249</v>
      </c>
    </row>
    <row r="10" spans="1:9" hidden="1">
      <c r="A10" s="89"/>
      <c r="B10" s="106"/>
      <c r="C10" s="170"/>
      <c r="D10" s="176"/>
      <c r="E10" s="176"/>
      <c r="F10" s="176"/>
      <c r="G10" s="176"/>
      <c r="H10" s="176"/>
      <c r="I10" s="71"/>
    </row>
    <row r="11" spans="1:9">
      <c r="A11" s="89"/>
      <c r="B11" s="107" t="s">
        <v>1</v>
      </c>
      <c r="C11" s="171">
        <f t="shared" ref="C11:H11" si="0">SUM(C6:C9)</f>
        <v>2570.6219538461537</v>
      </c>
      <c r="D11" s="179">
        <f t="shared" si="0"/>
        <v>1496.9509615384616</v>
      </c>
      <c r="E11" s="179">
        <f t="shared" si="0"/>
        <v>1073.6709923076924</v>
      </c>
      <c r="F11" s="179">
        <f t="shared" si="0"/>
        <v>0</v>
      </c>
      <c r="G11" s="179">
        <f t="shared" si="0"/>
        <v>0</v>
      </c>
      <c r="H11" s="179">
        <f t="shared" si="0"/>
        <v>0</v>
      </c>
      <c r="I11" s="71"/>
    </row>
    <row r="12" spans="1:9" hidden="1">
      <c r="A12" s="89"/>
      <c r="B12" s="108" t="s">
        <v>146</v>
      </c>
      <c r="C12" s="172"/>
      <c r="D12" s="172"/>
      <c r="E12" s="172"/>
      <c r="F12" s="172"/>
      <c r="G12" s="172"/>
      <c r="H12" s="172"/>
      <c r="I12" s="71" t="s">
        <v>239</v>
      </c>
    </row>
    <row r="13" spans="1:9">
      <c r="A13" s="89"/>
      <c r="B13" s="111"/>
      <c r="C13" s="173"/>
      <c r="D13" s="177"/>
      <c r="E13" s="177"/>
      <c r="F13" s="177"/>
      <c r="G13" s="177"/>
      <c r="H13" s="177"/>
    </row>
    <row r="14" spans="1:9">
      <c r="A14" s="89"/>
      <c r="B14" s="96" t="s">
        <v>2</v>
      </c>
      <c r="C14" s="104" t="s">
        <v>144</v>
      </c>
      <c r="D14" s="178"/>
      <c r="E14" s="178"/>
      <c r="F14" s="178"/>
      <c r="G14" s="178"/>
      <c r="H14" s="178"/>
    </row>
    <row r="15" spans="1:9">
      <c r="A15" s="89"/>
      <c r="B15" s="100" t="s">
        <v>147</v>
      </c>
      <c r="C15" s="170">
        <f t="shared" ref="C15:C20" si="1">SUM(D15:H15)</f>
        <v>1421</v>
      </c>
      <c r="D15" s="175">
        <f>'Advice and Support'!B4</f>
        <v>0</v>
      </c>
      <c r="E15" s="175">
        <f>'Advice and Support'!C4</f>
        <v>102</v>
      </c>
      <c r="F15" s="175">
        <f>'Advice and Support'!D4</f>
        <v>406</v>
      </c>
      <c r="G15" s="175">
        <f>'Advice and Support'!E4</f>
        <v>406</v>
      </c>
      <c r="H15" s="175">
        <f>'Advice and Support'!F4</f>
        <v>507</v>
      </c>
      <c r="I15" s="71" t="s">
        <v>250</v>
      </c>
    </row>
    <row r="16" spans="1:9">
      <c r="A16" s="89"/>
      <c r="B16" s="100" t="s">
        <v>149</v>
      </c>
      <c r="C16" s="170">
        <f t="shared" si="1"/>
        <v>1852</v>
      </c>
      <c r="D16" s="175">
        <f>SUM('Advice and Support'!B5:B6)</f>
        <v>0</v>
      </c>
      <c r="E16" s="175">
        <f>SUM('Advice and Support'!C5:C6)</f>
        <v>463</v>
      </c>
      <c r="F16" s="175">
        <f>SUM('Advice and Support'!D5:D6)</f>
        <v>463</v>
      </c>
      <c r="G16" s="175">
        <f>SUM('Advice and Support'!E5:E6)</f>
        <v>463</v>
      </c>
      <c r="H16" s="175">
        <f>SUM('Advice and Support'!F5:F6)</f>
        <v>463</v>
      </c>
      <c r="I16" s="71" t="s">
        <v>251</v>
      </c>
    </row>
    <row r="17" spans="1:9">
      <c r="A17" s="89"/>
      <c r="B17" s="100" t="s">
        <v>155</v>
      </c>
      <c r="C17" s="170">
        <f t="shared" si="1"/>
        <v>108</v>
      </c>
      <c r="D17" s="175">
        <f>'Policy &amp; Procedures'!C10</f>
        <v>0</v>
      </c>
      <c r="E17" s="175">
        <f>'Policy &amp; Procedures'!D10</f>
        <v>27</v>
      </c>
      <c r="F17" s="175">
        <f>'Policy &amp; Procedures'!E10</f>
        <v>27</v>
      </c>
      <c r="G17" s="175">
        <f>'Policy &amp; Procedures'!F10</f>
        <v>27</v>
      </c>
      <c r="H17" s="175">
        <f>'Policy &amp; Procedures'!G10</f>
        <v>27</v>
      </c>
      <c r="I17" s="71" t="s">
        <v>247</v>
      </c>
    </row>
    <row r="18" spans="1:9">
      <c r="A18" s="89"/>
      <c r="B18" s="100" t="s">
        <v>157</v>
      </c>
      <c r="C18" s="170">
        <f t="shared" si="1"/>
        <v>161</v>
      </c>
      <c r="D18" s="175">
        <f>'Advice and Support'!C101</f>
        <v>0</v>
      </c>
      <c r="E18" s="175">
        <f>'Advice and Support'!D101</f>
        <v>127</v>
      </c>
      <c r="F18" s="175">
        <f>'Advice and Support'!E101</f>
        <v>0</v>
      </c>
      <c r="G18" s="175">
        <f>'Advice and Support'!F101</f>
        <v>34</v>
      </c>
      <c r="H18" s="175">
        <f>'Advice and Support'!G101</f>
        <v>0</v>
      </c>
      <c r="I18" s="71" t="s">
        <v>252</v>
      </c>
    </row>
    <row r="19" spans="1:9">
      <c r="A19" s="89"/>
      <c r="B19" s="100" t="s">
        <v>158</v>
      </c>
      <c r="C19" s="170">
        <f t="shared" si="1"/>
        <v>717</v>
      </c>
      <c r="D19" s="175">
        <f>'Advice and Support'!C102</f>
        <v>0</v>
      </c>
      <c r="E19" s="175">
        <f>'Advice and Support'!D102</f>
        <v>232.66666666666666</v>
      </c>
      <c r="F19" s="175">
        <f>'Advice and Support'!E102</f>
        <v>156.66666666666666</v>
      </c>
      <c r="G19" s="175">
        <f>'Advice and Support'!F102</f>
        <v>161.33333333333334</v>
      </c>
      <c r="H19" s="175">
        <f>'Advice and Support'!G102</f>
        <v>166.33333333333334</v>
      </c>
      <c r="I19" s="71" t="s">
        <v>253</v>
      </c>
    </row>
    <row r="20" spans="1:9">
      <c r="A20" s="89"/>
      <c r="B20" s="100" t="s">
        <v>159</v>
      </c>
      <c r="C20" s="170">
        <f t="shared" si="1"/>
        <v>677.16419280172545</v>
      </c>
      <c r="D20" s="175">
        <f>'Advice and Support'!C103</f>
        <v>6</v>
      </c>
      <c r="E20" s="175">
        <f>'Advice and Support'!D103</f>
        <v>6</v>
      </c>
      <c r="F20" s="175">
        <f>'Advice and Support'!E103</f>
        <v>216.34253433820359</v>
      </c>
      <c r="G20" s="175">
        <f>'Advice and Support'!F103</f>
        <v>218.44760708747035</v>
      </c>
      <c r="H20" s="175">
        <f>'Advice and Support'!G103</f>
        <v>230.37405137605148</v>
      </c>
      <c r="I20" s="71" t="s">
        <v>254</v>
      </c>
    </row>
    <row r="21" spans="1:9" hidden="1">
      <c r="A21" s="89"/>
      <c r="B21" s="106"/>
      <c r="C21" s="170"/>
      <c r="D21" s="175"/>
      <c r="E21" s="175"/>
      <c r="F21" s="175"/>
      <c r="G21" s="175"/>
      <c r="H21" s="175"/>
    </row>
    <row r="22" spans="1:9">
      <c r="A22" s="89"/>
      <c r="B22" s="107" t="s">
        <v>3</v>
      </c>
      <c r="C22" s="174">
        <f t="shared" ref="C22:H22" si="2">SUM(C15:C20)</f>
        <v>4936.1641928017252</v>
      </c>
      <c r="D22" s="179">
        <f t="shared" si="2"/>
        <v>6</v>
      </c>
      <c r="E22" s="179">
        <f t="shared" si="2"/>
        <v>957.66666666666663</v>
      </c>
      <c r="F22" s="179">
        <f t="shared" si="2"/>
        <v>1269.0092010048704</v>
      </c>
      <c r="G22" s="179">
        <f t="shared" si="2"/>
        <v>1309.7809404208035</v>
      </c>
      <c r="H22" s="179">
        <f t="shared" si="2"/>
        <v>1393.7073847093848</v>
      </c>
    </row>
    <row r="23" spans="1:9" hidden="1">
      <c r="A23" s="89"/>
      <c r="B23" s="101" t="s">
        <v>150</v>
      </c>
      <c r="C23" s="102"/>
      <c r="D23" s="103"/>
      <c r="E23" s="103"/>
      <c r="F23" s="103"/>
      <c r="G23" s="103"/>
      <c r="H23" s="103"/>
    </row>
    <row r="24" spans="1:9" hidden="1">
      <c r="A24" s="89"/>
      <c r="B24" s="113" t="s">
        <v>151</v>
      </c>
      <c r="C24" s="109"/>
      <c r="D24" s="110"/>
      <c r="E24" s="110"/>
      <c r="F24" s="110"/>
      <c r="G24" s="110"/>
      <c r="H24" s="110"/>
    </row>
    <row r="25" spans="1:9" s="71" customFormat="1">
      <c r="A25" s="89"/>
      <c r="B25" s="90"/>
      <c r="C25" s="112"/>
      <c r="D25" s="98"/>
      <c r="E25" s="98"/>
      <c r="F25" s="98"/>
      <c r="G25" s="98"/>
      <c r="H25" s="98"/>
    </row>
  </sheetData>
  <sheetProtection sheet="1" objects="1" scenarios="1" formatColumns="0" formatRows="0"/>
  <mergeCells count="1">
    <mergeCell ref="B1:H1"/>
  </mergeCells>
  <pageMargins left="0" right="0" top="0.74803149606299213" bottom="0.74803149606299213" header="0.31496062992125984" footer="0.31496062992125984"/>
  <pageSetup paperSize="8" scale="90" orientation="landscape" r:id="rId1"/>
</worksheet>
</file>

<file path=xl/worksheets/sheet2.xml><?xml version="1.0" encoding="utf-8"?>
<worksheet xmlns="http://schemas.openxmlformats.org/spreadsheetml/2006/main" xmlns:r="http://schemas.openxmlformats.org/officeDocument/2006/relationships">
  <sheetPr>
    <tabColor rgb="FFFFFF00"/>
  </sheetPr>
  <dimension ref="A1:N109"/>
  <sheetViews>
    <sheetView workbookViewId="0">
      <selection activeCell="B20" sqref="B20:G20"/>
    </sheetView>
  </sheetViews>
  <sheetFormatPr defaultRowHeight="15"/>
  <cols>
    <col min="1" max="1" width="43" customWidth="1"/>
    <col min="2" max="2" width="8.85546875" customWidth="1"/>
    <col min="3" max="7" width="8.85546875" style="65" customWidth="1"/>
    <col min="8" max="8" width="4.140625" bestFit="1" customWidth="1"/>
    <col min="9" max="9" width="13.28515625" bestFit="1" customWidth="1"/>
    <col min="10" max="10" width="11.85546875" customWidth="1"/>
  </cols>
  <sheetData>
    <row r="1" spans="1:14">
      <c r="A1" s="1"/>
      <c r="B1" s="1"/>
      <c r="C1" s="11"/>
      <c r="D1" s="11"/>
      <c r="E1" s="11"/>
      <c r="F1" s="11"/>
      <c r="G1" s="11"/>
      <c r="H1" s="1"/>
      <c r="I1" s="1"/>
      <c r="J1" s="1"/>
      <c r="K1" s="1"/>
      <c r="L1" s="1"/>
      <c r="M1" s="1"/>
      <c r="N1" s="1"/>
    </row>
    <row r="2" spans="1:14">
      <c r="A2" s="6" t="s">
        <v>121</v>
      </c>
      <c r="B2" s="1"/>
      <c r="C2" s="11"/>
      <c r="D2" s="11"/>
      <c r="E2" s="11"/>
      <c r="F2" s="11"/>
      <c r="G2" s="11"/>
      <c r="H2" s="1"/>
      <c r="I2" s="1"/>
      <c r="J2" s="1"/>
      <c r="K2" s="1"/>
      <c r="L2" s="1"/>
      <c r="M2" s="1"/>
      <c r="N2" s="1"/>
    </row>
    <row r="3" spans="1:14" ht="27.75" customHeight="1">
      <c r="A3" s="40" t="s">
        <v>119</v>
      </c>
      <c r="B3" s="41" t="s">
        <v>61</v>
      </c>
      <c r="C3" s="41" t="s">
        <v>62</v>
      </c>
      <c r="D3" s="41" t="s">
        <v>63</v>
      </c>
      <c r="E3" s="41" t="s">
        <v>64</v>
      </c>
      <c r="F3" s="41" t="s">
        <v>65</v>
      </c>
      <c r="G3" s="36" t="s">
        <v>83</v>
      </c>
    </row>
    <row r="4" spans="1:14">
      <c r="A4" s="37" t="s">
        <v>109</v>
      </c>
      <c r="B4" s="42">
        <f>B19</f>
        <v>0</v>
      </c>
      <c r="C4" s="42">
        <f>C19</f>
        <v>102</v>
      </c>
      <c r="D4" s="42">
        <f>D19</f>
        <v>406</v>
      </c>
      <c r="E4" s="42">
        <f>E19</f>
        <v>406</v>
      </c>
      <c r="F4" s="42">
        <f>F19</f>
        <v>507</v>
      </c>
      <c r="G4" s="43">
        <f>SUM(B4:F4)</f>
        <v>1421</v>
      </c>
      <c r="H4" s="44"/>
    </row>
    <row r="5" spans="1:14">
      <c r="A5" s="37" t="s">
        <v>110</v>
      </c>
      <c r="B5" s="42">
        <f>B23</f>
        <v>0</v>
      </c>
      <c r="C5" s="42">
        <f>C23</f>
        <v>405</v>
      </c>
      <c r="D5" s="42">
        <f>D23</f>
        <v>405</v>
      </c>
      <c r="E5" s="42">
        <f>E23</f>
        <v>405</v>
      </c>
      <c r="F5" s="42">
        <f>F23</f>
        <v>405</v>
      </c>
      <c r="G5" s="43">
        <f>SUM(B5:F5)</f>
        <v>1620</v>
      </c>
      <c r="H5" s="44"/>
    </row>
    <row r="6" spans="1:14">
      <c r="A6" s="37" t="s">
        <v>111</v>
      </c>
      <c r="B6" s="42">
        <f>B85</f>
        <v>0</v>
      </c>
      <c r="C6" s="42">
        <f>C85</f>
        <v>58</v>
      </c>
      <c r="D6" s="42">
        <f>D85</f>
        <v>58</v>
      </c>
      <c r="E6" s="42">
        <f>E85</f>
        <v>58</v>
      </c>
      <c r="F6" s="42">
        <f>F85</f>
        <v>58</v>
      </c>
      <c r="G6" s="43">
        <f>SUM(B6:F6)</f>
        <v>232</v>
      </c>
      <c r="H6" s="44"/>
    </row>
    <row r="7" spans="1:14">
      <c r="A7" s="45" t="s">
        <v>84</v>
      </c>
      <c r="B7" s="46">
        <v>0</v>
      </c>
      <c r="C7" s="46">
        <f>SUM(C4:C6)</f>
        <v>565</v>
      </c>
      <c r="D7" s="46">
        <f>SUM(D4:D6)</f>
        <v>869</v>
      </c>
      <c r="E7" s="46">
        <f>SUM(E4:E6)</f>
        <v>869</v>
      </c>
      <c r="F7" s="46">
        <f>SUM(F4:F6)</f>
        <v>970</v>
      </c>
      <c r="G7" s="47">
        <f>SUM(C7:F7)</f>
        <v>3273</v>
      </c>
      <c r="H7" s="8"/>
    </row>
    <row r="8" spans="1:14">
      <c r="A8" s="1"/>
      <c r="B8" s="1"/>
      <c r="C8" s="11"/>
      <c r="D8" s="11"/>
      <c r="E8" s="11"/>
      <c r="F8" s="11"/>
      <c r="G8" s="48"/>
      <c r="H8" s="1"/>
      <c r="I8" s="1"/>
      <c r="J8" s="1"/>
      <c r="K8" s="1"/>
      <c r="L8" s="1"/>
      <c r="M8" s="1"/>
      <c r="N8" s="1"/>
    </row>
    <row r="9" spans="1:14">
      <c r="A9" s="1"/>
      <c r="B9" s="1"/>
      <c r="C9" s="11"/>
      <c r="D9" s="42"/>
      <c r="E9" s="42"/>
      <c r="F9" s="42"/>
      <c r="G9" s="42"/>
      <c r="H9" s="1"/>
      <c r="I9" s="1"/>
      <c r="J9" s="1"/>
      <c r="K9" s="1"/>
      <c r="L9" s="1"/>
      <c r="M9" s="1"/>
      <c r="N9" s="1"/>
    </row>
    <row r="10" spans="1:14">
      <c r="A10" s="6" t="s">
        <v>122</v>
      </c>
      <c r="B10" s="1"/>
      <c r="C10" s="11"/>
      <c r="D10" s="42"/>
      <c r="E10" s="42"/>
      <c r="F10" s="42"/>
      <c r="G10" s="42"/>
      <c r="H10" s="1"/>
      <c r="I10" s="1"/>
      <c r="J10" s="1"/>
      <c r="K10" s="1"/>
      <c r="L10" s="1"/>
      <c r="M10" s="1"/>
      <c r="N10" s="1"/>
    </row>
    <row r="11" spans="1:14" ht="27.75" customHeight="1">
      <c r="A11" s="79" t="s">
        <v>119</v>
      </c>
      <c r="B11" s="41" t="s">
        <v>61</v>
      </c>
      <c r="C11" s="41" t="s">
        <v>62</v>
      </c>
      <c r="D11" s="41" t="s">
        <v>63</v>
      </c>
      <c r="E11" s="41" t="s">
        <v>64</v>
      </c>
      <c r="F11" s="41" t="s">
        <v>65</v>
      </c>
      <c r="G11" s="36" t="s">
        <v>83</v>
      </c>
    </row>
    <row r="12" spans="1:14">
      <c r="A12" s="81" t="s">
        <v>86</v>
      </c>
      <c r="C12"/>
      <c r="D12"/>
      <c r="E12"/>
      <c r="F12"/>
      <c r="G12"/>
    </row>
    <row r="13" spans="1:14">
      <c r="A13" s="82" t="s">
        <v>139</v>
      </c>
      <c r="B13" s="42">
        <f>B62</f>
        <v>0</v>
      </c>
      <c r="C13" s="42">
        <f>C62</f>
        <v>439</v>
      </c>
      <c r="D13" s="42">
        <f>D62</f>
        <v>5174</v>
      </c>
      <c r="E13" s="42">
        <f>E62</f>
        <v>5846</v>
      </c>
      <c r="F13" s="42">
        <f>F62</f>
        <v>6400</v>
      </c>
      <c r="G13" s="43">
        <f>SUM(B13:F13)</f>
        <v>17859</v>
      </c>
    </row>
    <row r="14" spans="1:14">
      <c r="A14" s="82" t="s">
        <v>140</v>
      </c>
      <c r="B14" s="42">
        <f>B75</f>
        <v>0</v>
      </c>
      <c r="C14" s="42">
        <f>C75</f>
        <v>900</v>
      </c>
      <c r="D14" s="42">
        <f>D75</f>
        <v>869</v>
      </c>
      <c r="E14" s="42">
        <f>E75</f>
        <v>838</v>
      </c>
      <c r="F14" s="42">
        <f>F75</f>
        <v>805</v>
      </c>
      <c r="G14" s="43">
        <f>SUM(B14:F14)</f>
        <v>3412</v>
      </c>
    </row>
    <row r="15" spans="1:14">
      <c r="A15" s="83" t="s">
        <v>87</v>
      </c>
      <c r="B15" s="46">
        <f t="shared" ref="B15:G15" si="0">SUM(B13:B14)</f>
        <v>0</v>
      </c>
      <c r="C15" s="46">
        <f t="shared" si="0"/>
        <v>1339</v>
      </c>
      <c r="D15" s="46">
        <f t="shared" si="0"/>
        <v>6043</v>
      </c>
      <c r="E15" s="46">
        <f t="shared" si="0"/>
        <v>6684</v>
      </c>
      <c r="F15" s="46">
        <f t="shared" si="0"/>
        <v>7205</v>
      </c>
      <c r="G15" s="46">
        <f t="shared" si="0"/>
        <v>21271</v>
      </c>
      <c r="H15" s="8"/>
    </row>
    <row r="16" spans="1:14">
      <c r="A16" s="84"/>
      <c r="B16" s="50"/>
      <c r="C16" s="50"/>
      <c r="D16" s="50"/>
      <c r="E16" s="50"/>
      <c r="F16" s="50"/>
      <c r="G16" s="50"/>
      <c r="H16" s="8"/>
    </row>
    <row r="17" spans="1:14">
      <c r="A17" s="84" t="s">
        <v>112</v>
      </c>
      <c r="B17" s="50"/>
      <c r="C17" s="50"/>
      <c r="D17" s="50"/>
      <c r="E17" s="50"/>
      <c r="F17" s="50"/>
      <c r="G17" s="50"/>
      <c r="H17" s="8"/>
    </row>
    <row r="18" spans="1:14">
      <c r="A18" s="85" t="s">
        <v>88</v>
      </c>
      <c r="B18" s="54">
        <f>ROUND(B15/1500,2)</f>
        <v>0</v>
      </c>
      <c r="C18" s="54">
        <f>ROUND((C15)/1500,0)</f>
        <v>1</v>
      </c>
      <c r="D18" s="54">
        <f>ROUND((D15)/1500,0)</f>
        <v>4</v>
      </c>
      <c r="E18" s="54">
        <f>ROUND((E15)/1500,0)</f>
        <v>4</v>
      </c>
      <c r="F18" s="54">
        <f>ROUND((F15)/1500,0)</f>
        <v>5</v>
      </c>
      <c r="G18" s="55">
        <f>SUM(B18:F18)</f>
        <v>14</v>
      </c>
      <c r="H18" s="8"/>
    </row>
    <row r="19" spans="1:14">
      <c r="A19" s="86" t="s">
        <v>113</v>
      </c>
      <c r="B19" s="56">
        <f>ROUNDUP(B18*101,3)</f>
        <v>0</v>
      </c>
      <c r="C19" s="56">
        <f>ROUNDUP(C18*101.35,0)</f>
        <v>102</v>
      </c>
      <c r="D19" s="56">
        <f>ROUNDUP(D18*101.35,0)</f>
        <v>406</v>
      </c>
      <c r="E19" s="56">
        <f>ROUNDUP(E18*101.35,0)</f>
        <v>406</v>
      </c>
      <c r="F19" s="56">
        <f>ROUNDUP(F18*101.35,0)</f>
        <v>507</v>
      </c>
      <c r="G19" s="56">
        <f>SUM(B19:F19)</f>
        <v>1421</v>
      </c>
      <c r="H19" s="8"/>
    </row>
    <row r="20" spans="1:14">
      <c r="A20" s="84"/>
      <c r="B20" s="51"/>
      <c r="C20" s="51"/>
      <c r="D20" s="51"/>
      <c r="E20" s="51"/>
      <c r="F20" s="51"/>
      <c r="G20" s="51"/>
      <c r="H20" s="8"/>
    </row>
    <row r="21" spans="1:14">
      <c r="A21" s="84" t="s">
        <v>114</v>
      </c>
      <c r="B21" s="50"/>
      <c r="C21" s="50"/>
      <c r="D21" s="50"/>
      <c r="E21" s="50"/>
      <c r="F21" s="50"/>
      <c r="G21" s="50"/>
      <c r="H21" s="8"/>
    </row>
    <row r="22" spans="1:14">
      <c r="A22" s="85" t="s">
        <v>116</v>
      </c>
      <c r="B22" s="54">
        <f t="shared" ref="B22:G22" si="1">B94</f>
        <v>0</v>
      </c>
      <c r="C22" s="54">
        <f t="shared" si="1"/>
        <v>4</v>
      </c>
      <c r="D22" s="54">
        <f t="shared" si="1"/>
        <v>4</v>
      </c>
      <c r="E22" s="54">
        <f t="shared" si="1"/>
        <v>4</v>
      </c>
      <c r="F22" s="54">
        <f t="shared" si="1"/>
        <v>4</v>
      </c>
      <c r="G22" s="54">
        <f t="shared" si="1"/>
        <v>4</v>
      </c>
      <c r="H22" s="8"/>
    </row>
    <row r="23" spans="1:14">
      <c r="A23" s="86" t="s">
        <v>115</v>
      </c>
      <c r="B23" s="56">
        <f>ROUND(B22*101,3)</f>
        <v>0</v>
      </c>
      <c r="C23" s="56">
        <f>ROUND(C22*101.35,0)</f>
        <v>405</v>
      </c>
      <c r="D23" s="56">
        <f>ROUND(D22*101.35,0)</f>
        <v>405</v>
      </c>
      <c r="E23" s="56">
        <f>ROUND(E22*101.35,0)</f>
        <v>405</v>
      </c>
      <c r="F23" s="56">
        <f>ROUND(F22*101.35,0)</f>
        <v>405</v>
      </c>
      <c r="G23" s="56">
        <f>ROUND(G22*101.35,0)</f>
        <v>405</v>
      </c>
      <c r="H23" s="8"/>
    </row>
    <row r="24" spans="1:14" s="71" customFormat="1">
      <c r="A24" s="72"/>
      <c r="B24" s="50"/>
      <c r="C24" s="50"/>
      <c r="D24" s="50"/>
      <c r="E24" s="50"/>
      <c r="F24" s="50"/>
      <c r="G24" s="50"/>
      <c r="H24" s="44"/>
    </row>
    <row r="25" spans="1:14">
      <c r="A25" s="49" t="s">
        <v>85</v>
      </c>
      <c r="B25" s="51"/>
      <c r="C25" s="51"/>
      <c r="D25" s="51"/>
      <c r="E25" s="51"/>
      <c r="F25" s="51"/>
      <c r="G25" s="51"/>
      <c r="H25" s="8"/>
    </row>
    <row r="26" spans="1:14">
      <c r="A26" s="57" t="s">
        <v>89</v>
      </c>
      <c r="B26" s="51"/>
      <c r="C26" s="51"/>
      <c r="D26" s="51"/>
      <c r="E26" s="51"/>
      <c r="F26" s="51"/>
      <c r="G26" s="58"/>
      <c r="H26" s="8"/>
    </row>
    <row r="27" spans="1:14" ht="25.5" customHeight="1">
      <c r="A27" s="210" t="s">
        <v>123</v>
      </c>
      <c r="B27" s="210"/>
      <c r="C27" s="210"/>
      <c r="D27" s="210"/>
      <c r="E27" s="210"/>
      <c r="F27" s="210"/>
      <c r="G27" s="210"/>
      <c r="H27" s="8"/>
    </row>
    <row r="28" spans="1:14">
      <c r="A28" s="49"/>
      <c r="B28" s="51"/>
      <c r="C28" s="51"/>
      <c r="D28" s="51"/>
      <c r="E28" s="51"/>
      <c r="F28" s="51"/>
      <c r="G28" s="52"/>
      <c r="H28" s="8"/>
    </row>
    <row r="29" spans="1:14">
      <c r="A29" s="49"/>
      <c r="B29" s="51"/>
      <c r="C29" s="51"/>
      <c r="D29" s="51"/>
      <c r="E29" s="51"/>
      <c r="F29" s="51"/>
      <c r="G29" s="52"/>
      <c r="H29" s="8"/>
    </row>
    <row r="30" spans="1:14">
      <c r="A30" s="74" t="s">
        <v>120</v>
      </c>
      <c r="B30" s="69"/>
      <c r="C30" s="75"/>
      <c r="D30" s="42"/>
      <c r="E30" s="42"/>
      <c r="F30" s="42"/>
      <c r="G30" s="42"/>
      <c r="H30" s="1"/>
      <c r="I30" s="1"/>
      <c r="J30" s="1"/>
      <c r="K30" s="1"/>
      <c r="L30" s="1"/>
      <c r="M30" s="1"/>
      <c r="N30" s="1"/>
    </row>
    <row r="31" spans="1:14">
      <c r="A31" s="49"/>
      <c r="B31" s="51"/>
      <c r="C31" s="51"/>
      <c r="D31" s="51"/>
      <c r="E31" s="51"/>
      <c r="F31" s="51"/>
      <c r="G31" s="52"/>
      <c r="H31" s="8"/>
    </row>
    <row r="32" spans="1:14">
      <c r="A32" s="6" t="s">
        <v>124</v>
      </c>
      <c r="B32" s="1"/>
      <c r="C32" s="11"/>
      <c r="D32" s="42"/>
      <c r="E32" s="42"/>
      <c r="F32" s="42"/>
      <c r="G32" s="42"/>
      <c r="H32" s="1"/>
      <c r="I32" s="1"/>
      <c r="J32" s="1"/>
      <c r="K32" s="1"/>
      <c r="L32" s="1"/>
      <c r="M32" s="1"/>
      <c r="N32" s="1"/>
    </row>
    <row r="33" spans="1:14">
      <c r="A33" s="40" t="s">
        <v>119</v>
      </c>
      <c r="B33" s="41" t="s">
        <v>61</v>
      </c>
      <c r="C33" s="41" t="s">
        <v>62</v>
      </c>
      <c r="D33" s="41" t="s">
        <v>63</v>
      </c>
      <c r="E33" s="41" t="s">
        <v>64</v>
      </c>
      <c r="F33" s="41" t="s">
        <v>65</v>
      </c>
      <c r="G33" s="76" t="s">
        <v>66</v>
      </c>
    </row>
    <row r="34" spans="1:14">
      <c r="A34" s="37" t="s">
        <v>90</v>
      </c>
      <c r="B34" s="42">
        <f>'Tariff uptake model'!C2</f>
        <v>859678</v>
      </c>
      <c r="C34" s="42">
        <f>'Tariff uptake model'!D2</f>
        <v>866120</v>
      </c>
      <c r="D34" s="42">
        <f>'Tariff uptake model'!E2</f>
        <v>872616</v>
      </c>
      <c r="E34" s="42">
        <f>'Tariff uptake model'!F2</f>
        <v>879168</v>
      </c>
      <c r="F34" s="42">
        <f>'Tariff uptake model'!G2</f>
        <v>885775</v>
      </c>
      <c r="G34" s="77">
        <f>'Tariff uptake model'!H2</f>
        <v>896275</v>
      </c>
    </row>
    <row r="35" spans="1:14">
      <c r="A35" s="37" t="s">
        <v>223</v>
      </c>
      <c r="B35" s="42">
        <f>'Tariff uptake model'!C13</f>
        <v>1000</v>
      </c>
      <c r="C35" s="42">
        <f>'Tariff uptake model'!D13</f>
        <v>1000</v>
      </c>
      <c r="D35" s="42">
        <f>'Tariff uptake model'!E13</f>
        <v>36057.089056367266</v>
      </c>
      <c r="E35" s="42">
        <f>'Tariff uptake model'!F13</f>
        <v>36407.934514578388</v>
      </c>
      <c r="F35" s="42">
        <f>'Tariff uptake model'!G13</f>
        <v>38395.675229341912</v>
      </c>
      <c r="G35" s="77">
        <f>'Tariff uptake model'!H13</f>
        <v>35504.300000000003</v>
      </c>
    </row>
    <row r="36" spans="1:14">
      <c r="A36" s="62" t="s">
        <v>91</v>
      </c>
      <c r="B36" s="63">
        <f>B35</f>
        <v>1000</v>
      </c>
      <c r="C36" s="63">
        <f>B36+C35</f>
        <v>2000</v>
      </c>
      <c r="D36" s="63">
        <f>C36+D35</f>
        <v>38057.089056367266</v>
      </c>
      <c r="E36" s="63">
        <f>D36+E35</f>
        <v>74465.023570945661</v>
      </c>
      <c r="F36" s="63">
        <f>E36+F35</f>
        <v>112860.69880028757</v>
      </c>
      <c r="G36" s="78">
        <f>F36+G35</f>
        <v>148364.99880028758</v>
      </c>
    </row>
    <row r="37" spans="1:14">
      <c r="A37" s="37"/>
      <c r="B37" s="42"/>
      <c r="C37" s="42"/>
      <c r="D37" s="42"/>
      <c r="E37" s="42"/>
      <c r="F37" s="42"/>
      <c r="G37" s="43"/>
    </row>
    <row r="38" spans="1:14">
      <c r="A38" s="49" t="s">
        <v>85</v>
      </c>
      <c r="B38" s="42"/>
      <c r="C38" s="42"/>
      <c r="D38" s="42"/>
      <c r="E38" s="42"/>
      <c r="F38" s="42"/>
      <c r="G38" s="43"/>
    </row>
    <row r="39" spans="1:14">
      <c r="A39" s="57" t="s">
        <v>222</v>
      </c>
      <c r="B39" s="42"/>
      <c r="C39" s="61"/>
      <c r="D39" s="61"/>
      <c r="E39" s="61"/>
      <c r="F39" s="61"/>
      <c r="G39" s="43"/>
    </row>
    <row r="40" spans="1:14">
      <c r="A40" s="57" t="s">
        <v>224</v>
      </c>
      <c r="B40" s="42"/>
      <c r="C40" s="42"/>
      <c r="D40" s="42"/>
      <c r="E40" s="42"/>
      <c r="F40" s="42"/>
      <c r="G40" s="43"/>
    </row>
    <row r="41" spans="1:14">
      <c r="A41" s="37"/>
      <c r="B41" s="42"/>
      <c r="C41" s="42"/>
      <c r="D41" s="42"/>
      <c r="E41" s="42"/>
      <c r="F41" s="42"/>
      <c r="G41" s="43"/>
    </row>
    <row r="42" spans="1:14">
      <c r="A42" s="37"/>
      <c r="B42" s="42"/>
      <c r="C42" s="42"/>
      <c r="D42" s="42"/>
      <c r="E42" s="42"/>
      <c r="F42" s="42"/>
      <c r="G42" s="43"/>
    </row>
    <row r="43" spans="1:14">
      <c r="A43" s="64" t="s">
        <v>125</v>
      </c>
      <c r="B43" s="1"/>
      <c r="D43" s="42"/>
      <c r="E43" s="42"/>
      <c r="F43" s="42"/>
      <c r="G43" s="42"/>
      <c r="H43" s="1"/>
      <c r="I43" s="1"/>
      <c r="J43" s="1"/>
      <c r="K43" s="1"/>
      <c r="L43" s="1"/>
      <c r="M43" s="1"/>
      <c r="N43" s="1"/>
    </row>
    <row r="44" spans="1:14" ht="26.25">
      <c r="A44" s="40"/>
      <c r="B44" s="36" t="s">
        <v>92</v>
      </c>
      <c r="C44" s="211" t="s">
        <v>93</v>
      </c>
      <c r="D44" s="211"/>
      <c r="E44" s="79"/>
      <c r="F44" s="42"/>
      <c r="G44" s="42"/>
      <c r="H44" s="1"/>
      <c r="I44" s="1"/>
      <c r="J44" s="1"/>
      <c r="K44" s="1"/>
      <c r="L44" s="1"/>
      <c r="M44" s="1"/>
      <c r="N44" s="1"/>
    </row>
    <row r="45" spans="1:14" ht="26.25">
      <c r="A45" s="40" t="s">
        <v>119</v>
      </c>
      <c r="B45" s="80" t="s">
        <v>94</v>
      </c>
      <c r="C45" s="36" t="s">
        <v>95</v>
      </c>
      <c r="D45" s="36" t="s">
        <v>96</v>
      </c>
      <c r="E45" s="36" t="s">
        <v>97</v>
      </c>
      <c r="F45" s="42"/>
      <c r="G45" s="42"/>
    </row>
    <row r="46" spans="1:14">
      <c r="A46" s="37" t="s">
        <v>68</v>
      </c>
      <c r="B46" s="66">
        <v>0.35</v>
      </c>
      <c r="C46" s="42">
        <v>6</v>
      </c>
      <c r="D46" s="67">
        <f t="shared" ref="D46:D51" si="2">ROUND(B46*C46/$B$52,3)</f>
        <v>1.409</v>
      </c>
      <c r="E46" s="42" t="s">
        <v>98</v>
      </c>
      <c r="F46" s="42"/>
      <c r="G46" s="43"/>
    </row>
    <row r="47" spans="1:14">
      <c r="A47" s="37" t="s">
        <v>69</v>
      </c>
      <c r="B47" s="66">
        <v>0.02</v>
      </c>
      <c r="C47" s="42">
        <v>60</v>
      </c>
      <c r="D47" s="67">
        <f t="shared" si="2"/>
        <v>0.80500000000000005</v>
      </c>
      <c r="E47" s="42" t="s">
        <v>98</v>
      </c>
      <c r="F47" s="42"/>
      <c r="G47" s="43"/>
    </row>
    <row r="48" spans="1:14">
      <c r="A48" s="37" t="s">
        <v>99</v>
      </c>
      <c r="B48" s="66">
        <v>0.35</v>
      </c>
      <c r="C48" s="42">
        <v>5.5</v>
      </c>
      <c r="D48" s="67">
        <f t="shared" si="2"/>
        <v>1.292</v>
      </c>
      <c r="E48" s="42" t="s">
        <v>98</v>
      </c>
      <c r="F48" s="42"/>
      <c r="G48" s="43"/>
    </row>
    <row r="49" spans="1:14">
      <c r="A49" s="37" t="s">
        <v>70</v>
      </c>
      <c r="B49" s="66">
        <v>0.35</v>
      </c>
      <c r="C49" s="42">
        <v>6</v>
      </c>
      <c r="D49" s="67">
        <f t="shared" si="2"/>
        <v>1.409</v>
      </c>
      <c r="E49" s="42" t="s">
        <v>98</v>
      </c>
      <c r="F49" s="42"/>
      <c r="G49" s="43"/>
    </row>
    <row r="50" spans="1:14">
      <c r="A50" s="37" t="s">
        <v>71</v>
      </c>
      <c r="B50" s="66">
        <v>0.4</v>
      </c>
      <c r="C50" s="42">
        <v>6</v>
      </c>
      <c r="D50" s="67">
        <f t="shared" si="2"/>
        <v>1.611</v>
      </c>
      <c r="E50" s="42" t="s">
        <v>98</v>
      </c>
      <c r="F50" s="42"/>
      <c r="G50" s="43"/>
    </row>
    <row r="51" spans="1:14">
      <c r="A51" s="37" t="s">
        <v>72</v>
      </c>
      <c r="B51" s="66">
        <v>0.02</v>
      </c>
      <c r="C51" s="42">
        <v>20</v>
      </c>
      <c r="D51" s="67">
        <f t="shared" si="2"/>
        <v>0.26800000000000002</v>
      </c>
      <c r="E51" s="42" t="s">
        <v>98</v>
      </c>
      <c r="F51" s="42"/>
      <c r="G51" s="43"/>
    </row>
    <row r="52" spans="1:14">
      <c r="A52" s="6" t="s">
        <v>55</v>
      </c>
      <c r="B52" s="73">
        <f>SUM(B46:B51)</f>
        <v>1.4899999999999998</v>
      </c>
      <c r="C52" s="43"/>
      <c r="D52" s="68">
        <f>SUM(D46:D51)</f>
        <v>6.7939999999999996</v>
      </c>
      <c r="E52" s="43"/>
      <c r="F52" s="42"/>
      <c r="G52" s="43"/>
    </row>
    <row r="53" spans="1:14">
      <c r="A53" s="37"/>
      <c r="B53" s="42"/>
      <c r="C53" s="42"/>
      <c r="D53" s="42"/>
      <c r="E53" s="42"/>
      <c r="F53" s="42"/>
      <c r="G53" s="43"/>
    </row>
    <row r="54" spans="1:14">
      <c r="A54" s="49" t="s">
        <v>85</v>
      </c>
      <c r="B54" s="42"/>
      <c r="C54" s="42"/>
      <c r="D54" s="42"/>
      <c r="E54" s="42"/>
      <c r="F54" s="42"/>
      <c r="G54" s="43"/>
    </row>
    <row r="55" spans="1:14" ht="29.25" customHeight="1">
      <c r="A55" s="210" t="s">
        <v>126</v>
      </c>
      <c r="B55" s="210"/>
      <c r="C55" s="210"/>
      <c r="D55" s="210"/>
      <c r="E55" s="210"/>
      <c r="F55" s="210"/>
      <c r="G55" s="210"/>
    </row>
    <row r="56" spans="1:14">
      <c r="A56" s="37"/>
      <c r="B56" s="42"/>
      <c r="C56" s="42"/>
      <c r="D56" s="42"/>
      <c r="E56" s="42"/>
      <c r="F56" s="42"/>
      <c r="G56" s="43"/>
    </row>
    <row r="57" spans="1:14">
      <c r="A57" s="6" t="s">
        <v>127</v>
      </c>
      <c r="B57" s="42"/>
      <c r="C57" s="42"/>
      <c r="D57" s="42"/>
      <c r="E57" s="42"/>
      <c r="F57" s="42"/>
      <c r="G57" s="42"/>
      <c r="H57" s="1"/>
      <c r="I57" s="1"/>
      <c r="J57" s="1"/>
      <c r="K57" s="1"/>
      <c r="L57" s="1"/>
      <c r="M57" s="1"/>
      <c r="N57" s="1"/>
    </row>
    <row r="58" spans="1:14">
      <c r="A58" s="40" t="s">
        <v>119</v>
      </c>
      <c r="B58" s="41" t="s">
        <v>61</v>
      </c>
      <c r="C58" s="41" t="s">
        <v>62</v>
      </c>
      <c r="D58" s="41" t="s">
        <v>63</v>
      </c>
      <c r="E58" s="41" t="s">
        <v>64</v>
      </c>
      <c r="F58" s="41" t="s">
        <v>65</v>
      </c>
      <c r="G58" s="76" t="s">
        <v>66</v>
      </c>
    </row>
    <row r="59" spans="1:14">
      <c r="A59" s="37" t="s">
        <v>128</v>
      </c>
      <c r="B59" s="42">
        <f t="shared" ref="B59:G59" si="3">B35</f>
        <v>1000</v>
      </c>
      <c r="C59" s="42">
        <f t="shared" si="3"/>
        <v>1000</v>
      </c>
      <c r="D59" s="42">
        <f t="shared" si="3"/>
        <v>36057.089056367266</v>
      </c>
      <c r="E59" s="42">
        <f t="shared" si="3"/>
        <v>36407.934514578388</v>
      </c>
      <c r="F59" s="42">
        <f t="shared" si="3"/>
        <v>38395.675229341912</v>
      </c>
      <c r="G59" s="77">
        <f t="shared" si="3"/>
        <v>35504.300000000003</v>
      </c>
    </row>
    <row r="60" spans="1:14">
      <c r="A60" s="37" t="s">
        <v>100</v>
      </c>
      <c r="B60" s="42">
        <v>0</v>
      </c>
      <c r="C60" s="42">
        <f>ROUND((D59*$B$52*0.05),0)+ROUND((C59*$B$52*0.8),0)</f>
        <v>3878</v>
      </c>
      <c r="D60" s="42">
        <f>ROUND((E59*$B$52*0.05),0)+ROUND((D59*$B$52*0.8),0)</f>
        <v>45692</v>
      </c>
      <c r="E60" s="42">
        <f>ROUND((F59*$B$52*0.05),0)+ROUND((E59*$B$52*0.8),0)+ROUND((D59*$B$52*0.1),0)</f>
        <v>51631</v>
      </c>
      <c r="F60" s="42">
        <f>ROUND((G59*$B$52*0.05),0)+ROUND((F59*$B$52*0.8),0)+ROUND((E59*$B$52*0.1),0)+ROUND((D59*$B$52*0.05),0)</f>
        <v>56524</v>
      </c>
      <c r="G60" s="77"/>
    </row>
    <row r="61" spans="1:14">
      <c r="A61" s="37" t="s">
        <v>101</v>
      </c>
      <c r="B61" s="42">
        <f>ROUND(B60*$D$52,0)</f>
        <v>0</v>
      </c>
      <c r="C61" s="42">
        <f>ROUND(C60*$D$52,0)</f>
        <v>26347</v>
      </c>
      <c r="D61" s="42">
        <f>ROUND(D60*$D$52,0)</f>
        <v>310431</v>
      </c>
      <c r="E61" s="42">
        <f>ROUND(E60*$D$52,0)</f>
        <v>350781</v>
      </c>
      <c r="F61" s="42">
        <f>ROUND(F60*$D$52,0)</f>
        <v>384024</v>
      </c>
      <c r="G61" s="77"/>
    </row>
    <row r="62" spans="1:14">
      <c r="A62" s="62" t="s">
        <v>129</v>
      </c>
      <c r="B62" s="63">
        <f>ROUND(B61/60,0)</f>
        <v>0</v>
      </c>
      <c r="C62" s="63">
        <f>ROUND(C61/60,0)</f>
        <v>439</v>
      </c>
      <c r="D62" s="63">
        <f>ROUND(D61/60,0)</f>
        <v>5174</v>
      </c>
      <c r="E62" s="63">
        <f>ROUND(E61/60,0)</f>
        <v>5846</v>
      </c>
      <c r="F62" s="63">
        <f>ROUND(F61/60,0)</f>
        <v>6400</v>
      </c>
      <c r="G62" s="77"/>
    </row>
    <row r="63" spans="1:14">
      <c r="A63" s="37"/>
      <c r="B63" s="42"/>
      <c r="C63" s="42"/>
      <c r="D63" s="42"/>
      <c r="E63" s="42"/>
      <c r="F63" s="42"/>
      <c r="G63" s="43"/>
    </row>
    <row r="64" spans="1:14">
      <c r="A64" s="49" t="s">
        <v>85</v>
      </c>
      <c r="B64" s="50"/>
      <c r="C64" s="50"/>
      <c r="D64" s="50"/>
      <c r="E64" s="50"/>
      <c r="F64" s="50"/>
      <c r="G64" s="50"/>
      <c r="H64" s="8"/>
    </row>
    <row r="65" spans="1:14">
      <c r="A65" s="57" t="s">
        <v>130</v>
      </c>
      <c r="B65" s="50"/>
      <c r="C65" s="50"/>
      <c r="D65" s="50"/>
      <c r="E65" s="50"/>
      <c r="F65" s="50"/>
      <c r="G65" s="50"/>
      <c r="H65" s="8"/>
    </row>
    <row r="66" spans="1:14" ht="42.75" customHeight="1">
      <c r="A66" s="210" t="s">
        <v>131</v>
      </c>
      <c r="B66" s="210"/>
      <c r="C66" s="210"/>
      <c r="D66" s="210"/>
      <c r="E66" s="210"/>
      <c r="F66" s="210"/>
      <c r="G66" s="210"/>
      <c r="H66" s="8"/>
    </row>
    <row r="67" spans="1:14">
      <c r="A67" s="57" t="s">
        <v>132</v>
      </c>
      <c r="B67" s="50"/>
      <c r="C67" s="50"/>
      <c r="D67" s="50"/>
      <c r="E67" s="50"/>
      <c r="F67" s="50"/>
      <c r="G67" s="50"/>
      <c r="H67" s="8"/>
    </row>
    <row r="68" spans="1:14">
      <c r="A68" s="53"/>
      <c r="B68" s="50"/>
      <c r="C68" s="50"/>
      <c r="D68" s="50"/>
      <c r="E68" s="50"/>
      <c r="F68" s="50"/>
      <c r="G68" s="50"/>
      <c r="H68" s="8"/>
    </row>
    <row r="69" spans="1:14">
      <c r="A69" s="37"/>
      <c r="B69" s="42"/>
      <c r="C69" s="42"/>
      <c r="D69" s="42"/>
      <c r="E69" s="42"/>
      <c r="F69" s="42"/>
      <c r="G69" s="43"/>
    </row>
    <row r="70" spans="1:14">
      <c r="A70" s="6" t="s">
        <v>133</v>
      </c>
      <c r="B70" s="1"/>
      <c r="C70" s="11"/>
      <c r="D70" s="42"/>
      <c r="E70" s="42"/>
      <c r="F70" s="42"/>
      <c r="G70" s="42"/>
      <c r="H70" s="1"/>
      <c r="I70" s="1"/>
      <c r="J70" s="1"/>
      <c r="K70" s="1"/>
      <c r="L70" s="1"/>
      <c r="M70" s="1"/>
      <c r="N70" s="1"/>
    </row>
    <row r="71" spans="1:14">
      <c r="A71" s="59"/>
      <c r="B71" s="41" t="s">
        <v>61</v>
      </c>
      <c r="C71" s="41" t="s">
        <v>62</v>
      </c>
      <c r="D71" s="41" t="s">
        <v>63</v>
      </c>
      <c r="E71" s="41" t="s">
        <v>64</v>
      </c>
      <c r="F71" s="41" t="s">
        <v>65</v>
      </c>
      <c r="G71" s="42"/>
    </row>
    <row r="72" spans="1:14">
      <c r="A72" s="37" t="s">
        <v>102</v>
      </c>
      <c r="B72" s="42">
        <f>B34-B36</f>
        <v>858678</v>
      </c>
      <c r="C72" s="42">
        <f>C34-C36</f>
        <v>864120</v>
      </c>
      <c r="D72" s="42">
        <f t="shared" ref="D72:F72" si="4">D34-D36</f>
        <v>834558.91094363271</v>
      </c>
      <c r="E72" s="42">
        <f t="shared" si="4"/>
        <v>804702.97642905428</v>
      </c>
      <c r="F72" s="42">
        <f t="shared" si="4"/>
        <v>772914.30119971244</v>
      </c>
      <c r="G72" s="42"/>
    </row>
    <row r="73" spans="1:14">
      <c r="A73" s="37" t="s">
        <v>103</v>
      </c>
      <c r="B73" s="42">
        <v>0</v>
      </c>
      <c r="C73" s="42">
        <f>ROUND(C72*0.0125,0)</f>
        <v>10802</v>
      </c>
      <c r="D73" s="42">
        <f>ROUND(D72*0.0125,0)</f>
        <v>10432</v>
      </c>
      <c r="E73" s="42">
        <f>ROUND(E72*0.0125,0)</f>
        <v>10059</v>
      </c>
      <c r="F73" s="42">
        <f>ROUND(F72*0.0125,0)</f>
        <v>9661</v>
      </c>
      <c r="G73" s="42"/>
    </row>
    <row r="74" spans="1:14">
      <c r="A74" s="37" t="s">
        <v>104</v>
      </c>
      <c r="B74" s="42">
        <f>ROUND(B73*$D$52,0)</f>
        <v>0</v>
      </c>
      <c r="C74" s="42">
        <f>ROUND(C73*5,0)</f>
        <v>54010</v>
      </c>
      <c r="D74" s="42">
        <f>ROUND(D73*5,0)</f>
        <v>52160</v>
      </c>
      <c r="E74" s="42">
        <f>ROUND(E73*5,0)</f>
        <v>50295</v>
      </c>
      <c r="F74" s="42">
        <f>ROUND(F73*5,0)</f>
        <v>48305</v>
      </c>
      <c r="G74" s="42"/>
    </row>
    <row r="75" spans="1:14">
      <c r="A75" s="62" t="s">
        <v>105</v>
      </c>
      <c r="B75" s="63">
        <f>ROUND(B74/60,0)</f>
        <v>0</v>
      </c>
      <c r="C75" s="63">
        <f>ROUND(C74/60,0)</f>
        <v>900</v>
      </c>
      <c r="D75" s="63">
        <f>ROUND(D74/60,0)</f>
        <v>869</v>
      </c>
      <c r="E75" s="63">
        <f>ROUND(E74/60,0)</f>
        <v>838</v>
      </c>
      <c r="F75" s="63">
        <f>ROUND(F74/60,0)</f>
        <v>805</v>
      </c>
      <c r="G75" s="42"/>
    </row>
    <row r="76" spans="1:14">
      <c r="A76" s="37"/>
      <c r="B76" s="42"/>
      <c r="C76" s="42"/>
      <c r="D76" s="42"/>
      <c r="E76" s="42"/>
      <c r="F76" s="42"/>
      <c r="G76" s="43"/>
    </row>
    <row r="77" spans="1:14">
      <c r="A77" s="49" t="s">
        <v>85</v>
      </c>
      <c r="B77" s="50"/>
      <c r="C77" s="50"/>
      <c r="D77" s="50"/>
      <c r="E77" s="50"/>
      <c r="F77" s="50"/>
      <c r="G77" s="50"/>
      <c r="H77" s="8"/>
    </row>
    <row r="78" spans="1:14" ht="30" customHeight="1">
      <c r="A78" s="210" t="s">
        <v>225</v>
      </c>
      <c r="B78" s="210"/>
      <c r="C78" s="210"/>
      <c r="D78" s="210"/>
      <c r="E78" s="210"/>
      <c r="F78" s="210"/>
      <c r="G78" s="210"/>
      <c r="H78" s="8"/>
    </row>
    <row r="79" spans="1:14">
      <c r="A79" s="57" t="s">
        <v>134</v>
      </c>
      <c r="B79" s="50"/>
      <c r="C79" s="50"/>
      <c r="D79" s="50"/>
      <c r="E79" s="50"/>
      <c r="F79" s="50"/>
      <c r="G79" s="50"/>
      <c r="H79" s="8"/>
    </row>
    <row r="80" spans="1:14">
      <c r="A80" s="53"/>
      <c r="B80" s="50"/>
      <c r="C80" s="50"/>
      <c r="D80" s="50"/>
      <c r="E80" s="50"/>
      <c r="F80" s="50"/>
      <c r="G80" s="50"/>
      <c r="H80" s="8"/>
    </row>
    <row r="81" spans="1:14">
      <c r="A81" s="49"/>
      <c r="B81" s="51"/>
      <c r="C81" s="51"/>
      <c r="D81" s="51"/>
      <c r="E81" s="51"/>
      <c r="F81" s="51"/>
      <c r="G81" s="52"/>
      <c r="H81" s="8"/>
    </row>
    <row r="82" spans="1:14">
      <c r="A82" s="6" t="s">
        <v>135</v>
      </c>
      <c r="B82" s="1"/>
      <c r="C82" s="11"/>
      <c r="D82" s="42"/>
      <c r="E82" s="42"/>
      <c r="F82" s="42"/>
      <c r="G82" s="42"/>
      <c r="H82" s="1"/>
      <c r="I82" s="1"/>
      <c r="J82" s="1"/>
      <c r="K82" s="1"/>
      <c r="L82" s="1"/>
      <c r="M82" s="1"/>
      <c r="N82" s="1"/>
    </row>
    <row r="83" spans="1:14" ht="26.25">
      <c r="A83" s="40" t="s">
        <v>75</v>
      </c>
      <c r="B83" s="41" t="s">
        <v>61</v>
      </c>
      <c r="C83" s="41" t="s">
        <v>62</v>
      </c>
      <c r="D83" s="41" t="s">
        <v>63</v>
      </c>
      <c r="E83" s="41" t="s">
        <v>64</v>
      </c>
      <c r="F83" s="41" t="s">
        <v>65</v>
      </c>
      <c r="G83" s="36" t="s">
        <v>83</v>
      </c>
    </row>
    <row r="84" spans="1:14">
      <c r="A84" s="37" t="s">
        <v>117</v>
      </c>
      <c r="B84" s="42">
        <v>0</v>
      </c>
      <c r="C84" s="42">
        <v>58</v>
      </c>
      <c r="D84" s="42">
        <v>58</v>
      </c>
      <c r="E84" s="42">
        <v>58</v>
      </c>
      <c r="F84" s="42">
        <v>58</v>
      </c>
      <c r="G84" s="43">
        <f>SUM(B84:F84)</f>
        <v>232</v>
      </c>
    </row>
    <row r="85" spans="1:14">
      <c r="A85" s="62" t="s">
        <v>106</v>
      </c>
      <c r="B85" s="63">
        <f t="shared" ref="B85:G85" si="5">SUM(B84:B84)</f>
        <v>0</v>
      </c>
      <c r="C85" s="63">
        <f t="shared" si="5"/>
        <v>58</v>
      </c>
      <c r="D85" s="63">
        <f t="shared" si="5"/>
        <v>58</v>
      </c>
      <c r="E85" s="63">
        <f t="shared" si="5"/>
        <v>58</v>
      </c>
      <c r="F85" s="63">
        <f t="shared" si="5"/>
        <v>58</v>
      </c>
      <c r="G85" s="63">
        <f t="shared" si="5"/>
        <v>232</v>
      </c>
    </row>
    <row r="86" spans="1:14">
      <c r="A86" s="37"/>
      <c r="B86" s="42"/>
      <c r="C86" s="42"/>
      <c r="D86" s="42"/>
      <c r="E86" s="42"/>
      <c r="F86" s="42"/>
      <c r="G86" s="43"/>
    </row>
    <row r="87" spans="1:14">
      <c r="A87" s="49" t="s">
        <v>85</v>
      </c>
      <c r="B87" s="50"/>
      <c r="C87" s="50"/>
      <c r="D87" s="50"/>
      <c r="E87" s="50"/>
      <c r="F87" s="50"/>
      <c r="G87" s="50"/>
      <c r="H87" s="8"/>
    </row>
    <row r="88" spans="1:14" ht="29.25" customHeight="1">
      <c r="A88" s="214" t="s">
        <v>136</v>
      </c>
      <c r="B88" s="214"/>
      <c r="C88" s="214"/>
      <c r="D88" s="214"/>
      <c r="E88" s="214"/>
      <c r="F88" s="214"/>
      <c r="G88" s="214"/>
      <c r="I88" s="34"/>
    </row>
    <row r="91" spans="1:14">
      <c r="A91" s="6" t="s">
        <v>137</v>
      </c>
      <c r="B91" s="1"/>
      <c r="C91" s="11"/>
      <c r="D91" s="42"/>
      <c r="E91" s="42"/>
      <c r="F91" s="42"/>
      <c r="G91" s="42"/>
    </row>
    <row r="92" spans="1:14" ht="26.25">
      <c r="A92" s="40" t="s">
        <v>118</v>
      </c>
      <c r="B92" s="41" t="s">
        <v>61</v>
      </c>
      <c r="C92" s="41" t="s">
        <v>62</v>
      </c>
      <c r="D92" s="41" t="s">
        <v>63</v>
      </c>
      <c r="E92" s="41" t="s">
        <v>64</v>
      </c>
      <c r="F92" s="41" t="s">
        <v>65</v>
      </c>
      <c r="G92" s="36" t="s">
        <v>83</v>
      </c>
    </row>
    <row r="93" spans="1:14">
      <c r="A93" s="60" t="s">
        <v>108</v>
      </c>
      <c r="B93" s="42">
        <v>0</v>
      </c>
      <c r="C93" s="42">
        <v>4</v>
      </c>
      <c r="D93" s="42">
        <v>4</v>
      </c>
      <c r="E93" s="42">
        <v>4</v>
      </c>
      <c r="F93" s="42">
        <v>4</v>
      </c>
      <c r="G93" s="43">
        <v>4</v>
      </c>
    </row>
    <row r="94" spans="1:14">
      <c r="A94" s="62" t="s">
        <v>106</v>
      </c>
      <c r="B94" s="63">
        <f t="shared" ref="B94:G94" si="6">SUM(B93:B93)</f>
        <v>0</v>
      </c>
      <c r="C94" s="63">
        <f t="shared" si="6"/>
        <v>4</v>
      </c>
      <c r="D94" s="63">
        <f t="shared" si="6"/>
        <v>4</v>
      </c>
      <c r="E94" s="63">
        <f t="shared" si="6"/>
        <v>4</v>
      </c>
      <c r="F94" s="63">
        <f t="shared" si="6"/>
        <v>4</v>
      </c>
      <c r="G94" s="63">
        <f t="shared" si="6"/>
        <v>4</v>
      </c>
    </row>
    <row r="95" spans="1:14">
      <c r="A95" s="60"/>
      <c r="B95" s="42"/>
      <c r="C95" s="42"/>
      <c r="D95" s="42"/>
      <c r="E95" s="42"/>
      <c r="F95" s="42"/>
      <c r="G95" s="43"/>
    </row>
    <row r="96" spans="1:14">
      <c r="A96" s="72" t="s">
        <v>85</v>
      </c>
      <c r="B96" s="50"/>
      <c r="C96" s="50"/>
      <c r="D96" s="50"/>
      <c r="E96" s="50"/>
      <c r="F96" s="50"/>
      <c r="G96" s="50"/>
    </row>
    <row r="97" spans="1:8" ht="54.75" customHeight="1">
      <c r="A97" s="214" t="s">
        <v>138</v>
      </c>
      <c r="B97" s="214"/>
      <c r="C97" s="214"/>
      <c r="D97" s="214"/>
      <c r="E97" s="214"/>
      <c r="F97" s="214"/>
      <c r="G97" s="214"/>
    </row>
    <row r="98" spans="1:8">
      <c r="A98" s="69"/>
      <c r="B98" s="71"/>
      <c r="C98" s="70"/>
      <c r="D98" s="70"/>
      <c r="E98" s="70"/>
      <c r="F98" s="70"/>
      <c r="G98" s="70"/>
    </row>
    <row r="99" spans="1:8">
      <c r="A99" s="6" t="s">
        <v>211</v>
      </c>
      <c r="B99" s="71"/>
      <c r="C99" s="70"/>
      <c r="D99" s="70"/>
      <c r="E99" s="70"/>
      <c r="F99" s="70"/>
      <c r="G99" s="70"/>
    </row>
    <row r="100" spans="1:8" ht="38.25">
      <c r="A100" s="166" t="s">
        <v>174</v>
      </c>
      <c r="B100" s="204" t="s">
        <v>160</v>
      </c>
      <c r="C100" s="205" t="s">
        <v>161</v>
      </c>
      <c r="D100" s="205" t="s">
        <v>162</v>
      </c>
      <c r="E100" s="205" t="s">
        <v>163</v>
      </c>
      <c r="F100" s="205" t="s">
        <v>164</v>
      </c>
      <c r="G100" s="205" t="s">
        <v>165</v>
      </c>
    </row>
    <row r="101" spans="1:8">
      <c r="A101" s="144" t="s">
        <v>171</v>
      </c>
      <c r="B101" s="206">
        <f>SUM(C101:G101)</f>
        <v>161</v>
      </c>
      <c r="C101" s="207">
        <v>0</v>
      </c>
      <c r="D101" s="207">
        <v>127</v>
      </c>
      <c r="E101" s="207">
        <v>0</v>
      </c>
      <c r="F101" s="207">
        <v>34</v>
      </c>
      <c r="G101" s="207">
        <v>0</v>
      </c>
      <c r="H101" t="s">
        <v>175</v>
      </c>
    </row>
    <row r="102" spans="1:8">
      <c r="A102" s="144" t="s">
        <v>172</v>
      </c>
      <c r="B102" s="206">
        <f>SUM(C102:G102)</f>
        <v>717</v>
      </c>
      <c r="C102" s="207">
        <v>0</v>
      </c>
      <c r="D102" s="207">
        <v>232.66666666666666</v>
      </c>
      <c r="E102" s="207">
        <v>156.66666666666666</v>
      </c>
      <c r="F102" s="207">
        <v>161.33333333333334</v>
      </c>
      <c r="G102" s="207">
        <v>166.33333333333334</v>
      </c>
      <c r="H102" t="s">
        <v>145</v>
      </c>
    </row>
    <row r="103" spans="1:8">
      <c r="A103" s="144" t="s">
        <v>173</v>
      </c>
      <c r="B103" s="206">
        <f>SUM(C103:G103)</f>
        <v>677.16419280172545</v>
      </c>
      <c r="C103" s="207">
        <f>0.006*'Tariff uptake model'!C13</f>
        <v>6</v>
      </c>
      <c r="D103" s="207">
        <f>0.006*'Tariff uptake model'!D13</f>
        <v>6</v>
      </c>
      <c r="E103" s="207">
        <f>0.006*'Tariff uptake model'!E13</f>
        <v>216.34253433820359</v>
      </c>
      <c r="F103" s="207">
        <f>0.006*'Tariff uptake model'!F13</f>
        <v>218.44760708747035</v>
      </c>
      <c r="G103" s="207">
        <f>0.006*'Tariff uptake model'!G13</f>
        <v>230.37405137605148</v>
      </c>
      <c r="H103" t="s">
        <v>178</v>
      </c>
    </row>
    <row r="104" spans="1:8">
      <c r="A104" s="145" t="s">
        <v>74</v>
      </c>
      <c r="B104" s="206">
        <f>SUM(C104:G104)</f>
        <v>1555.1641928017254</v>
      </c>
      <c r="C104" s="206">
        <f>SUM(C101:C103)</f>
        <v>6</v>
      </c>
      <c r="D104" s="206">
        <f>SUM(D101:D103)</f>
        <v>365.66666666666663</v>
      </c>
      <c r="E104" s="206">
        <f>SUM(E101:E103)</f>
        <v>373.00920100487025</v>
      </c>
      <c r="F104" s="206">
        <f>SUM(F101:F103)</f>
        <v>413.78094042080369</v>
      </c>
      <c r="G104" s="206">
        <f>SUM(G101:G103)</f>
        <v>396.70738470938483</v>
      </c>
    </row>
    <row r="105" spans="1:8">
      <c r="A105" s="1"/>
      <c r="B105" s="14"/>
      <c r="C105" s="15"/>
      <c r="D105" s="11"/>
      <c r="E105" s="13"/>
      <c r="F105" s="1"/>
      <c r="G105" s="1"/>
    </row>
    <row r="106" spans="1:8">
      <c r="A106" s="81" t="s">
        <v>210</v>
      </c>
      <c r="B106" s="140"/>
      <c r="C106" s="141"/>
      <c r="D106" s="142"/>
      <c r="E106" s="143"/>
      <c r="F106" s="37"/>
      <c r="G106" s="37"/>
    </row>
    <row r="107" spans="1:8" ht="57.75" customHeight="1">
      <c r="A107" s="212" t="s">
        <v>227</v>
      </c>
      <c r="B107" s="212"/>
      <c r="C107" s="212"/>
      <c r="D107" s="212"/>
      <c r="E107" s="212"/>
      <c r="F107" s="212"/>
      <c r="G107" s="212"/>
    </row>
    <row r="108" spans="1:8" ht="40.5" customHeight="1">
      <c r="A108" s="213" t="s">
        <v>228</v>
      </c>
      <c r="B108" s="213"/>
      <c r="C108" s="213"/>
      <c r="D108" s="213"/>
      <c r="E108" s="213"/>
      <c r="F108" s="213"/>
      <c r="G108" s="213"/>
    </row>
    <row r="109" spans="1:8" ht="56.25" customHeight="1">
      <c r="A109" s="213" t="s">
        <v>226</v>
      </c>
      <c r="B109" s="213"/>
      <c r="C109" s="213"/>
      <c r="D109" s="213"/>
      <c r="E109" s="213"/>
      <c r="F109" s="213"/>
      <c r="G109" s="213"/>
    </row>
  </sheetData>
  <sheetProtection sheet="1" objects="1" scenarios="1" formatColumns="0" formatRows="0"/>
  <mergeCells count="10">
    <mergeCell ref="A27:G27"/>
    <mergeCell ref="C44:D44"/>
    <mergeCell ref="A107:G107"/>
    <mergeCell ref="A108:G108"/>
    <mergeCell ref="A109:G109"/>
    <mergeCell ref="A97:G97"/>
    <mergeCell ref="A88:G88"/>
    <mergeCell ref="A78:G78"/>
    <mergeCell ref="A66:G66"/>
    <mergeCell ref="A55:G55"/>
  </mergeCells>
  <phoneticPr fontId="8" type="noConversion"/>
  <pageMargins left="0.51181102362204722" right="0.51181102362204722" top="0.74803149606299213" bottom="0.74803149606299213" header="0.31496062992125984" footer="0.31496062992125984"/>
  <pageSetup paperSize="8" orientation="portrait" r:id="rId1"/>
</worksheet>
</file>

<file path=xl/worksheets/sheet3.xml><?xml version="1.0" encoding="utf-8"?>
<worksheet xmlns="http://schemas.openxmlformats.org/spreadsheetml/2006/main" xmlns:r="http://schemas.openxmlformats.org/officeDocument/2006/relationships">
  <sheetPr>
    <tabColor rgb="FFFFFF00"/>
  </sheetPr>
  <dimension ref="A1:H42"/>
  <sheetViews>
    <sheetView workbookViewId="0">
      <selection activeCell="B20" sqref="B20:G20"/>
    </sheetView>
  </sheetViews>
  <sheetFormatPr defaultRowHeight="15"/>
  <cols>
    <col min="1" max="1" width="60.140625" customWidth="1"/>
    <col min="4" max="4" width="10" customWidth="1"/>
    <col min="6" max="6" width="12.85546875" bestFit="1" customWidth="1"/>
    <col min="7" max="7" width="12" bestFit="1" customWidth="1"/>
    <col min="8" max="8" width="33.28515625" bestFit="1" customWidth="1"/>
  </cols>
  <sheetData>
    <row r="1" spans="1:7">
      <c r="A1" s="6" t="s">
        <v>240</v>
      </c>
    </row>
    <row r="2" spans="1:7">
      <c r="A2" s="35" t="s">
        <v>234</v>
      </c>
      <c r="B2" s="3" t="s">
        <v>6</v>
      </c>
      <c r="C2" s="180">
        <v>2015</v>
      </c>
      <c r="D2" s="180">
        <v>2016</v>
      </c>
      <c r="E2" s="180">
        <v>2017</v>
      </c>
      <c r="F2" s="180">
        <v>2018</v>
      </c>
      <c r="G2" s="180">
        <v>2019</v>
      </c>
    </row>
    <row r="3" spans="1:7">
      <c r="A3" s="60" t="s">
        <v>229</v>
      </c>
      <c r="B3" s="167"/>
      <c r="C3" s="191">
        <v>315.24038461538464</v>
      </c>
      <c r="D3" s="191">
        <v>33</v>
      </c>
      <c r="E3" s="191">
        <v>0</v>
      </c>
      <c r="F3" s="191">
        <v>0</v>
      </c>
      <c r="G3" s="191">
        <v>0</v>
      </c>
    </row>
    <row r="4" spans="1:7">
      <c r="A4" s="60" t="s">
        <v>231</v>
      </c>
      <c r="B4" s="167"/>
      <c r="C4" s="191">
        <v>417.09615384615387</v>
      </c>
      <c r="D4" s="191">
        <v>102.09615384615385</v>
      </c>
      <c r="E4" s="191">
        <v>0</v>
      </c>
      <c r="F4" s="191">
        <v>0</v>
      </c>
      <c r="G4" s="191">
        <v>0</v>
      </c>
    </row>
    <row r="5" spans="1:7">
      <c r="A5" s="60" t="s">
        <v>230</v>
      </c>
      <c r="B5" s="167"/>
      <c r="C5" s="191">
        <v>115.31442307692308</v>
      </c>
      <c r="D5" s="191">
        <v>25.524038461538463</v>
      </c>
      <c r="E5" s="191">
        <v>0</v>
      </c>
      <c r="F5" s="191">
        <v>0</v>
      </c>
      <c r="G5" s="191">
        <v>0</v>
      </c>
    </row>
    <row r="6" spans="1:7">
      <c r="A6" s="60" t="s">
        <v>232</v>
      </c>
      <c r="B6" s="167"/>
      <c r="C6" s="191">
        <v>0</v>
      </c>
      <c r="D6" s="191">
        <v>138.81009615384616</v>
      </c>
      <c r="E6" s="191">
        <v>0</v>
      </c>
      <c r="F6" s="191">
        <v>0</v>
      </c>
      <c r="G6" s="191">
        <v>0</v>
      </c>
    </row>
    <row r="7" spans="1:7">
      <c r="A7" s="60" t="s">
        <v>233</v>
      </c>
      <c r="B7" s="167"/>
      <c r="C7" s="191">
        <v>0</v>
      </c>
      <c r="D7" s="191">
        <v>102.09615384615384</v>
      </c>
      <c r="E7" s="191">
        <v>0</v>
      </c>
      <c r="F7" s="191">
        <v>0</v>
      </c>
      <c r="G7" s="191">
        <v>0</v>
      </c>
    </row>
    <row r="8" spans="1:7">
      <c r="A8" s="45" t="s">
        <v>235</v>
      </c>
      <c r="B8" s="192">
        <f>SUM(C8:G8)</f>
        <v>1249.177403846154</v>
      </c>
      <c r="C8" s="193">
        <f>SUM(C3:C7)</f>
        <v>847.65096153846162</v>
      </c>
      <c r="D8" s="193">
        <f t="shared" ref="D8:G8" si="0">SUM(D3:D7)</f>
        <v>401.52644230769226</v>
      </c>
      <c r="E8" s="193">
        <f t="shared" si="0"/>
        <v>0</v>
      </c>
      <c r="F8" s="193">
        <f t="shared" si="0"/>
        <v>0</v>
      </c>
      <c r="G8" s="193">
        <f t="shared" si="0"/>
        <v>0</v>
      </c>
    </row>
    <row r="9" spans="1:7">
      <c r="B9" s="65"/>
      <c r="C9" s="65"/>
      <c r="D9" s="65"/>
      <c r="E9" s="65"/>
      <c r="F9" s="65"/>
      <c r="G9" s="65"/>
    </row>
    <row r="10" spans="1:7">
      <c r="A10" s="6" t="s">
        <v>241</v>
      </c>
      <c r="B10" s="65"/>
      <c r="C10" s="65"/>
      <c r="D10" s="65"/>
      <c r="E10" s="65"/>
      <c r="F10" s="65"/>
      <c r="G10" s="65"/>
    </row>
    <row r="11" spans="1:7">
      <c r="A11" s="35" t="s">
        <v>236</v>
      </c>
      <c r="B11" s="3" t="s">
        <v>6</v>
      </c>
      <c r="C11" s="180">
        <v>2015</v>
      </c>
      <c r="D11" s="180">
        <v>2016</v>
      </c>
      <c r="E11" s="180">
        <v>2017</v>
      </c>
      <c r="F11" s="180">
        <v>2018</v>
      </c>
      <c r="G11" s="180">
        <v>2019</v>
      </c>
    </row>
    <row r="12" spans="1:7">
      <c r="A12" s="6" t="s">
        <v>27</v>
      </c>
      <c r="B12" s="18">
        <f>SUM(C12:D12)</f>
        <v>342.65454999999997</v>
      </c>
      <c r="C12" s="19">
        <f>F34/1000</f>
        <v>123.405</v>
      </c>
      <c r="D12" s="19">
        <f>G34/1000</f>
        <v>219.24955</v>
      </c>
      <c r="E12" s="181">
        <v>0</v>
      </c>
      <c r="F12" s="181">
        <v>0</v>
      </c>
      <c r="G12" s="181">
        <v>0</v>
      </c>
    </row>
    <row r="13" spans="1:7">
      <c r="A13" s="168"/>
      <c r="B13" s="168"/>
      <c r="C13" s="168"/>
      <c r="D13" s="168"/>
      <c r="E13" s="168"/>
      <c r="F13" s="168"/>
      <c r="G13" s="168"/>
    </row>
    <row r="14" spans="1:7" s="168" customFormat="1">
      <c r="A14" s="169"/>
      <c r="B14" s="169"/>
      <c r="C14" s="169"/>
      <c r="D14" s="169"/>
      <c r="E14" s="169"/>
      <c r="F14" s="169"/>
      <c r="G14" s="169"/>
    </row>
    <row r="15" spans="1:7">
      <c r="B15" s="9"/>
      <c r="C15" s="1"/>
      <c r="D15" s="1"/>
      <c r="E15" s="1"/>
      <c r="F15" s="1"/>
      <c r="G15" s="1"/>
    </row>
    <row r="16" spans="1:7">
      <c r="B16" s="10"/>
      <c r="C16" s="8"/>
      <c r="D16" s="1"/>
      <c r="E16" s="1"/>
      <c r="F16" s="1"/>
      <c r="G16" s="1"/>
    </row>
    <row r="17" spans="1:8">
      <c r="A17" s="20" t="s">
        <v>5</v>
      </c>
      <c r="B17" s="1"/>
      <c r="C17" s="1"/>
      <c r="D17" s="30" t="s">
        <v>256</v>
      </c>
      <c r="E17" s="1"/>
      <c r="F17" s="1"/>
      <c r="G17" s="1"/>
    </row>
    <row r="18" spans="1:8">
      <c r="B18" s="11"/>
      <c r="C18" s="21"/>
      <c r="D18" s="11" t="s">
        <v>77</v>
      </c>
      <c r="E18" s="38">
        <v>82.27</v>
      </c>
      <c r="F18" s="11"/>
      <c r="G18" s="1"/>
    </row>
    <row r="19" spans="1:8">
      <c r="A19" s="8"/>
      <c r="B19" s="11"/>
      <c r="C19" s="14"/>
      <c r="D19" s="15"/>
      <c r="E19" s="11"/>
      <c r="F19" s="13"/>
      <c r="G19" s="1"/>
    </row>
    <row r="20" spans="1:8">
      <c r="B20" s="11"/>
      <c r="C20" s="14"/>
      <c r="D20" s="15"/>
      <c r="E20" s="11"/>
      <c r="F20" s="13"/>
      <c r="G20" s="1"/>
    </row>
    <row r="21" spans="1:8" ht="36.75">
      <c r="A21" s="22" t="s">
        <v>21</v>
      </c>
      <c r="B21" s="198" t="s">
        <v>4</v>
      </c>
      <c r="C21" s="202" t="s">
        <v>56</v>
      </c>
      <c r="D21" s="202" t="s">
        <v>51</v>
      </c>
      <c r="E21" s="202" t="s">
        <v>52</v>
      </c>
      <c r="F21" s="203" t="s">
        <v>53</v>
      </c>
      <c r="G21" s="203" t="s">
        <v>54</v>
      </c>
      <c r="H21" s="1" t="s">
        <v>59</v>
      </c>
    </row>
    <row r="22" spans="1:8" ht="36.75">
      <c r="A22" s="8" t="s">
        <v>41</v>
      </c>
      <c r="B22" s="11">
        <v>1</v>
      </c>
      <c r="C22" s="23">
        <f t="shared" ref="C22:C31" si="1">SUM(D22:E22)</f>
        <v>1000</v>
      </c>
      <c r="D22" s="1">
        <v>750</v>
      </c>
      <c r="E22" s="11">
        <v>250</v>
      </c>
      <c r="F22" s="29">
        <f>SUM(D22)*82.27</f>
        <v>61702.5</v>
      </c>
      <c r="G22" s="29">
        <f>SUM(E22)*82.27</f>
        <v>20567.5</v>
      </c>
      <c r="H22" s="25" t="s">
        <v>48</v>
      </c>
    </row>
    <row r="23" spans="1:8" ht="36.75">
      <c r="A23" s="8" t="s">
        <v>42</v>
      </c>
      <c r="B23" s="11">
        <v>2</v>
      </c>
      <c r="C23" s="23">
        <f t="shared" si="1"/>
        <v>1000</v>
      </c>
      <c r="D23" s="1">
        <v>750</v>
      </c>
      <c r="E23" s="11">
        <v>250</v>
      </c>
      <c r="F23" s="29">
        <f>SUM(D23)*82.27</f>
        <v>61702.5</v>
      </c>
      <c r="G23" s="29">
        <f>SUM(E23)*82.27</f>
        <v>20567.5</v>
      </c>
      <c r="H23" s="25" t="s">
        <v>49</v>
      </c>
    </row>
    <row r="24" spans="1:8">
      <c r="A24" s="8" t="s">
        <v>22</v>
      </c>
      <c r="B24" s="11">
        <v>3</v>
      </c>
      <c r="C24" s="23">
        <f t="shared" si="1"/>
        <v>10</v>
      </c>
      <c r="D24" s="1">
        <v>0</v>
      </c>
      <c r="E24" s="11">
        <v>10</v>
      </c>
      <c r="F24" s="29">
        <f t="shared" ref="F24:F33" si="2">SUM(D24)*160445</f>
        <v>0</v>
      </c>
      <c r="G24" s="29">
        <f t="shared" ref="G24:G33" si="3">SUM(E24)*82.27</f>
        <v>822.69999999999993</v>
      </c>
      <c r="H24" s="24" t="s">
        <v>39</v>
      </c>
    </row>
    <row r="25" spans="1:8">
      <c r="A25" s="8" t="s">
        <v>23</v>
      </c>
      <c r="B25" s="11">
        <v>4</v>
      </c>
      <c r="C25" s="23">
        <f t="shared" si="1"/>
        <v>300</v>
      </c>
      <c r="D25" s="1">
        <v>0</v>
      </c>
      <c r="E25" s="11">
        <v>300</v>
      </c>
      <c r="F25" s="29">
        <f t="shared" si="2"/>
        <v>0</v>
      </c>
      <c r="G25" s="29">
        <f t="shared" si="3"/>
        <v>24681</v>
      </c>
      <c r="H25" s="24" t="s">
        <v>43</v>
      </c>
    </row>
    <row r="26" spans="1:8">
      <c r="A26" s="8" t="s">
        <v>24</v>
      </c>
      <c r="B26" s="11">
        <v>5</v>
      </c>
      <c r="C26" s="23">
        <f t="shared" si="1"/>
        <v>10</v>
      </c>
      <c r="D26" s="1">
        <v>0</v>
      </c>
      <c r="E26" s="11">
        <v>10</v>
      </c>
      <c r="F26" s="29">
        <f t="shared" si="2"/>
        <v>0</v>
      </c>
      <c r="G26" s="29">
        <f t="shared" si="3"/>
        <v>822.69999999999993</v>
      </c>
      <c r="H26" s="24" t="s">
        <v>40</v>
      </c>
    </row>
    <row r="27" spans="1:8" ht="36.75">
      <c r="A27" s="8" t="s">
        <v>25</v>
      </c>
      <c r="B27" s="11">
        <v>6</v>
      </c>
      <c r="C27" s="23">
        <f t="shared" si="1"/>
        <v>300</v>
      </c>
      <c r="D27" s="1">
        <v>0</v>
      </c>
      <c r="E27" s="11">
        <v>300</v>
      </c>
      <c r="F27" s="29">
        <f t="shared" si="2"/>
        <v>0</v>
      </c>
      <c r="G27" s="29">
        <f t="shared" si="3"/>
        <v>24681</v>
      </c>
      <c r="H27" s="25" t="s">
        <v>44</v>
      </c>
    </row>
    <row r="28" spans="1:8">
      <c r="A28" s="8" t="s">
        <v>26</v>
      </c>
      <c r="B28" s="11">
        <v>7</v>
      </c>
      <c r="C28" s="23">
        <f t="shared" si="1"/>
        <v>10</v>
      </c>
      <c r="D28" s="1">
        <v>0</v>
      </c>
      <c r="E28" s="11">
        <v>10</v>
      </c>
      <c r="F28" s="29">
        <f t="shared" si="2"/>
        <v>0</v>
      </c>
      <c r="G28" s="29">
        <f t="shared" si="3"/>
        <v>822.69999999999993</v>
      </c>
      <c r="H28" s="24" t="s">
        <v>45</v>
      </c>
    </row>
    <row r="29" spans="1:8">
      <c r="A29" s="8" t="s">
        <v>38</v>
      </c>
      <c r="B29" s="11">
        <v>8</v>
      </c>
      <c r="C29" s="23">
        <f t="shared" si="1"/>
        <v>20</v>
      </c>
      <c r="D29" s="1">
        <v>0</v>
      </c>
      <c r="E29" s="11">
        <v>20</v>
      </c>
      <c r="F29" s="29">
        <f t="shared" si="2"/>
        <v>0</v>
      </c>
      <c r="G29" s="29">
        <f t="shared" si="3"/>
        <v>1645.3999999999999</v>
      </c>
      <c r="H29" s="24" t="s">
        <v>46</v>
      </c>
    </row>
    <row r="30" spans="1:8" ht="36.75">
      <c r="A30" s="8" t="s">
        <v>37</v>
      </c>
      <c r="B30" s="11">
        <v>9</v>
      </c>
      <c r="C30" s="23">
        <f t="shared" si="1"/>
        <v>300</v>
      </c>
      <c r="D30" s="1">
        <v>0</v>
      </c>
      <c r="E30" s="11">
        <v>300</v>
      </c>
      <c r="F30" s="29">
        <f t="shared" si="2"/>
        <v>0</v>
      </c>
      <c r="G30" s="29">
        <f t="shared" si="3"/>
        <v>24681</v>
      </c>
      <c r="H30" s="26" t="s">
        <v>47</v>
      </c>
    </row>
    <row r="31" spans="1:8" ht="36.75">
      <c r="A31" s="8" t="s">
        <v>50</v>
      </c>
      <c r="B31" s="11">
        <v>10</v>
      </c>
      <c r="C31" s="23">
        <f t="shared" si="1"/>
        <v>15</v>
      </c>
      <c r="D31" s="1">
        <v>0</v>
      </c>
      <c r="E31" s="11">
        <v>15</v>
      </c>
      <c r="F31" s="29">
        <f t="shared" si="2"/>
        <v>0</v>
      </c>
      <c r="G31" s="29">
        <f t="shared" si="3"/>
        <v>1234.05</v>
      </c>
      <c r="H31" s="26" t="s">
        <v>166</v>
      </c>
    </row>
    <row r="32" spans="1:8" ht="36.75">
      <c r="A32" s="8" t="s">
        <v>169</v>
      </c>
      <c r="B32" s="11">
        <v>11</v>
      </c>
      <c r="C32" s="23">
        <f>SUM(D32:E32)</f>
        <v>750</v>
      </c>
      <c r="D32" s="1">
        <v>0</v>
      </c>
      <c r="E32" s="11">
        <v>750</v>
      </c>
      <c r="F32" s="29">
        <f t="shared" si="2"/>
        <v>0</v>
      </c>
      <c r="G32" s="29">
        <f t="shared" si="3"/>
        <v>61702.5</v>
      </c>
      <c r="H32" s="26" t="s">
        <v>167</v>
      </c>
    </row>
    <row r="33" spans="1:8" ht="24.75">
      <c r="A33" s="8" t="s">
        <v>170</v>
      </c>
      <c r="B33" s="11">
        <v>12</v>
      </c>
      <c r="C33" s="23">
        <f>SUM(D33:E33)</f>
        <v>450</v>
      </c>
      <c r="D33" s="1">
        <v>0</v>
      </c>
      <c r="E33" s="11">
        <v>450</v>
      </c>
      <c r="F33" s="29">
        <f t="shared" si="2"/>
        <v>0</v>
      </c>
      <c r="G33" s="29">
        <f t="shared" si="3"/>
        <v>37021.5</v>
      </c>
      <c r="H33" s="26" t="s">
        <v>168</v>
      </c>
    </row>
    <row r="34" spans="1:8">
      <c r="A34" s="22" t="s">
        <v>55</v>
      </c>
      <c r="B34" s="198"/>
      <c r="C34" s="199">
        <f>SUM(C22:C33)</f>
        <v>4165</v>
      </c>
      <c r="D34" s="200"/>
      <c r="E34" s="198"/>
      <c r="F34" s="201">
        <f>SUM(F22:F33)</f>
        <v>123405</v>
      </c>
      <c r="G34" s="201">
        <f>SUM(G22:G33)</f>
        <v>219249.55</v>
      </c>
      <c r="H34" s="1"/>
    </row>
    <row r="35" spans="1:8">
      <c r="A35" s="8"/>
      <c r="B35" s="11"/>
      <c r="C35" s="14"/>
      <c r="D35" s="15"/>
      <c r="E35" s="11"/>
      <c r="F35" s="13"/>
      <c r="G35" s="1"/>
      <c r="H35" s="1"/>
    </row>
    <row r="36" spans="1:8">
      <c r="A36" s="8"/>
      <c r="B36" s="11"/>
      <c r="C36" s="14"/>
      <c r="D36" s="15"/>
      <c r="E36" s="11"/>
      <c r="F36" s="13"/>
      <c r="G36" s="1"/>
      <c r="H36" s="12"/>
    </row>
    <row r="37" spans="1:8">
      <c r="A37" s="8"/>
      <c r="B37" s="11"/>
      <c r="C37" s="14"/>
      <c r="D37" s="15"/>
      <c r="E37" s="11"/>
      <c r="F37" s="13"/>
      <c r="G37" s="1"/>
      <c r="H37" s="12"/>
    </row>
    <row r="38" spans="1:8">
      <c r="A38" s="8"/>
      <c r="B38" s="11"/>
      <c r="C38" s="14"/>
      <c r="D38" s="15"/>
      <c r="E38" s="11"/>
      <c r="F38" s="13"/>
      <c r="G38" s="1"/>
      <c r="H38" s="11"/>
    </row>
    <row r="39" spans="1:8">
      <c r="A39" s="8"/>
      <c r="B39" s="11"/>
      <c r="C39" s="14"/>
      <c r="D39" s="15"/>
      <c r="E39" s="11"/>
      <c r="F39" s="13"/>
      <c r="G39" s="1"/>
      <c r="H39" s="12"/>
    </row>
    <row r="40" spans="1:8">
      <c r="A40" s="8"/>
      <c r="B40" s="11"/>
      <c r="C40" s="14"/>
      <c r="D40" s="15"/>
      <c r="E40" s="11"/>
      <c r="F40" s="13"/>
      <c r="G40" s="1"/>
      <c r="H40" s="12"/>
    </row>
    <row r="41" spans="1:8">
      <c r="A41" s="8"/>
      <c r="B41" s="11"/>
      <c r="C41" s="14"/>
      <c r="D41" s="15"/>
      <c r="E41" s="11"/>
      <c r="F41" s="13"/>
      <c r="G41" s="1"/>
    </row>
    <row r="42" spans="1:8">
      <c r="A42" s="8"/>
      <c r="B42" s="11"/>
      <c r="C42" s="14"/>
      <c r="D42" s="15"/>
      <c r="E42" s="11"/>
      <c r="F42" s="13"/>
      <c r="G42" s="1"/>
    </row>
  </sheetData>
  <sheetProtection sheet="1" objects="1" scenarios="1" formatColumns="0" formatRows="0"/>
  <phoneticPr fontId="8" type="noConversion"/>
  <pageMargins left="0.70866141732283472" right="0.7086614173228347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sheetPr>
    <tabColor rgb="FFFFFF00"/>
  </sheetPr>
  <dimension ref="A1:H25"/>
  <sheetViews>
    <sheetView workbookViewId="0">
      <selection activeCell="B20" sqref="B20:G20"/>
    </sheetView>
  </sheetViews>
  <sheetFormatPr defaultRowHeight="15"/>
  <cols>
    <col min="1" max="1" width="38.7109375" customWidth="1"/>
    <col min="2" max="2" width="9.85546875" style="65" bestFit="1" customWidth="1"/>
    <col min="3" max="3" width="9.140625" style="65"/>
    <col min="4" max="4" width="12.5703125" style="65" bestFit="1" customWidth="1"/>
    <col min="5" max="5" width="10.7109375" style="65" bestFit="1" customWidth="1"/>
    <col min="6" max="6" width="13.5703125" style="65" bestFit="1" customWidth="1"/>
    <col min="7" max="7" width="9.140625" style="65"/>
    <col min="8" max="8" width="47.140625" customWidth="1"/>
  </cols>
  <sheetData>
    <row r="1" spans="1:8">
      <c r="A1" s="6" t="s">
        <v>242</v>
      </c>
      <c r="B1" s="11"/>
      <c r="C1" s="11"/>
      <c r="D1" s="11"/>
      <c r="E1" s="11"/>
      <c r="F1" s="11"/>
      <c r="G1" s="11"/>
    </row>
    <row r="2" spans="1:8">
      <c r="A2" s="2" t="s">
        <v>0</v>
      </c>
      <c r="B2" s="3" t="s">
        <v>6</v>
      </c>
      <c r="C2" s="180">
        <v>2015</v>
      </c>
      <c r="D2" s="180">
        <v>2016</v>
      </c>
      <c r="E2" s="180">
        <v>2017</v>
      </c>
      <c r="F2" s="180">
        <v>2018</v>
      </c>
      <c r="G2" s="180">
        <v>2019</v>
      </c>
    </row>
    <row r="3" spans="1:8">
      <c r="A3" s="37" t="s">
        <v>141</v>
      </c>
      <c r="B3" s="17">
        <f>SUM(C3:D3)</f>
        <v>851.79</v>
      </c>
      <c r="C3" s="19">
        <f>SUM(F16:F23)/1000</f>
        <v>425.89499999999998</v>
      </c>
      <c r="D3" s="19">
        <f>SUM(F16:F23)/1000</f>
        <v>425.89499999999998</v>
      </c>
      <c r="E3" s="181">
        <v>0</v>
      </c>
      <c r="F3" s="181">
        <v>0</v>
      </c>
      <c r="G3" s="181">
        <v>0</v>
      </c>
    </row>
    <row r="4" spans="1:8">
      <c r="A4" s="37"/>
      <c r="B4" s="17"/>
      <c r="C4" s="19"/>
      <c r="D4" s="19"/>
      <c r="E4" s="181"/>
      <c r="F4" s="181"/>
      <c r="G4" s="181"/>
    </row>
    <row r="5" spans="1:8" ht="15.75" thickBot="1">
      <c r="A5" s="5"/>
      <c r="B5" s="39"/>
      <c r="C5" s="39"/>
      <c r="D5" s="39"/>
      <c r="E5" s="39"/>
      <c r="F5" s="39"/>
      <c r="G5" s="39"/>
    </row>
    <row r="6" spans="1:8">
      <c r="A6" s="6" t="s">
        <v>1</v>
      </c>
      <c r="B6" s="18">
        <f>SUM(C6:D6)</f>
        <v>851.79</v>
      </c>
      <c r="C6" s="19">
        <f>C3</f>
        <v>425.89499999999998</v>
      </c>
      <c r="D6" s="19">
        <f>D3</f>
        <v>425.89499999999998</v>
      </c>
      <c r="E6" s="181">
        <v>0</v>
      </c>
      <c r="F6" s="181">
        <v>0</v>
      </c>
      <c r="G6" s="181">
        <v>0</v>
      </c>
    </row>
    <row r="7" spans="1:8">
      <c r="A7" s="1"/>
      <c r="B7" s="11"/>
      <c r="C7" s="11"/>
      <c r="D7" s="11"/>
      <c r="E7" s="11"/>
      <c r="F7" s="11"/>
      <c r="G7" s="11"/>
    </row>
    <row r="8" spans="1:8">
      <c r="A8" s="6" t="s">
        <v>243</v>
      </c>
      <c r="B8" s="11"/>
      <c r="C8" s="11"/>
      <c r="D8" s="11"/>
      <c r="E8" s="11"/>
      <c r="F8" s="11"/>
      <c r="G8" s="11"/>
    </row>
    <row r="9" spans="1:8">
      <c r="A9" s="2" t="s">
        <v>2</v>
      </c>
      <c r="B9" s="3" t="s">
        <v>6</v>
      </c>
      <c r="C9" s="180">
        <v>2015</v>
      </c>
      <c r="D9" s="180">
        <v>2016</v>
      </c>
      <c r="E9" s="180">
        <v>2017</v>
      </c>
      <c r="F9" s="180">
        <v>2018</v>
      </c>
      <c r="G9" s="180">
        <v>2019</v>
      </c>
    </row>
    <row r="10" spans="1:8">
      <c r="A10" s="4" t="s">
        <v>28</v>
      </c>
      <c r="B10" s="17">
        <f>SUM(C10:G10)</f>
        <v>0</v>
      </c>
      <c r="C10" s="19">
        <v>0</v>
      </c>
      <c r="D10" s="19">
        <f>C10</f>
        <v>0</v>
      </c>
      <c r="E10" s="19"/>
      <c r="F10" s="19"/>
      <c r="G10" s="19"/>
    </row>
    <row r="11" spans="1:8" ht="15.75" thickBot="1">
      <c r="A11" s="5"/>
      <c r="B11" s="39"/>
      <c r="C11" s="39"/>
      <c r="D11" s="39"/>
      <c r="E11" s="39"/>
      <c r="F11" s="39"/>
      <c r="G11" s="39"/>
    </row>
    <row r="12" spans="1:8">
      <c r="A12" s="6" t="s">
        <v>3</v>
      </c>
      <c r="B12" s="18">
        <f>SUM(C12:G12)</f>
        <v>0</v>
      </c>
      <c r="C12" s="19">
        <f>C10</f>
        <v>0</v>
      </c>
      <c r="D12" s="19">
        <f>C12</f>
        <v>0</v>
      </c>
      <c r="E12" s="19"/>
      <c r="F12" s="19"/>
      <c r="G12" s="19"/>
    </row>
    <row r="13" spans="1:8">
      <c r="B13" s="182"/>
      <c r="C13" s="11"/>
      <c r="D13" s="11"/>
      <c r="E13" s="11"/>
      <c r="F13" s="11"/>
      <c r="G13" s="11"/>
      <c r="H13" s="8"/>
    </row>
    <row r="15" spans="1:8">
      <c r="A15" s="88" t="s">
        <v>142</v>
      </c>
      <c r="B15" s="183" t="s">
        <v>33</v>
      </c>
      <c r="C15" s="188" t="s">
        <v>32</v>
      </c>
      <c r="D15" s="188" t="s">
        <v>79</v>
      </c>
      <c r="E15" s="188" t="s">
        <v>34</v>
      </c>
      <c r="F15" s="188" t="s">
        <v>55</v>
      </c>
    </row>
    <row r="16" spans="1:8">
      <c r="A16" s="37" t="s">
        <v>30</v>
      </c>
      <c r="B16" s="184">
        <v>1</v>
      </c>
      <c r="C16" s="140">
        <v>1</v>
      </c>
      <c r="D16" s="185" t="s">
        <v>76</v>
      </c>
      <c r="E16" s="186">
        <v>160445</v>
      </c>
      <c r="F16" s="187">
        <f t="shared" ref="F16:F21" si="0">SUM(B16*E16)</f>
        <v>160445</v>
      </c>
    </row>
    <row r="17" spans="1:6">
      <c r="A17" s="37" t="s">
        <v>31</v>
      </c>
      <c r="B17" s="142">
        <v>0.25</v>
      </c>
      <c r="C17" s="140">
        <v>1</v>
      </c>
      <c r="D17" s="185" t="s">
        <v>78</v>
      </c>
      <c r="E17" s="186">
        <v>132725</v>
      </c>
      <c r="F17" s="187">
        <f t="shared" si="0"/>
        <v>33181.25</v>
      </c>
    </row>
    <row r="18" spans="1:6">
      <c r="A18" s="37" t="s">
        <v>82</v>
      </c>
      <c r="B18" s="142">
        <v>0.25</v>
      </c>
      <c r="C18" s="140">
        <v>1</v>
      </c>
      <c r="D18" s="185" t="s">
        <v>78</v>
      </c>
      <c r="E18" s="186">
        <v>132725</v>
      </c>
      <c r="F18" s="187">
        <f t="shared" si="0"/>
        <v>33181.25</v>
      </c>
    </row>
    <row r="19" spans="1:6">
      <c r="A19" s="37" t="s">
        <v>35</v>
      </c>
      <c r="B19" s="142">
        <v>0.25</v>
      </c>
      <c r="C19" s="140">
        <v>1</v>
      </c>
      <c r="D19" s="185" t="s">
        <v>78</v>
      </c>
      <c r="E19" s="186">
        <v>132725</v>
      </c>
      <c r="F19" s="187">
        <f t="shared" si="0"/>
        <v>33181.25</v>
      </c>
    </row>
    <row r="20" spans="1:6">
      <c r="A20" s="37" t="s">
        <v>36</v>
      </c>
      <c r="B20" s="142">
        <v>0.25</v>
      </c>
      <c r="C20" s="140">
        <v>1</v>
      </c>
      <c r="D20" s="185" t="s">
        <v>78</v>
      </c>
      <c r="E20" s="186">
        <v>132725</v>
      </c>
      <c r="F20" s="187">
        <f t="shared" si="0"/>
        <v>33181.25</v>
      </c>
    </row>
    <row r="21" spans="1:6">
      <c r="A21" s="37" t="s">
        <v>143</v>
      </c>
      <c r="B21" s="142">
        <v>1</v>
      </c>
      <c r="C21" s="140">
        <v>1</v>
      </c>
      <c r="D21" s="185" t="s">
        <v>78</v>
      </c>
      <c r="E21" s="186">
        <v>132725</v>
      </c>
      <c r="F21" s="187">
        <f t="shared" si="0"/>
        <v>132725</v>
      </c>
    </row>
    <row r="22" spans="1:6">
      <c r="F22" s="142"/>
    </row>
    <row r="23" spans="1:6">
      <c r="A23" s="1" t="s">
        <v>73</v>
      </c>
      <c r="B23" s="11">
        <v>0</v>
      </c>
      <c r="C23" s="14">
        <v>1</v>
      </c>
      <c r="D23" s="185" t="s">
        <v>78</v>
      </c>
      <c r="E23" s="186">
        <v>132725</v>
      </c>
      <c r="F23" s="187">
        <f>SUM(B23*E23)</f>
        <v>0</v>
      </c>
    </row>
    <row r="24" spans="1:6">
      <c r="F24" s="142"/>
    </row>
    <row r="25" spans="1:6">
      <c r="A25" s="20" t="s">
        <v>55</v>
      </c>
      <c r="B25" s="189"/>
      <c r="C25" s="189"/>
      <c r="D25" s="189"/>
      <c r="E25" s="189"/>
      <c r="F25" s="190">
        <f>SUM(F16:F24)</f>
        <v>425895</v>
      </c>
    </row>
  </sheetData>
  <sheetProtection sheet="1" objects="1" scenarios="1" formatColumns="0" formatRows="0"/>
  <phoneticPr fontId="8" type="noConversion"/>
  <pageMargins left="0.70866141732283472" right="0.70866141732283472" top="0.74803149606299213" bottom="0.74803149606299213" header="0.31496062992125984" footer="0.31496062992125984"/>
  <pageSetup paperSize="8"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H38"/>
  <sheetViews>
    <sheetView workbookViewId="0">
      <selection activeCell="B20" sqref="B20:G20"/>
    </sheetView>
  </sheetViews>
  <sheetFormatPr defaultRowHeight="15"/>
  <cols>
    <col min="1" max="1" width="32.140625" bestFit="1" customWidth="1"/>
    <col min="2" max="2" width="10.7109375" bestFit="1" customWidth="1"/>
    <col min="4" max="4" width="9.85546875" bestFit="1" customWidth="1"/>
    <col min="8" max="8" width="41.7109375" customWidth="1"/>
  </cols>
  <sheetData>
    <row r="1" spans="1:8">
      <c r="A1" s="6" t="s">
        <v>244</v>
      </c>
      <c r="B1" s="1"/>
      <c r="C1" s="1"/>
      <c r="D1" s="1"/>
      <c r="E1" s="1"/>
      <c r="F1" s="1"/>
      <c r="G1" s="1"/>
    </row>
    <row r="2" spans="1:8">
      <c r="A2" s="2" t="s">
        <v>238</v>
      </c>
      <c r="B2" s="3" t="s">
        <v>6</v>
      </c>
      <c r="C2" s="180">
        <v>2015</v>
      </c>
      <c r="D2" s="180">
        <v>2016</v>
      </c>
      <c r="E2" s="180">
        <v>2017</v>
      </c>
      <c r="F2" s="180">
        <v>2018</v>
      </c>
      <c r="G2" s="180">
        <v>2019</v>
      </c>
    </row>
    <row r="3" spans="1:8" ht="36.75">
      <c r="A3" s="4" t="s">
        <v>29</v>
      </c>
      <c r="B3" s="17">
        <f>SUM(C3:G3)</f>
        <v>127</v>
      </c>
      <c r="C3" s="19">
        <v>100</v>
      </c>
      <c r="D3" s="19">
        <v>27</v>
      </c>
      <c r="E3" s="181">
        <v>0</v>
      </c>
      <c r="F3" s="181">
        <v>0</v>
      </c>
      <c r="G3" s="181">
        <v>0</v>
      </c>
      <c r="H3" s="8" t="s">
        <v>80</v>
      </c>
    </row>
    <row r="4" spans="1:8" ht="15.75" thickBot="1">
      <c r="A4" s="5"/>
      <c r="B4" s="39"/>
      <c r="C4" s="39"/>
      <c r="D4" s="39"/>
      <c r="E4" s="39"/>
      <c r="F4" s="39"/>
      <c r="G4" s="39"/>
    </row>
    <row r="5" spans="1:8">
      <c r="A5" s="6" t="s">
        <v>1</v>
      </c>
      <c r="B5" s="18">
        <f>SUM(C5:G5)</f>
        <v>127</v>
      </c>
      <c r="C5" s="19">
        <f>C3</f>
        <v>100</v>
      </c>
      <c r="D5" s="19">
        <f>D3</f>
        <v>27</v>
      </c>
      <c r="E5" s="181">
        <v>0</v>
      </c>
      <c r="F5" s="181">
        <v>0</v>
      </c>
      <c r="G5" s="181">
        <v>0</v>
      </c>
    </row>
    <row r="6" spans="1:8">
      <c r="A6" s="1"/>
      <c r="B6" s="1"/>
      <c r="C6" s="1"/>
      <c r="D6" s="1"/>
      <c r="E6" s="1"/>
      <c r="F6" s="1"/>
      <c r="G6" s="1"/>
    </row>
    <row r="7" spans="1:8">
      <c r="A7" s="1"/>
      <c r="B7" s="1"/>
      <c r="C7" s="1"/>
      <c r="D7" s="1"/>
      <c r="E7" s="1"/>
      <c r="F7" s="1"/>
      <c r="G7" s="1"/>
    </row>
    <row r="8" spans="1:8">
      <c r="A8" s="6" t="s">
        <v>245</v>
      </c>
      <c r="B8" s="1"/>
      <c r="C8" s="1"/>
      <c r="D8" s="1"/>
      <c r="E8" s="1"/>
      <c r="F8" s="1"/>
      <c r="G8" s="1"/>
    </row>
    <row r="9" spans="1:8">
      <c r="A9" s="2" t="s">
        <v>237</v>
      </c>
      <c r="B9" s="3" t="s">
        <v>6</v>
      </c>
      <c r="C9" s="180">
        <v>2015</v>
      </c>
      <c r="D9" s="180">
        <v>2016</v>
      </c>
      <c r="E9" s="180">
        <v>2017</v>
      </c>
      <c r="F9" s="180">
        <v>2018</v>
      </c>
      <c r="G9" s="180">
        <v>2019</v>
      </c>
    </row>
    <row r="10" spans="1:8" ht="48.75">
      <c r="A10" s="4" t="s">
        <v>29</v>
      </c>
      <c r="B10" s="17">
        <f>SUM(C10:G10)</f>
        <v>108</v>
      </c>
      <c r="C10" s="19">
        <v>0</v>
      </c>
      <c r="D10" s="19">
        <v>27</v>
      </c>
      <c r="E10" s="19">
        <v>27</v>
      </c>
      <c r="F10" s="19">
        <v>27</v>
      </c>
      <c r="G10" s="19">
        <v>27</v>
      </c>
      <c r="H10" s="8" t="s">
        <v>107</v>
      </c>
    </row>
    <row r="11" spans="1:8" ht="15.75" thickBot="1">
      <c r="A11" s="5"/>
      <c r="B11" s="39"/>
      <c r="C11" s="39"/>
      <c r="D11" s="39"/>
      <c r="E11" s="39"/>
      <c r="F11" s="39"/>
      <c r="G11" s="39"/>
    </row>
    <row r="12" spans="1:8">
      <c r="A12" s="6" t="s">
        <v>3</v>
      </c>
      <c r="B12" s="18">
        <f>SUM(C12:G12)</f>
        <v>108</v>
      </c>
      <c r="C12" s="19">
        <v>0</v>
      </c>
      <c r="D12" s="19">
        <f>D10</f>
        <v>27</v>
      </c>
      <c r="E12" s="19">
        <f>E10</f>
        <v>27</v>
      </c>
      <c r="F12" s="19">
        <f>F10</f>
        <v>27</v>
      </c>
      <c r="G12" s="19">
        <f>G10</f>
        <v>27</v>
      </c>
    </row>
    <row r="13" spans="1:8">
      <c r="B13" s="9"/>
      <c r="C13" s="1"/>
      <c r="D13" s="1"/>
      <c r="E13" s="1"/>
      <c r="F13" s="1"/>
      <c r="G13" s="1"/>
    </row>
    <row r="14" spans="1:8">
      <c r="B14" s="10"/>
      <c r="C14" s="8"/>
      <c r="D14" s="1"/>
      <c r="E14" s="1"/>
      <c r="F14" s="1"/>
      <c r="G14" s="1"/>
    </row>
    <row r="15" spans="1:8" ht="48.75">
      <c r="A15" t="s">
        <v>7</v>
      </c>
      <c r="B15" s="11" t="s">
        <v>4</v>
      </c>
      <c r="H15" s="8" t="s">
        <v>20</v>
      </c>
    </row>
    <row r="16" spans="1:8">
      <c r="A16" s="20"/>
      <c r="B16" s="11"/>
    </row>
    <row r="17" spans="1:8">
      <c r="A17" s="22" t="s">
        <v>8</v>
      </c>
      <c r="B17" s="11">
        <v>1</v>
      </c>
      <c r="C17" s="8"/>
      <c r="D17" s="21"/>
      <c r="E17" s="21"/>
      <c r="F17" s="28"/>
      <c r="G17" s="28"/>
    </row>
    <row r="18" spans="1:8">
      <c r="A18" s="22"/>
      <c r="B18" s="11"/>
      <c r="C18" s="11"/>
      <c r="D18" s="1"/>
      <c r="E18" s="11"/>
      <c r="F18" s="29"/>
      <c r="G18" s="29"/>
    </row>
    <row r="19" spans="1:8">
      <c r="A19" s="22" t="s">
        <v>58</v>
      </c>
      <c r="B19" s="11">
        <v>2</v>
      </c>
      <c r="C19" s="23"/>
      <c r="D19" s="1"/>
      <c r="E19" s="11"/>
      <c r="F19" s="29"/>
      <c r="G19" s="29"/>
      <c r="H19" s="8"/>
    </row>
    <row r="20" spans="1:8">
      <c r="A20" s="8" t="s">
        <v>9</v>
      </c>
      <c r="B20" s="11"/>
      <c r="C20" s="23"/>
      <c r="D20" s="1"/>
      <c r="E20" s="11"/>
      <c r="F20" s="29"/>
      <c r="G20" s="29"/>
    </row>
    <row r="21" spans="1:8">
      <c r="A21" s="8" t="s">
        <v>10</v>
      </c>
      <c r="B21" s="11"/>
      <c r="C21" s="23"/>
      <c r="D21" s="1"/>
      <c r="E21" s="11"/>
      <c r="F21" s="29"/>
      <c r="G21" s="29"/>
    </row>
    <row r="22" spans="1:8">
      <c r="A22" s="8" t="s">
        <v>11</v>
      </c>
      <c r="B22" s="11"/>
      <c r="C22" s="23"/>
      <c r="D22" s="1"/>
      <c r="E22" s="11"/>
      <c r="F22" s="29"/>
      <c r="G22" s="29"/>
    </row>
    <row r="23" spans="1:8">
      <c r="A23" s="8" t="s">
        <v>12</v>
      </c>
      <c r="B23" s="11"/>
      <c r="C23" s="23"/>
      <c r="D23" s="1"/>
      <c r="E23" s="11"/>
      <c r="F23" s="29"/>
      <c r="G23" s="29"/>
    </row>
    <row r="24" spans="1:8">
      <c r="A24" s="8" t="s">
        <v>14</v>
      </c>
      <c r="B24" s="11"/>
      <c r="C24" s="23"/>
      <c r="D24" s="1"/>
      <c r="E24" s="11"/>
      <c r="F24" s="29"/>
      <c r="G24" s="29"/>
    </row>
    <row r="25" spans="1:8">
      <c r="A25" s="8" t="s">
        <v>15</v>
      </c>
      <c r="B25" s="11"/>
      <c r="C25" s="23"/>
      <c r="D25" s="1"/>
      <c r="E25" s="11"/>
      <c r="F25" s="29"/>
      <c r="G25" s="29"/>
    </row>
    <row r="26" spans="1:8" ht="24.75">
      <c r="A26" s="8" t="s">
        <v>16</v>
      </c>
      <c r="B26" s="11"/>
      <c r="C26" s="23"/>
      <c r="D26" s="1"/>
      <c r="E26" s="11"/>
      <c r="F26" s="29"/>
      <c r="G26" s="29"/>
    </row>
    <row r="27" spans="1:8" ht="24.75">
      <c r="A27" s="8" t="s">
        <v>17</v>
      </c>
      <c r="B27" s="14"/>
      <c r="C27" s="23"/>
      <c r="D27" s="1"/>
      <c r="E27" s="11"/>
      <c r="F27" s="29"/>
      <c r="G27" s="29"/>
    </row>
    <row r="28" spans="1:8">
      <c r="A28" s="8" t="s">
        <v>18</v>
      </c>
      <c r="B28" s="14"/>
      <c r="C28" s="23"/>
      <c r="D28" s="1"/>
      <c r="E28" s="11"/>
      <c r="F28" s="29"/>
      <c r="G28" s="29"/>
    </row>
    <row r="29" spans="1:8" ht="36.75">
      <c r="A29" s="8" t="s">
        <v>19</v>
      </c>
      <c r="B29" s="16"/>
      <c r="C29" s="23"/>
      <c r="D29" s="1"/>
      <c r="E29" s="11"/>
      <c r="F29" s="29"/>
      <c r="G29" s="29"/>
    </row>
    <row r="30" spans="1:8">
      <c r="A30" s="8"/>
      <c r="B30" s="7"/>
      <c r="C30" s="23"/>
      <c r="D30" s="1"/>
      <c r="E30" s="11"/>
      <c r="F30" s="29"/>
      <c r="G30" s="29"/>
    </row>
    <row r="31" spans="1:8">
      <c r="A31" s="22" t="s">
        <v>57</v>
      </c>
      <c r="B31" s="11">
        <v>3</v>
      </c>
      <c r="C31" s="23"/>
      <c r="D31" s="1"/>
      <c r="E31" s="11"/>
      <c r="F31" s="29"/>
      <c r="G31" s="29"/>
    </row>
    <row r="32" spans="1:8">
      <c r="A32" s="1"/>
      <c r="B32" s="32"/>
      <c r="C32" s="23"/>
      <c r="D32" s="1"/>
      <c r="E32" s="11"/>
      <c r="F32" s="13"/>
      <c r="G32" s="13"/>
    </row>
    <row r="33" spans="1:8">
      <c r="A33" s="22" t="s">
        <v>13</v>
      </c>
      <c r="B33" s="11">
        <v>4</v>
      </c>
      <c r="C33" s="23"/>
      <c r="D33" s="1"/>
      <c r="E33" s="11"/>
      <c r="F33" s="29"/>
      <c r="G33" s="29"/>
    </row>
    <row r="34" spans="1:8">
      <c r="C34" s="23"/>
      <c r="D34" s="1"/>
      <c r="E34" s="11"/>
      <c r="F34" s="13"/>
      <c r="G34" s="13"/>
    </row>
    <row r="35" spans="1:8">
      <c r="C35" s="23"/>
      <c r="D35" s="1"/>
      <c r="E35" s="11"/>
      <c r="F35" s="29"/>
      <c r="G35" s="29"/>
    </row>
    <row r="36" spans="1:8">
      <c r="A36" s="1" t="s">
        <v>81</v>
      </c>
      <c r="B36" s="27">
        <v>132725</v>
      </c>
      <c r="C36" s="11">
        <v>0.75</v>
      </c>
      <c r="D36" s="33">
        <f>SUM(B36*C36)</f>
        <v>99543.75</v>
      </c>
      <c r="E36" s="12"/>
      <c r="F36" s="12"/>
      <c r="G36" s="12"/>
      <c r="H36" s="12"/>
    </row>
    <row r="37" spans="1:8">
      <c r="A37" s="1"/>
      <c r="B37" s="27">
        <v>132725</v>
      </c>
      <c r="C37" s="11">
        <v>0.2</v>
      </c>
      <c r="D37" s="33">
        <f>SUM(B37*C37)</f>
        <v>26545</v>
      </c>
      <c r="E37" s="12"/>
      <c r="F37" s="31"/>
      <c r="G37" s="31"/>
      <c r="H37" s="12"/>
    </row>
    <row r="38" spans="1:8">
      <c r="B38" s="27">
        <v>132725</v>
      </c>
      <c r="C38" s="11">
        <v>0.5</v>
      </c>
      <c r="D38" s="33">
        <f>SUM(B38*C38)</f>
        <v>66362.5</v>
      </c>
    </row>
  </sheetData>
  <sheetProtection sheet="1" objects="1" scenarios="1" formatColumns="0" formatRows="0"/>
  <phoneticPr fontId="8" type="noConversion"/>
  <pageMargins left="0.70866141732283472" right="0.70866141732283472"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sheetPr>
    <tabColor rgb="FFFFFF00"/>
  </sheetPr>
  <dimension ref="A1:L45"/>
  <sheetViews>
    <sheetView workbookViewId="0">
      <selection activeCell="B26" sqref="B26"/>
    </sheetView>
  </sheetViews>
  <sheetFormatPr defaultRowHeight="15"/>
  <cols>
    <col min="1" max="1" width="7.7109375" customWidth="1"/>
    <col min="2" max="2" width="64.140625" customWidth="1"/>
    <col min="3" max="3" width="12.42578125" customWidth="1"/>
    <col min="4" max="4" width="11.28515625" customWidth="1"/>
    <col min="5" max="5" width="10.42578125" customWidth="1"/>
    <col min="6" max="9" width="9.140625" customWidth="1"/>
    <col min="10" max="10" width="9.7109375" customWidth="1"/>
    <col min="11" max="11" width="11.42578125" customWidth="1"/>
    <col min="12" max="12" width="9.140625" customWidth="1"/>
    <col min="13" max="13" width="52.28515625" customWidth="1"/>
  </cols>
  <sheetData>
    <row r="1" spans="1:12">
      <c r="A1" s="71"/>
      <c r="B1" s="114" t="s">
        <v>204</v>
      </c>
      <c r="C1" s="147" t="s">
        <v>61</v>
      </c>
      <c r="D1" s="147" t="s">
        <v>62</v>
      </c>
      <c r="E1" s="147" t="s">
        <v>63</v>
      </c>
      <c r="F1" s="147" t="s">
        <v>64</v>
      </c>
      <c r="G1" s="147" t="s">
        <v>65</v>
      </c>
      <c r="H1" s="115" t="s">
        <v>66</v>
      </c>
      <c r="I1" s="139"/>
      <c r="J1" s="93"/>
      <c r="K1" s="93"/>
      <c r="L1" s="93"/>
    </row>
    <row r="2" spans="1:12" s="71" customFormat="1">
      <c r="B2" s="146" t="s">
        <v>212</v>
      </c>
      <c r="C2" s="160">
        <v>859678</v>
      </c>
      <c r="D2" s="160">
        <v>866120</v>
      </c>
      <c r="E2" s="160">
        <v>872616</v>
      </c>
      <c r="F2" s="160">
        <v>879168</v>
      </c>
      <c r="G2" s="160">
        <v>885775</v>
      </c>
      <c r="H2" s="133">
        <f>G2+G3</f>
        <v>896275</v>
      </c>
      <c r="I2" s="161" t="s">
        <v>175</v>
      </c>
      <c r="J2" s="93"/>
      <c r="K2" s="93"/>
      <c r="L2" s="93"/>
    </row>
    <row r="3" spans="1:12">
      <c r="B3" s="152" t="s">
        <v>67</v>
      </c>
      <c r="C3" s="148">
        <v>0</v>
      </c>
      <c r="D3" s="148">
        <v>0</v>
      </c>
      <c r="E3" s="149">
        <v>10500</v>
      </c>
      <c r="F3" s="149">
        <v>10500</v>
      </c>
      <c r="G3" s="149">
        <v>10500</v>
      </c>
      <c r="H3" s="162">
        <v>10500</v>
      </c>
      <c r="I3" s="163" t="s">
        <v>145</v>
      </c>
      <c r="J3" s="138"/>
      <c r="K3" s="93"/>
      <c r="L3" s="93"/>
    </row>
    <row r="4" spans="1:12">
      <c r="B4" s="152" t="s">
        <v>176</v>
      </c>
      <c r="C4" s="148">
        <f>E36*0</f>
        <v>0</v>
      </c>
      <c r="D4" s="148">
        <f>F36*0</f>
        <v>0</v>
      </c>
      <c r="E4" s="149">
        <f>G36</f>
        <v>20010.089056367266</v>
      </c>
      <c r="F4" s="149">
        <f>H36</f>
        <v>20333.934514578388</v>
      </c>
      <c r="G4" s="149">
        <f>I36</f>
        <v>22302.675229341909</v>
      </c>
      <c r="H4" s="162">
        <f>J36</f>
        <v>19368.3</v>
      </c>
      <c r="I4" s="163" t="s">
        <v>178</v>
      </c>
      <c r="J4" s="138"/>
      <c r="K4" s="93"/>
      <c r="L4" s="93"/>
    </row>
    <row r="5" spans="1:12">
      <c r="B5" s="152" t="s">
        <v>177</v>
      </c>
      <c r="C5" s="148">
        <v>0</v>
      </c>
      <c r="D5" s="148">
        <v>0</v>
      </c>
      <c r="E5" s="149">
        <v>1500</v>
      </c>
      <c r="F5" s="149">
        <v>1500</v>
      </c>
      <c r="G5" s="149">
        <v>1500</v>
      </c>
      <c r="H5" s="162">
        <v>1500</v>
      </c>
      <c r="I5" s="163" t="s">
        <v>180</v>
      </c>
      <c r="J5" s="138"/>
      <c r="K5" s="93"/>
      <c r="L5" s="93"/>
    </row>
    <row r="6" spans="1:12">
      <c r="B6" s="152" t="s">
        <v>179</v>
      </c>
      <c r="C6" s="148">
        <v>1000</v>
      </c>
      <c r="D6" s="148">
        <v>1000</v>
      </c>
      <c r="E6" s="149">
        <v>4047</v>
      </c>
      <c r="F6" s="149">
        <v>4074</v>
      </c>
      <c r="G6" s="149">
        <v>4093</v>
      </c>
      <c r="H6" s="164">
        <v>4136</v>
      </c>
      <c r="I6" s="163" t="s">
        <v>148</v>
      </c>
      <c r="J6" s="138"/>
      <c r="K6" s="93"/>
      <c r="L6" s="93"/>
    </row>
    <row r="7" spans="1:12">
      <c r="B7" s="152" t="s">
        <v>181</v>
      </c>
      <c r="C7" s="148">
        <f>2014*0</f>
        <v>0</v>
      </c>
      <c r="D7" s="148">
        <f>2040*0</f>
        <v>0</v>
      </c>
      <c r="E7" s="149">
        <v>2905.014589530042</v>
      </c>
      <c r="F7" s="149">
        <v>3894.8315906436364</v>
      </c>
      <c r="G7" s="149">
        <v>5369.7670169882349</v>
      </c>
      <c r="H7" s="162">
        <f>AVERAGE(E7:G7)</f>
        <v>4056.5377323873049</v>
      </c>
      <c r="I7" s="163" t="s">
        <v>183</v>
      </c>
      <c r="J7" s="138"/>
      <c r="K7" s="93"/>
      <c r="L7" s="93"/>
    </row>
    <row r="8" spans="1:12">
      <c r="B8" s="152" t="s">
        <v>182</v>
      </c>
      <c r="C8" s="148">
        <f>11980*0</f>
        <v>0</v>
      </c>
      <c r="D8" s="148">
        <f>11960*0</f>
        <v>0</v>
      </c>
      <c r="E8" s="149">
        <f>14250</f>
        <v>14250</v>
      </c>
      <c r="F8" s="149">
        <f>8790</f>
        <v>8790</v>
      </c>
      <c r="G8" s="149">
        <f>14500</f>
        <v>14500</v>
      </c>
      <c r="H8" s="162">
        <f>AVERAGE(E8:G8)</f>
        <v>12513.333333333334</v>
      </c>
      <c r="I8" s="163" t="s">
        <v>185</v>
      </c>
      <c r="J8" s="138"/>
      <c r="K8" s="93"/>
      <c r="L8" s="93"/>
    </row>
    <row r="9" spans="1:12">
      <c r="B9" s="152" t="s">
        <v>184</v>
      </c>
      <c r="C9" s="148">
        <f>E28</f>
        <v>20907.517530650166</v>
      </c>
      <c r="D9" s="148">
        <f>F28</f>
        <v>28654.11391693203</v>
      </c>
      <c r="E9" s="149">
        <f>G28</f>
        <v>39470.887250265368</v>
      </c>
      <c r="F9" s="149">
        <f>H28</f>
        <v>18563.369719615199</v>
      </c>
      <c r="G9" s="149">
        <f>I28</f>
        <v>10816.773333333334</v>
      </c>
      <c r="H9" s="164">
        <v>0</v>
      </c>
      <c r="I9" s="163" t="s">
        <v>213</v>
      </c>
      <c r="J9" s="138"/>
      <c r="K9" s="93"/>
      <c r="L9" s="93"/>
    </row>
    <row r="10" spans="1:12">
      <c r="B10" s="153"/>
      <c r="C10" s="148"/>
      <c r="D10" s="148"/>
      <c r="E10" s="149"/>
      <c r="F10" s="149"/>
      <c r="G10" s="149"/>
      <c r="H10" s="165"/>
      <c r="I10" s="139"/>
      <c r="J10" s="93"/>
      <c r="K10" s="93"/>
      <c r="L10" s="93"/>
    </row>
    <row r="11" spans="1:12">
      <c r="B11" s="154" t="s">
        <v>186</v>
      </c>
      <c r="C11" s="150">
        <f t="shared" ref="C11:H11" si="0">SUM(C3:C9)</f>
        <v>21907.517530650166</v>
      </c>
      <c r="D11" s="150">
        <f t="shared" si="0"/>
        <v>29654.11391693203</v>
      </c>
      <c r="E11" s="151">
        <f t="shared" si="0"/>
        <v>92682.990896162679</v>
      </c>
      <c r="F11" s="151">
        <f t="shared" si="0"/>
        <v>67656.135824837227</v>
      </c>
      <c r="G11" s="151">
        <f t="shared" si="0"/>
        <v>69082.215579663476</v>
      </c>
      <c r="H11" s="150">
        <f t="shared" si="0"/>
        <v>52074.171065720642</v>
      </c>
      <c r="I11" s="139"/>
      <c r="J11" s="138"/>
      <c r="K11" s="93"/>
      <c r="L11" s="93"/>
    </row>
    <row r="12" spans="1:12">
      <c r="B12" s="154" t="s">
        <v>187</v>
      </c>
      <c r="C12" s="150">
        <f>C11</f>
        <v>21907.517530650166</v>
      </c>
      <c r="D12" s="150">
        <f>C12+D11</f>
        <v>51561.6314475822</v>
      </c>
      <c r="E12" s="151">
        <f>D12+E11</f>
        <v>144244.62234374488</v>
      </c>
      <c r="F12" s="151">
        <f>E12+F11</f>
        <v>211900.75816858211</v>
      </c>
      <c r="G12" s="151">
        <f>F12+G11</f>
        <v>280982.97374824557</v>
      </c>
      <c r="H12" s="150">
        <f>G12+H11</f>
        <v>333057.14481396624</v>
      </c>
      <c r="I12" s="139"/>
      <c r="J12" s="138"/>
      <c r="K12" s="93"/>
      <c r="L12" s="93"/>
    </row>
    <row r="13" spans="1:12">
      <c r="B13" s="154" t="s">
        <v>188</v>
      </c>
      <c r="C13" s="155">
        <f t="shared" ref="C13:H13" si="1">SUM(C3:C6)</f>
        <v>1000</v>
      </c>
      <c r="D13" s="155">
        <f t="shared" si="1"/>
        <v>1000</v>
      </c>
      <c r="E13" s="156">
        <f t="shared" si="1"/>
        <v>36057.089056367266</v>
      </c>
      <c r="F13" s="156">
        <f t="shared" si="1"/>
        <v>36407.934514578388</v>
      </c>
      <c r="G13" s="156">
        <f t="shared" si="1"/>
        <v>38395.675229341912</v>
      </c>
      <c r="H13" s="159">
        <f t="shared" si="1"/>
        <v>35504.300000000003</v>
      </c>
      <c r="I13" s="163"/>
      <c r="J13" s="93"/>
      <c r="K13" s="93"/>
      <c r="L13" s="93"/>
    </row>
    <row r="14" spans="1:12">
      <c r="B14" s="157"/>
      <c r="C14" s="158"/>
      <c r="D14" s="158"/>
      <c r="E14" s="221" t="s">
        <v>206</v>
      </c>
      <c r="F14" s="222"/>
      <c r="G14" s="223"/>
      <c r="H14" s="163"/>
      <c r="I14" s="163"/>
      <c r="J14" s="93"/>
      <c r="K14" s="93"/>
      <c r="L14" s="93"/>
    </row>
    <row r="15" spans="1:12">
      <c r="B15" s="49" t="s">
        <v>85</v>
      </c>
      <c r="C15" s="51"/>
      <c r="D15" s="51"/>
      <c r="E15" s="51"/>
      <c r="F15" s="51"/>
      <c r="G15" s="51"/>
      <c r="H15" s="8"/>
    </row>
    <row r="16" spans="1:12">
      <c r="B16" s="53" t="s">
        <v>214</v>
      </c>
      <c r="C16" s="51"/>
      <c r="D16" s="51"/>
      <c r="E16" s="51"/>
      <c r="F16" s="51"/>
      <c r="G16" s="51"/>
      <c r="H16" s="8"/>
    </row>
    <row r="17" spans="1:12">
      <c r="B17" s="220" t="s">
        <v>215</v>
      </c>
      <c r="C17" s="220"/>
      <c r="D17" s="220"/>
      <c r="E17" s="220"/>
      <c r="F17" s="220"/>
      <c r="G17" s="220"/>
      <c r="H17" s="8"/>
    </row>
    <row r="18" spans="1:12">
      <c r="B18" s="220" t="s">
        <v>216</v>
      </c>
      <c r="C18" s="220"/>
      <c r="D18" s="220"/>
      <c r="E18" s="220"/>
      <c r="F18" s="220"/>
      <c r="G18" s="220"/>
      <c r="H18" s="8"/>
    </row>
    <row r="19" spans="1:12" ht="16.5" customHeight="1">
      <c r="B19" s="220" t="s">
        <v>217</v>
      </c>
      <c r="C19" s="220"/>
      <c r="D19" s="220"/>
      <c r="E19" s="220"/>
      <c r="F19" s="220"/>
      <c r="G19" s="220"/>
      <c r="H19" s="8"/>
    </row>
    <row r="20" spans="1:12" ht="30" customHeight="1">
      <c r="B20" s="220" t="s">
        <v>218</v>
      </c>
      <c r="C20" s="220"/>
      <c r="D20" s="220"/>
      <c r="E20" s="220"/>
      <c r="F20" s="220"/>
      <c r="G20" s="220"/>
      <c r="H20" s="8"/>
    </row>
    <row r="21" spans="1:12" ht="15.75" customHeight="1">
      <c r="B21" s="220" t="s">
        <v>219</v>
      </c>
      <c r="C21" s="220"/>
      <c r="D21" s="220"/>
      <c r="E21" s="220"/>
      <c r="F21" s="220"/>
      <c r="G21" s="220"/>
      <c r="H21" s="8"/>
    </row>
    <row r="22" spans="1:12" ht="16.5" customHeight="1">
      <c r="B22" s="220" t="s">
        <v>220</v>
      </c>
      <c r="C22" s="220"/>
      <c r="D22" s="220"/>
      <c r="E22" s="220"/>
      <c r="F22" s="220"/>
      <c r="G22" s="220"/>
      <c r="H22" s="8"/>
    </row>
    <row r="23" spans="1:12" ht="44.25" customHeight="1">
      <c r="B23" s="220" t="s">
        <v>221</v>
      </c>
      <c r="C23" s="220"/>
      <c r="D23" s="220"/>
      <c r="E23" s="220"/>
      <c r="F23" s="220"/>
      <c r="G23" s="220"/>
      <c r="H23" s="8"/>
    </row>
    <row r="24" spans="1:12" ht="36" customHeight="1">
      <c r="A24" s="71"/>
      <c r="B24" s="117" t="s">
        <v>189</v>
      </c>
      <c r="C24" s="118" t="s">
        <v>190</v>
      </c>
      <c r="D24" s="119" t="s">
        <v>191</v>
      </c>
      <c r="E24" s="120" t="s">
        <v>61</v>
      </c>
      <c r="F24" s="120" t="s">
        <v>62</v>
      </c>
      <c r="G24" s="120" t="s">
        <v>63</v>
      </c>
      <c r="H24" s="120" t="s">
        <v>64</v>
      </c>
      <c r="I24" s="120" t="s">
        <v>65</v>
      </c>
      <c r="J24" s="93"/>
      <c r="K24" s="93"/>
      <c r="L24" s="93"/>
    </row>
    <row r="25" spans="1:12">
      <c r="B25" s="130" t="s">
        <v>192</v>
      </c>
      <c r="C25" s="121">
        <v>448018.23279964633</v>
      </c>
      <c r="D25" s="122">
        <v>0.14000000000000001</v>
      </c>
      <c r="E25" s="123">
        <f>$D$25*$C$25/3</f>
        <v>20907.517530650166</v>
      </c>
      <c r="F25" s="123">
        <f t="shared" ref="F25:G25" si="2">$D$25*$C$25/3</f>
        <v>20907.517530650166</v>
      </c>
      <c r="G25" s="123">
        <f t="shared" si="2"/>
        <v>20907.517530650166</v>
      </c>
      <c r="H25" s="123">
        <v>0</v>
      </c>
      <c r="I25" s="123">
        <v>0</v>
      </c>
      <c r="J25" s="139" t="s">
        <v>175</v>
      </c>
      <c r="K25" s="93"/>
      <c r="L25" s="93"/>
    </row>
    <row r="26" spans="1:12" ht="18" customHeight="1">
      <c r="B26" s="124" t="s">
        <v>205</v>
      </c>
      <c r="C26" s="121">
        <v>165998.49399175419</v>
      </c>
      <c r="D26" s="122">
        <v>0.14000000000000001</v>
      </c>
      <c r="E26" s="123">
        <v>0</v>
      </c>
      <c r="F26" s="123">
        <f>$C$26*$D$26/3</f>
        <v>7746.5963862818635</v>
      </c>
      <c r="G26" s="123">
        <f t="shared" ref="G26:H26" si="3">$C$26*$D$26/3</f>
        <v>7746.5963862818635</v>
      </c>
      <c r="H26" s="123">
        <f t="shared" si="3"/>
        <v>7746.5963862818635</v>
      </c>
      <c r="I26" s="123">
        <v>0</v>
      </c>
      <c r="J26" s="87" t="s">
        <v>145</v>
      </c>
    </row>
    <row r="27" spans="1:12" ht="18.75" customHeight="1">
      <c r="B27" s="124" t="s">
        <v>203</v>
      </c>
      <c r="C27" s="121">
        <v>231788</v>
      </c>
      <c r="D27" s="122">
        <v>0.14000000000000001</v>
      </c>
      <c r="E27" s="123">
        <v>0</v>
      </c>
      <c r="F27" s="123">
        <v>0</v>
      </c>
      <c r="G27" s="123">
        <f>$C$27*$D$27/3</f>
        <v>10816.773333333334</v>
      </c>
      <c r="H27" s="123">
        <f t="shared" ref="H27:I27" si="4">$C$27*$D$27/3</f>
        <v>10816.773333333334</v>
      </c>
      <c r="I27" s="123">
        <f t="shared" si="4"/>
        <v>10816.773333333334</v>
      </c>
      <c r="J27" s="87" t="s">
        <v>178</v>
      </c>
    </row>
    <row r="28" spans="1:12" ht="18" customHeight="1">
      <c r="B28" s="125" t="s">
        <v>55</v>
      </c>
      <c r="C28" s="126">
        <f>SUM(C25:C27)</f>
        <v>845804.72679140046</v>
      </c>
      <c r="D28" s="127"/>
      <c r="E28" s="128">
        <f>SUM(E25:E27)</f>
        <v>20907.517530650166</v>
      </c>
      <c r="F28" s="128">
        <f>SUM(F25:F27)</f>
        <v>28654.11391693203</v>
      </c>
      <c r="G28" s="128">
        <f>SUM(G25:G27)</f>
        <v>39470.887250265368</v>
      </c>
      <c r="H28" s="128">
        <f>SUM(H25:H27)</f>
        <v>18563.369719615199</v>
      </c>
      <c r="I28" s="128">
        <f>SUM(I25:I27)</f>
        <v>10816.773333333334</v>
      </c>
    </row>
    <row r="30" spans="1:12">
      <c r="B30" s="49" t="s">
        <v>85</v>
      </c>
      <c r="C30" s="51"/>
      <c r="D30" s="51"/>
      <c r="E30" s="51"/>
      <c r="F30" s="51"/>
      <c r="G30" s="51"/>
      <c r="H30" s="8"/>
    </row>
    <row r="31" spans="1:12" ht="27" customHeight="1">
      <c r="B31" s="220" t="s">
        <v>207</v>
      </c>
      <c r="C31" s="220"/>
      <c r="D31" s="220"/>
      <c r="E31" s="220"/>
      <c r="F31" s="220"/>
      <c r="G31" s="220"/>
      <c r="H31" s="8"/>
    </row>
    <row r="32" spans="1:12">
      <c r="B32" s="220" t="s">
        <v>208</v>
      </c>
      <c r="C32" s="220"/>
      <c r="D32" s="220"/>
      <c r="E32" s="220"/>
      <c r="F32" s="220"/>
      <c r="G32" s="220"/>
      <c r="H32" s="8"/>
    </row>
    <row r="33" spans="2:10" ht="16.5" customHeight="1">
      <c r="B33" s="220" t="s">
        <v>209</v>
      </c>
      <c r="C33" s="220"/>
      <c r="D33" s="220"/>
      <c r="E33" s="220"/>
      <c r="F33" s="220"/>
      <c r="G33" s="220"/>
      <c r="H33" s="8"/>
    </row>
    <row r="35" spans="2:10">
      <c r="B35" s="216" t="s">
        <v>194</v>
      </c>
      <c r="C35" s="217"/>
      <c r="D35" s="131" t="s">
        <v>193</v>
      </c>
      <c r="E35" s="131" t="s">
        <v>61</v>
      </c>
      <c r="F35" s="131" t="s">
        <v>62</v>
      </c>
      <c r="G35" s="131" t="s">
        <v>63</v>
      </c>
      <c r="H35" s="131" t="s">
        <v>64</v>
      </c>
      <c r="I35" s="131" t="s">
        <v>65</v>
      </c>
      <c r="J35" s="131" t="s">
        <v>66</v>
      </c>
    </row>
    <row r="36" spans="2:10">
      <c r="B36" s="218"/>
      <c r="C36" s="219"/>
      <c r="D36" s="132"/>
      <c r="E36" s="133">
        <v>14628.740980401581</v>
      </c>
      <c r="F36" s="133">
        <v>19248.149439425251</v>
      </c>
      <c r="G36" s="133">
        <v>20010.089056367266</v>
      </c>
      <c r="H36" s="133">
        <v>20333.934514578388</v>
      </c>
      <c r="I36" s="133">
        <v>22302.675229341909</v>
      </c>
      <c r="J36" s="116">
        <v>19368.3</v>
      </c>
    </row>
    <row r="37" spans="2:10">
      <c r="B37" s="215" t="s">
        <v>195</v>
      </c>
      <c r="C37" s="215"/>
      <c r="D37" s="132">
        <v>174387</v>
      </c>
      <c r="E37" s="133">
        <f t="shared" ref="E37:I37" si="5">D37+E36</f>
        <v>189015.74098040158</v>
      </c>
      <c r="F37" s="133">
        <f t="shared" si="5"/>
        <v>208263.89041982684</v>
      </c>
      <c r="G37" s="133">
        <f t="shared" si="5"/>
        <v>228273.9794761941</v>
      </c>
      <c r="H37" s="133">
        <f t="shared" si="5"/>
        <v>248607.9139907725</v>
      </c>
      <c r="I37" s="133">
        <f t="shared" si="5"/>
        <v>270910.5892201144</v>
      </c>
      <c r="J37" s="132">
        <f>I37+J36</f>
        <v>290278.88922011439</v>
      </c>
    </row>
    <row r="38" spans="2:10">
      <c r="B38" s="215" t="s">
        <v>196</v>
      </c>
      <c r="C38" s="215"/>
      <c r="D38" s="134">
        <f>D37/$D$37</f>
        <v>1</v>
      </c>
      <c r="E38" s="134">
        <f t="shared" ref="E38:J38" si="6">E37/$D$37</f>
        <v>1.0838866485483527</v>
      </c>
      <c r="F38" s="134">
        <f t="shared" si="6"/>
        <v>1.1942627054759061</v>
      </c>
      <c r="G38" s="134">
        <f t="shared" si="6"/>
        <v>1.309008007914547</v>
      </c>
      <c r="H38" s="134">
        <f t="shared" si="6"/>
        <v>1.4256103608111412</v>
      </c>
      <c r="I38" s="134">
        <f t="shared" si="6"/>
        <v>1.5535022061284063</v>
      </c>
      <c r="J38" s="135">
        <f t="shared" si="6"/>
        <v>1.6645672511145577</v>
      </c>
    </row>
    <row r="39" spans="2:10">
      <c r="J39" s="71"/>
    </row>
    <row r="40" spans="2:10">
      <c r="B40" s="137" t="s">
        <v>201</v>
      </c>
      <c r="C40" s="87"/>
      <c r="D40" s="87"/>
      <c r="E40" s="87"/>
      <c r="F40" s="87" t="s">
        <v>197</v>
      </c>
      <c r="G40" s="87"/>
      <c r="H40" s="87"/>
      <c r="I40" s="87"/>
      <c r="J40" s="136">
        <v>1.59</v>
      </c>
    </row>
    <row r="41" spans="2:10">
      <c r="B41" s="87" t="s">
        <v>202</v>
      </c>
      <c r="C41" s="87"/>
      <c r="D41" s="87"/>
      <c r="E41" s="87"/>
      <c r="F41" s="87" t="s">
        <v>198</v>
      </c>
      <c r="G41" s="87"/>
      <c r="H41" s="87"/>
      <c r="I41" s="87"/>
      <c r="J41" s="136">
        <v>1.7</v>
      </c>
    </row>
    <row r="42" spans="2:10">
      <c r="J42" s="129"/>
    </row>
    <row r="43" spans="2:10">
      <c r="J43" s="129"/>
    </row>
    <row r="45" spans="2:10">
      <c r="B45" t="s">
        <v>199</v>
      </c>
      <c r="D45" t="s">
        <v>200</v>
      </c>
    </row>
  </sheetData>
  <sheetProtection sheet="1" objects="1" scenarios="1" formatColumns="0" formatRows="0"/>
  <mergeCells count="14">
    <mergeCell ref="E14:G14"/>
    <mergeCell ref="B31:G31"/>
    <mergeCell ref="B32:G32"/>
    <mergeCell ref="B33:G33"/>
    <mergeCell ref="B23:G23"/>
    <mergeCell ref="B37:C37"/>
    <mergeCell ref="B38:C38"/>
    <mergeCell ref="B35:C36"/>
    <mergeCell ref="B17:G17"/>
    <mergeCell ref="B18:G18"/>
    <mergeCell ref="B19:G19"/>
    <mergeCell ref="B20:G20"/>
    <mergeCell ref="B21:G21"/>
    <mergeCell ref="B22:G22"/>
  </mergeCells>
  <pageMargins left="0.11811023622047245" right="0.11811023622047245" top="0.74803149606299213" bottom="0.74803149606299213" header="0.31496062992125984" footer="0.31496062992125984"/>
  <pageSetup paperSize="8"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Advice and Support</vt:lpstr>
      <vt:lpstr>Industry Engagement &amp; Training </vt:lpstr>
      <vt:lpstr>Project Management</vt:lpstr>
      <vt:lpstr>Policy &amp; Procedures</vt:lpstr>
      <vt:lpstr>Tariff uptake model</vt:lpstr>
    </vt:vector>
  </TitlesOfParts>
  <Company>ETSA Utilities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erwipj</dc:creator>
  <cp:lastModifiedBy>Fran Marrone</cp:lastModifiedBy>
  <cp:lastPrinted>2015-07-01T07:31:59Z</cp:lastPrinted>
  <dcterms:created xsi:type="dcterms:W3CDTF">2014-04-11T02:28:24Z</dcterms:created>
  <dcterms:modified xsi:type="dcterms:W3CDTF">2015-07-02T03:31:56Z</dcterms:modified>
</cp:coreProperties>
</file>